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629"/>
  <workbookPr/>
  <mc:AlternateContent xmlns:mc="http://schemas.openxmlformats.org/markup-compatibility/2006">
    <mc:Choice Requires="x15">
      <x15ac:absPath xmlns:x15ac="http://schemas.microsoft.com/office/spreadsheetml/2010/11/ac" url="D:\New\Comunicare\Site-AMPOCA\"/>
    </mc:Choice>
  </mc:AlternateContent>
  <xr:revisionPtr revIDLastSave="0" documentId="13_ncr:8001_{29B6A119-5B95-48A8-B658-9388E4457BFD}" xr6:coauthVersionLast="47" xr6:coauthVersionMax="47" xr10:uidLastSave="{00000000-0000-0000-0000-000000000000}"/>
  <workbookProtection workbookPassword="CA39" lockStructure="1"/>
  <bookViews>
    <workbookView xWindow="-120" yWindow="-120" windowWidth="29040" windowHeight="15840" xr2:uid="{00000000-000D-0000-FFFF-FFFF00000000}"/>
  </bookViews>
  <sheets>
    <sheet name="Sheet1" sheetId="1" r:id="rId1"/>
  </sheets>
  <definedNames>
    <definedName name="_xlnm._FilterDatabase" localSheetId="0" hidden="1">Sheet1!$1:$893</definedName>
    <definedName name="_Hlk1048507" localSheetId="0">Sheet1!$H$787</definedName>
    <definedName name="_Hlk511228962">Sheet1!#REF!</definedName>
    <definedName name="_Hlk511229340">Sheet1!#REF!</definedName>
    <definedName name="_Hlk516490095" localSheetId="0">Sheet1!$H$752</definedName>
    <definedName name="_Hlk526934001" localSheetId="0">Sheet1!$F$194</definedName>
    <definedName name="_xlnm.Print_Area" localSheetId="0">Sheet1!$A$1:$AJ$893</definedName>
    <definedName name="Z_0585DD1B_89D4_4278_953B_FA6D57DCCE82_.wvu.FilterData" localSheetId="0" hidden="1">Sheet1!$A$4:$AJ$893</definedName>
    <definedName name="Z_0663978D_0EB1_40D5_9B2D_AA0E4175AE10_.wvu.FilterData" localSheetId="0" hidden="1">Sheet1!$C$1:$C$893</definedName>
    <definedName name="Z_0781B6C2_B440_4971_9809_BD16245A70FD_.wvu.FilterData" localSheetId="0" hidden="1">Sheet1!$A$1:$AJ$433</definedName>
    <definedName name="Z_0781B6C2_B440_4971_9809_BD16245A70FD_.wvu.PrintArea" localSheetId="0" hidden="1">Sheet1!$A$1:$AJ$893</definedName>
    <definedName name="Z_0948D5BA_8172_4FA8_BECB_CED738B20AF4_.wvu.FilterData" localSheetId="0" hidden="1">Sheet1!$A$4:$DE$893</definedName>
    <definedName name="Z_0A043D96_6DF8_4E40_9D1E_818A39BAFD81_.wvu.FilterData" localSheetId="0" hidden="1">Sheet1!$A$4:$AJ$893</definedName>
    <definedName name="Z_0BFEEF2C_C946_41CF_AC23_6881BEA2051C_.wvu.FilterData" localSheetId="0" hidden="1">Sheet1!$A$4:$AJ$893</definedName>
    <definedName name="Z_0D4E932E_8E85_4001_9304_AAB4DBAD8A65_.wvu.FilterData" localSheetId="0" hidden="1">Sheet1!$A$4:$DE$768</definedName>
    <definedName name="Z_122B486E_8EE5_41FD_B958_74B116FA5D23_.wvu.FilterData" localSheetId="0" hidden="1">Sheet1!$A$1:$DE$768</definedName>
    <definedName name="Z_1278E668_633E_4AB5_BA11_904BA4B2301D_.wvu.FilterData" localSheetId="0" hidden="1">Sheet1!$A$1:$DE$768</definedName>
    <definedName name="Z_136D924E_DA88_48BB_818E_2A0E48CDE443_.wvu.FilterData" localSheetId="0" hidden="1">Sheet1!$A$4:$DE$893</definedName>
    <definedName name="Z_13FEC0EB_A6AC_4EB9_BE0B_BA91B5951E65_.wvu.FilterData" localSheetId="0" hidden="1">Sheet1!$A$4:$DE$893</definedName>
    <definedName name="Z_15F03B40_FCDD_463A_AE42_63F6121ACBED_.wvu.FilterData" localSheetId="0" hidden="1">Sheet1!$C$1:$C$893</definedName>
    <definedName name="Z_16C0F8F6_73C2_446B_943F_E6331B612307_.wvu.FilterData" localSheetId="0" hidden="1">Sheet1!$A$1:$DE$816</definedName>
    <definedName name="Z_17F4A6A1_469E_46FB_A3A0_041FC3712E3B_.wvu.FilterData" localSheetId="0" hidden="1">Sheet1!$A$4:$AJ$893</definedName>
    <definedName name="Z_19FC3531_0DA5_4817_A3AD_017115B33D3C_.wvu.FilterData" localSheetId="0" hidden="1">Sheet1!#REF!</definedName>
    <definedName name="Z_1AA32817_7AF7_4644_968C_56F1D5DDD6B5_.wvu.FilterData" localSheetId="0" hidden="1">Sheet1!$A$1:$DE$893</definedName>
    <definedName name="Z_1CC91F84_AEF4_4042_AB5F_6C7D03A1F066_.wvu.FilterData" localSheetId="0" hidden="1">Sheet1!$4:$893</definedName>
    <definedName name="Z_1CC91F84_AEF4_4042_AB5F_6C7D03A1F066_.wvu.PrintArea" localSheetId="0" hidden="1">Sheet1!$A$1:$AJ$893</definedName>
    <definedName name="Z_1D1B5983_ECDA_4FB5_B5BD_5FCDD6AA2303_.wvu.Cols" localSheetId="0" hidden="1">Sheet1!$D:$I</definedName>
    <definedName name="Z_1D1B5983_ECDA_4FB5_B5BD_5FCDD6AA2303_.wvu.FilterData" localSheetId="0" hidden="1">Sheet1!$A$1:$DE$909</definedName>
    <definedName name="Z_1D1B5983_ECDA_4FB5_B5BD_5FCDD6AA2303_.wvu.PrintArea" localSheetId="0" hidden="1">Sheet1!$A$1:$AJ$893</definedName>
    <definedName name="Z_22D79F88_81A2_49FE_923A_13405540BBB2_.wvu.FilterData" localSheetId="0" hidden="1">Sheet1!$A$4:$DE$768</definedName>
    <definedName name="Z_2355B1FA_E7E3_44CD_A529_24812589AA28_.wvu.FilterData" localSheetId="0" hidden="1">Sheet1!$A$4:$AJ$893</definedName>
    <definedName name="Z_2416AE9F_2D01_4174_B7DC_0545588F9C27_.wvu.FilterData" localSheetId="0" hidden="1">Sheet1!$A$1:$AJ$893</definedName>
    <definedName name="Z_250231BB_5F02_4B46_B1CA_B904A9B40BA2_.wvu.FilterData" localSheetId="0" hidden="1">Sheet1!$A$3:$AJ$893</definedName>
    <definedName name="Z_25084D9D_9C92_4823_A653_D1AEC60737AD_.wvu.FilterData" localSheetId="0" hidden="1">Sheet1!$A$4:$DE$768</definedName>
    <definedName name="Z_2547C3D7_22F7_4CAF_8E48_C8F3425DB942_.wvu.FilterData" localSheetId="0" hidden="1">Sheet1!$A$4:$AJ$893</definedName>
    <definedName name="Z_280C391A_EEDA_43A4_BCD2_EE017A1C1AE2_.wvu.FilterData" localSheetId="0" hidden="1">Sheet1!$A$4:$DE$893</definedName>
    <definedName name="Z_29604E0D_C6E2_434A_B2B5_DCD40EFF623F_.wvu.FilterData" localSheetId="0" hidden="1">Sheet1!$A$4:$DE$893</definedName>
    <definedName name="Z_297CB86E_F816_4839_BE0B_A075145D0E50_.wvu.FilterData" localSheetId="0" hidden="1">Sheet1!$A$1:$DE$768</definedName>
    <definedName name="Z_2A26C971_CCE6_49C7_89EC_0B2699E5DD98_.wvu.FilterData" localSheetId="0" hidden="1">Sheet1!$A$4:$AJ$893</definedName>
    <definedName name="Z_2A657C48_B241_4C19_9A74_98ECFC665F2A_.wvu.FilterData" localSheetId="0" hidden="1">Sheet1!$A$4:$DE$893</definedName>
    <definedName name="Z_2C296388_EDB5_4F1F_B0F4_90EC07CCD947_.wvu.FilterData" localSheetId="0" hidden="1">Sheet1!$A$1:$DE$893</definedName>
    <definedName name="Z_2C296388_EDB5_4F1F_B0F4_90EC07CCD947_.wvu.PrintArea" localSheetId="0" hidden="1">Sheet1!$A$1:$AJ$893</definedName>
    <definedName name="Z_2E491347_3C24_4F24_80DE_5DC574AA2438_.wvu.FilterData" localSheetId="0" hidden="1">Sheet1!$A$4:$AJ$893</definedName>
    <definedName name="Z_3051DDA2_2F87_4403_87CC_F6C9C4F5B52F_.wvu.FilterData" localSheetId="0" hidden="1">Sheet1!$A$4:$DE$893</definedName>
    <definedName name="Z_305BEEB9_C99E_4E52_A4AB_56EA1595A366_.wvu.FilterData" localSheetId="0" hidden="1">Sheet1!$A$4:$AJ$893</definedName>
    <definedName name="Z_31567BC0_5366_4F93_AE32_123F006BC234_.wvu.FilterData" localSheetId="0" hidden="1">Sheet1!$A$4:$DE$893</definedName>
    <definedName name="Z_324E461A_DC75_4814_87BA_41F170D0ED0B_.wvu.FilterData" localSheetId="0" hidden="1">Sheet1!$A$4:$AJ$893</definedName>
    <definedName name="Z_33E976A7_3353_44E9_8131_0E68AAF18A21_.wvu.FilterData" localSheetId="0" hidden="1">Sheet1!$A$1:$AJ$893</definedName>
    <definedName name="Z_340EDCDE_FAE5_4319_AEAD_F8264DCA5D27_.wvu.FilterData" localSheetId="0" hidden="1">Sheet1!$A$4:$DE$893</definedName>
    <definedName name="Z_34BB42D3_88F0_437E_91ED_3E3C369B9525_.wvu.FilterData" localSheetId="0" hidden="1">Sheet1!$A$4:$AJ$893</definedName>
    <definedName name="Z_3656F679_79F6_439C_98F9_E05AFC52CE40_.wvu.FilterData" localSheetId="0" hidden="1">Sheet1!$A$4:$DE$893</definedName>
    <definedName name="Z_36624B2D_80F9_4F79_AC4A_B3547C36F23F_.wvu.FilterData" localSheetId="0" hidden="1">Sheet1!$A$4:$DE$893</definedName>
    <definedName name="Z_36624B2D_80F9_4F79_AC4A_B3547C36F23F_.wvu.PrintArea" localSheetId="0" hidden="1">Sheet1!$A$1:$AJ$893</definedName>
    <definedName name="Z_377DA8E3_6D61_4CAB_8EDD_2C41FF81A19E_.wvu.FilterData" localSheetId="0" hidden="1">Sheet1!$A$4:$AJ$893</definedName>
    <definedName name="Z_38C68E87_361F_434A_8BE4_BA2AF4CB3868_.wvu.FilterData" localSheetId="0" hidden="1">Sheet1!$A$4:$AJ$893</definedName>
    <definedName name="Z_3A00607E_664E_4ED3_AB65_1F25AC8DBC86_.wvu.FilterData" localSheetId="0" hidden="1">Sheet1!$C$1:$C$893</definedName>
    <definedName name="Z_3A3E83F9_303A_4CDE_BDDB_A2D752554829_.wvu.FilterData" localSheetId="0" hidden="1">Sheet1!$A$4:$AJ$893</definedName>
    <definedName name="Z_3A5F5F2B_AEA1_437C_9251_4F0D15756423_.wvu.FilterData" localSheetId="0" hidden="1">Sheet1!$A$1:$AJ$893</definedName>
    <definedName name="Z_3AFE79CE_CE75_447D_8C73_1AE63A224CBA_.wvu.FilterData" localSheetId="0" hidden="1">Sheet1!$A$4:$AJ$893</definedName>
    <definedName name="Z_3AFE79CE_CE75_447D_8C73_1AE63A224CBA_.wvu.PrintArea" localSheetId="0" hidden="1">Sheet1!$A$1:$AJ$893</definedName>
    <definedName name="Z_3E15816F_2EBF_42BD_89BB_84C7827E4C28_.wvu.FilterData" localSheetId="0" hidden="1">Sheet1!$A$4:$AJ$893</definedName>
    <definedName name="Z_3E7AD119_0031_4735_857B_FBC0C47AB231_.wvu.FilterData" localSheetId="0" hidden="1">Sheet1!$A$4:$AJ$893</definedName>
    <definedName name="Z_3F70E84F_60E2_4042_91AA_EFB3B23DDDDF_.wvu.FilterData" localSheetId="0" hidden="1">Sheet1!$A$1:$DE$768</definedName>
    <definedName name="Z_406022D5_A780_4A99_8362_68428BA49313_.wvu.FilterData" localSheetId="0" hidden="1">Sheet1!$A$1:$AJ$135</definedName>
    <definedName name="Z_4179C3D9_D1C3_46CD_B643_627525757C5E_.wvu.FilterData" localSheetId="0" hidden="1">Sheet1!$A$1:$AJ$680</definedName>
    <definedName name="Z_417D6CD8_690F_495B_A03E_2A89D52B6CE8_.wvu.FilterData" localSheetId="0" hidden="1">Sheet1!$A$4:$AJ$893</definedName>
    <definedName name="Z_41AA4E5D_9625_4478_B720_2BD6AE34E699_.wvu.FilterData" localSheetId="0" hidden="1">Sheet1!$A$4:$AJ$893</definedName>
    <definedName name="Z_471339A8_E0FA_4CA1_8194_04936068CF02_.wvu.FilterData" localSheetId="0" hidden="1">Sheet1!$A$1:$AJ$893</definedName>
    <definedName name="Z_497C7126_2491_461C_AFC3_03C2E163F15C_.wvu.FilterData" localSheetId="0" hidden="1">Sheet1!$A$4:$DE$768</definedName>
    <definedName name="Z_4AAB8139_F2B6_43E5_8C9F_E607BD4F44E4_.wvu.FilterData" localSheetId="0" hidden="1">Sheet1!$A$1:$AJ$768</definedName>
    <definedName name="Z_4B17E318_54E7_429F_ADB9_77F4B7D2DC42_.wvu.FilterData" localSheetId="0" hidden="1">Sheet1!$A$4:$AJ$893</definedName>
    <definedName name="Z_4B676F92_6D7B_43D7_8EB6_33FF3E7F6B6A_.wvu.FilterData" localSheetId="0" hidden="1">Sheet1!$A$4:$AJ$893</definedName>
    <definedName name="Z_4B7976D2_7781_4E51_BDF6_6AB2114A11DF_.wvu.FilterData" localSheetId="0" hidden="1">Sheet1!$A$4:$DE$893</definedName>
    <definedName name="Z_4BA8C48D_4728_4875_A249_068862BEA31A_.wvu.FilterData" localSheetId="0" hidden="1">Sheet1!$A$1:$DE$893</definedName>
    <definedName name="Z_4C2A0B30_0070_415E_A110_A9BCC2779710_.wvu.FilterData" localSheetId="0" hidden="1">Sheet1!$C$1:$C$893</definedName>
    <definedName name="Z_4FDB167B_D56E_45D4_B120_847D0871AA6B_.wvu.FilterData" localSheetId="0" hidden="1">Sheet1!$A$4:$AJ$893</definedName>
    <definedName name="Z_50FD82E6_2F75_4C53_A6D0_12482428C160_.wvu.FilterData" localSheetId="0" hidden="1">Sheet1!$A$1:$AJ$893</definedName>
    <definedName name="Z_529F67B3_DE0D_4FDC_BFEA_8F16107265EB_.wvu.FilterData" localSheetId="0" hidden="1">Sheet1!$A$4:$AJ$893</definedName>
    <definedName name="Z_53ED3D47_B2C0_43A1_9A1E_F030D529F74C_.wvu.FilterData" localSheetId="0" hidden="1">Sheet1!$A$4:$AJ$893</definedName>
    <definedName name="Z_53ED3D47_B2C0_43A1_9A1E_F030D529F74C_.wvu.PrintArea" localSheetId="0" hidden="1">Sheet1!$A$1:$AJ$893</definedName>
    <definedName name="Z_5789AB6A_B04B_4240_920E_89274E9F5C82_.wvu.FilterData" localSheetId="0" hidden="1">Sheet1!$A$4:$DE$684</definedName>
    <definedName name="Z_59EBF1CB_AF85_469A_B1D0_E57CB0203158_.wvu.FilterData" localSheetId="0" hidden="1">Sheet1!$C$1:$C$893</definedName>
    <definedName name="Z_5A66C3D0_FC57_4AA7_B0C6_C5E9A7DE2A79_.wvu.FilterData" localSheetId="0" hidden="1">Sheet1!$A$4:$AJ$893</definedName>
    <definedName name="Z_5AAA4DFE_88B1_4674_95ED_5FCD7A50BC22_.wvu.FilterData" localSheetId="0" hidden="1">Sheet1!$A$4:$DE$893</definedName>
    <definedName name="Z_5AAA4DFE_88B1_4674_95ED_5FCD7A50BC22_.wvu.PrintArea" localSheetId="0" hidden="1">Sheet1!$A$1:$AJ$893</definedName>
    <definedName name="Z_5E661ABE_E06E_455E_A661_DDD1907219D0_.wvu.FilterData" localSheetId="0" hidden="1">Sheet1!$A$1:$AJ$768</definedName>
    <definedName name="Z_6408B19F_539D_4190_A77D_CCE77E163803_.wvu.FilterData" localSheetId="0" hidden="1">Sheet1!$A$1:$DE$768</definedName>
    <definedName name="Z_65B035E3_87FA_46C5_996E_864F2C8D0EBC_.wvu.Cols" localSheetId="0" hidden="1">Sheet1!$G:$M</definedName>
    <definedName name="Z_65B035E3_87FA_46C5_996E_864F2C8D0EBC_.wvu.FilterData" localSheetId="0" hidden="1">Sheet1!$A$4:$DE$893</definedName>
    <definedName name="Z_65B035E3_87FA_46C5_996E_864F2C8D0EBC_.wvu.PrintArea" localSheetId="0" hidden="1">Sheet1!$A$1:$AJ$893</definedName>
    <definedName name="Z_65C35D6D_934F_4431_BA92_90255FC17BA4_.wvu.FilterData" localSheetId="0" hidden="1">Sheet1!$A$1:$AJ$893</definedName>
    <definedName name="Z_65C35D6D_934F_4431_BA92_90255FC17BA4_.wvu.PrintArea" localSheetId="0" hidden="1">Sheet1!$A$1:$AJ$893</definedName>
    <definedName name="Z_68CBE436_F3A0_4F45_B6A3_D7A57411F3B9_.wvu.FilterData" localSheetId="0" hidden="1">Sheet1!$A$4:$AJ$893</definedName>
    <definedName name="Z_6A81BAE2_3ABE_4D5F_A832_52D0E2F517F4_.wvu.FilterData" localSheetId="0" hidden="1">Sheet1!$A$1:$AJ$893</definedName>
    <definedName name="Z_6ABCD3C6_C29E_4027_B252_6CC3A2739142_.wvu.FilterData" localSheetId="0" hidden="1">Sheet1!$A$4:$AJ$893</definedName>
    <definedName name="Z_6B2EC822_DCDB_4711_A946_1038FC40FACE_.wvu.FilterData" localSheetId="0" hidden="1">Sheet1!$A$1:$DE$768</definedName>
    <definedName name="Z_6C96816B_17C2_4EA9_846E_8E6B5AD26B6D_.wvu.FilterData" localSheetId="0" hidden="1">Sheet1!#REF!</definedName>
    <definedName name="Z_6CE52079_5576_45A5_9A9F_9CA970D849EF_.wvu.FilterData" localSheetId="0" hidden="1">Sheet1!$A$4:$AJ$893</definedName>
    <definedName name="Z_6D5D71F0_C25E_4A20_AAD9_13707D9E0AED_.wvu.FilterData" localSheetId="0" hidden="1">Sheet1!$A$4:$DE$893</definedName>
    <definedName name="Z_6D5D71F0_C25E_4A20_AAD9_13707D9E0AED_.wvu.PrintArea" localSheetId="0" hidden="1">Sheet1!$A$1:$AJ$893</definedName>
    <definedName name="Z_7110BCB5_C242_4006_B056_E3ADAD3578E7_.wvu.FilterData" localSheetId="0" hidden="1">Sheet1!$A$4:$DE$893</definedName>
    <definedName name="Z_747340EB_2B31_46D2_ACDE_4FA91E2B50F6_.wvu.FilterData" localSheetId="0" hidden="1">Sheet1!$A$1:$DE$893</definedName>
    <definedName name="Z_747340EB_2B31_46D2_ACDE_4FA91E2B50F6_.wvu.PrintArea" localSheetId="0" hidden="1">Sheet1!$A$1:$AJ$893</definedName>
    <definedName name="Z_75FC0278_6C09_4E89_A68B_B06C003CBF69_.wvu.FilterData" localSheetId="0" hidden="1">Sheet1!$A$1:$AJ$893</definedName>
    <definedName name="Z_799A65B0_D762_4257_9EEB_02578FD2A697_.wvu.FilterData" localSheetId="0" hidden="1">Sheet1!$C$1:$C$893</definedName>
    <definedName name="Z_7A12EF56_0E17_493A_8E1E_6DFC6553C116_.wvu.FilterData" localSheetId="0" hidden="1">Sheet1!$A$4:$DE$768</definedName>
    <definedName name="Z_7A17A8CA_AF99_4D96_BCEC_898141635826_.wvu.FilterData" localSheetId="0" hidden="1">Sheet1!$A$4:$AJ$893</definedName>
    <definedName name="Z_7C1B4D6D_D666_48DD_AB17_E00791B6F0B6_.wvu.FilterData" localSheetId="0" hidden="1">Sheet1!$4:$893</definedName>
    <definedName name="Z_7C1B4D6D_D666_48DD_AB17_E00791B6F0B6_.wvu.PrintArea" localSheetId="0" hidden="1">Sheet1!$A$1:$AJ$893</definedName>
    <definedName name="Z_7C389A6C_C379_45EF_8779_FEC15F27C7E7_.wvu.FilterData" localSheetId="0" hidden="1">Sheet1!$C$1:$C$893</definedName>
    <definedName name="Z_7C3B80B0_9566_4DDC_9DF7_3BBB2DE77950_.wvu.FilterData" localSheetId="0" hidden="1">Sheet1!$A$1:$AJ$893</definedName>
    <definedName name="Z_7D2F4374_D571_49E4_B659_129D2AFDC43C_.wvu.FilterData" localSheetId="0" hidden="1">Sheet1!$A$4:$AJ$893</definedName>
    <definedName name="Z_7DFDB102_AB8E_41EB_81A4_CD36F3B45121_.wvu.FilterData" localSheetId="0" hidden="1">Sheet1!$A$4:$DE$893</definedName>
    <definedName name="Z_83085181_C77C_4D05_8C8A_9B8FFC5A1DD7_.wvu.FilterData" localSheetId="0" hidden="1">Sheet1!$A$4:$AJ$893</definedName>
    <definedName name="Z_831F7439_6937_483F_B601_184FEF5CECFD_.wvu.FilterData" localSheetId="0" hidden="1">Sheet1!$A$4:$AJ$893</definedName>
    <definedName name="Z_84FB199A_D56E_4FDD_AC4A_70CE86CD87BC_.wvu.FilterData" localSheetId="0" hidden="1">Sheet1!$A$1:$AK$893</definedName>
    <definedName name="Z_84FB199A_D56E_4FDD_AC4A_70CE86CD87BC_.wvu.PrintArea" localSheetId="0" hidden="1">Sheet1!$A$1:$AJ$893</definedName>
    <definedName name="Z_85F3C892_C52D_490E_9A31_2EBB79CFE6B3_.wvu.FilterData" localSheetId="0" hidden="1">Sheet1!$A$4:$DE$893</definedName>
    <definedName name="Z_87F9ACD0_3200_450C_B310_DAAD5FC85307_.wvu.FilterData" localSheetId="0" hidden="1">Sheet1!$A$4:$AJ$893</definedName>
    <definedName name="Z_89EE8E7D_C811_4C16_975A_830983580DAD_.wvu.FilterData" localSheetId="0" hidden="1">Sheet1!$A$4:$DE$893</definedName>
    <definedName name="Z_89F20599_320E_4C2A_9159_8E9F2F24F61C_.wvu.FilterData" localSheetId="0" hidden="1">Sheet1!$A$4:$AJ$893</definedName>
    <definedName name="Z_8A10B14C_0158_4D10_BD20_3EA3BE79AE5C_.wvu.FilterData" localSheetId="0" hidden="1">Sheet1!$A$1:$AJ$893</definedName>
    <definedName name="Z_8AA945B4_D724_4D85_9940_66A1F18CFF54_.wvu.FilterData" localSheetId="0" hidden="1">Sheet1!$A$1:$AJ$893</definedName>
    <definedName name="Z_8EDB8BF9_8BBB_4EEE_B4F0_C5928D0746DD_.wvu.FilterData" localSheetId="0" hidden="1">Sheet1!$A$1:$DE$893</definedName>
    <definedName name="Z_901F9774_8BE7_424D_87C2_1026F3FA2E93_.wvu.FilterData" localSheetId="0" hidden="1">Sheet1!$1:$909</definedName>
    <definedName name="Z_901F9774_8BE7_424D_87C2_1026F3FA2E93_.wvu.PrintArea" localSheetId="0" hidden="1">Sheet1!$A$1:$AJ$893</definedName>
    <definedName name="Z_902D3CAF_0577_4A3F_A86A_C01FD8CA4695_.wvu.FilterData" localSheetId="0" hidden="1">Sheet1!$A$4:$AJ$893</definedName>
    <definedName name="Z_9048650B_365B_48D5_8FC2_A911C6E66865_.wvu.FilterData" localSheetId="0" hidden="1">Sheet1!$A$1:$AJ$893</definedName>
    <definedName name="Z_905D93EA_5662_45AB_8995_A9908B3E5D52_.wvu.FilterData" localSheetId="0" hidden="1">Sheet1!$B$1:$B$909</definedName>
    <definedName name="Z_905D93EA_5662_45AB_8995_A9908B3E5D52_.wvu.PrintArea" localSheetId="0" hidden="1">Sheet1!$A$1:$AJ$893</definedName>
    <definedName name="Z_90D527B8_FE15_48EB_8A8E_6DB0EBF25D81_.wvu.FilterData" localSheetId="0" hidden="1">Sheet1!$A$1:$AJ$893</definedName>
    <definedName name="Z_91199DA1_59E7_4345_8CB7_A1085C901326_.wvu.FilterData" localSheetId="0" hidden="1">Sheet1!$A$4:$AJ$893</definedName>
    <definedName name="Z_91251A9B_6CF6_49E6_857D_BA6C728D7C53_.wvu.FilterData" localSheetId="0" hidden="1">Sheet1!$A$1:$DE$768</definedName>
    <definedName name="Z_9220B091_2E17_41A5_97CA_6AF44BB60369_.wvu.FilterData" localSheetId="0" hidden="1">Sheet1!$A$4:$DE$893</definedName>
    <definedName name="Z_923E7374_9C36_4380_9E0A_313EA2F408F0_.wvu.FilterData" localSheetId="0" hidden="1">Sheet1!$A$4:$AJ$893</definedName>
    <definedName name="Z_9552AAE6_9279_4387_9199_64D0E8A50A87_.wvu.FilterData" localSheetId="0" hidden="1">Sheet1!$A$4:$DE$893</definedName>
    <definedName name="Z_97F6C5A1_2596_4037_A854_1D6AE8A1071E_.wvu.FilterData" localSheetId="0" hidden="1">Sheet1!$A$4:$AJ$893</definedName>
    <definedName name="Z_98856761_4C70_4981_B8AD_C4287D704600_.wvu.FilterData" localSheetId="0" hidden="1">Sheet1!$A$1:$DE$893</definedName>
    <definedName name="Z_9980B309_0131_4577_BF29_212714399FDF_.wvu.FilterData" localSheetId="0" hidden="1">Sheet1!$A$1:$AJ$893</definedName>
    <definedName name="Z_9980B309_0131_4577_BF29_212714399FDF_.wvu.PrintArea" localSheetId="0" hidden="1">Sheet1!$A$1:$AJ$893</definedName>
    <definedName name="Z_99B0F6B4_A00E_4E43_9763_E6AAA385A3A3_.wvu.FilterData" localSheetId="0" hidden="1">Sheet1!$A$4:$AJ$893</definedName>
    <definedName name="Z_9A73B541_5E5D_49AE_9E83_D476C83586E3_.wvu.FilterData" localSheetId="0" hidden="1">Sheet1!$A$4:$AJ$893</definedName>
    <definedName name="Z_9DBBEDFC_B195_46CE_A9AF_AB019B7FD545_.wvu.FilterData" localSheetId="0" hidden="1">Sheet1!$A$4:$DE$893</definedName>
    <definedName name="Z_9DE067B2_E801_456D_B5D0_CD5646CA5948_.wvu.FilterData" localSheetId="0" hidden="1">Sheet1!$A$1:$DE$768</definedName>
    <definedName name="Z_9EA5E3FA_46F1_4729_828C_4A08518018C1_.wvu.FilterData" localSheetId="0" hidden="1">Sheet1!$A$1:$AJ$768</definedName>
    <definedName name="Z_9EA5E3FA_46F1_4729_828C_4A08518018C1_.wvu.PrintArea" localSheetId="0" hidden="1">Sheet1!$A$1:$AJ$893</definedName>
    <definedName name="Z_9F268523_731B_48FE_86AA_1A6382332A83_.wvu.FilterData" localSheetId="0" hidden="1">Sheet1!$A$4:$AJ$893</definedName>
    <definedName name="Z_A093D1FA_1747_4946_A02E_7D721604BB07_.wvu.FilterData" localSheetId="0" hidden="1">Sheet1!$B$1:$B$893</definedName>
    <definedName name="Z_A3134A53_5204_4FFF_BA84_3528D3179C0C_.wvu.FilterData" localSheetId="0" hidden="1">Sheet1!$A$3:$AJ$680</definedName>
    <definedName name="Z_A5B1481C_EF26_486A_984F_85CDDC2FD94F_.wvu.FilterData" localSheetId="0" hidden="1">Sheet1!$A$4:$DE$893</definedName>
    <definedName name="Z_A5B1481C_EF26_486A_984F_85CDDC2FD94F_.wvu.PrintArea" localSheetId="0" hidden="1">Sheet1!$A$1:$AJ$893</definedName>
    <definedName name="Z_A5EFE636_E984_4BB3_BEFD_877FE7A4960F_.wvu.FilterData" localSheetId="0" hidden="1">Sheet1!$A$4:$AJ$893</definedName>
    <definedName name="Z_A87F3E0E_3A8E_4B82_8170_33752259B7DB_.wvu.FilterData" localSheetId="0" hidden="1">Sheet1!$A$4:$AJ$893</definedName>
    <definedName name="Z_A87F3E0E_3A8E_4B82_8170_33752259B7DB_.wvu.PrintArea" localSheetId="0" hidden="1">Sheet1!$A$1:$AJ$893</definedName>
    <definedName name="Z_A9B3B58E_F12B_4916_890B_7D88AA745B81_.wvu.FilterData" localSheetId="0" hidden="1">Sheet1!$A$1:$DE$893</definedName>
    <definedName name="Z_A9C8B68B_7CCD_4DC7_92B4_0CF91200625C_.wvu.FilterData" localSheetId="0" hidden="1">Sheet1!$A$1:$AK$53</definedName>
    <definedName name="Z_AD1D8E66_18A9_4CB7_BBE4_02F7E757257F_.wvu.FilterData" localSheetId="0" hidden="1">Sheet1!$A$1:$DE$893</definedName>
    <definedName name="Z_ADCF07FA_E31E_45AC_A5B3_F3B126787A65_.wvu.FilterData" localSheetId="0" hidden="1">Sheet1!$A$1:$AK$815</definedName>
    <definedName name="Z_AE58BCBC_9F06_4E6C_A28B_2F5626DD7C1B_.wvu.FilterData" localSheetId="0" hidden="1">Sheet1!$A$4:$AJ$893</definedName>
    <definedName name="Z_AE8F3F1B_FDCB_45A5_9CC8_53B4E3A0445E_.wvu.FilterData" localSheetId="0" hidden="1">Sheet1!$A$1:$DE$768</definedName>
    <definedName name="Z_AECBC9F6_D9DE_4043_9C2F_160F7ECDAD3D_.wvu.FilterData" localSheetId="0" hidden="1">Sheet1!$A$4:$AJ$893</definedName>
    <definedName name="Z_B31B819C_CFEB_4B80_9AED_AC603C39BE78_.wvu.FilterData" localSheetId="0" hidden="1">Sheet1!$A$4:$DE$893</definedName>
    <definedName name="Z_B407928D_3938_4D05_B2B2_40B4F21D0436_.wvu.FilterData" localSheetId="0" hidden="1">Sheet1!#REF!</definedName>
    <definedName name="Z_B4445EFA_1A45_4C3B_9EA1_0E0790FECD3E_.wvu.FilterData" localSheetId="0" hidden="1">Sheet1!$A$4:$AJ$893</definedName>
    <definedName name="Z_B5BED753_4D8C_498E_8AE1_A08F7C0956F7_.wvu.FilterData" localSheetId="0" hidden="1">Sheet1!$A$4:$DE$893</definedName>
    <definedName name="Z_B5E00E2B_FB21_48A9_A2B7_06EAAF1DCD1F_.wvu.FilterData" localSheetId="0" hidden="1">Sheet1!$A$1:$AJ$893</definedName>
    <definedName name="Z_B86F2F61_43FD_4B29_80BE_D157A760919E_.wvu.FilterData" localSheetId="0" hidden="1">Sheet1!$A$4:$AJ$893</definedName>
    <definedName name="Z_BB5C630D_1317_4843_984F_E431986514A4_.wvu.FilterData" localSheetId="0" hidden="1">Sheet1!$A$4:$AJ$893</definedName>
    <definedName name="Z_BBF2EF6C_D4AD_46E1_803F_582F4D45F852_.wvu.FilterData" localSheetId="0" hidden="1">Sheet1!$A$1:$DE$893</definedName>
    <definedName name="Z_BDA3804A_96FA_4D9F_AFED_695788A754E9_.wvu.FilterData" localSheetId="0" hidden="1">Sheet1!$A$4:$DE$684</definedName>
    <definedName name="Z_C10084AF_B692_48FA_85A1_6DA070DB4BC7_.wvu.FilterData" localSheetId="0" hidden="1">Sheet1!$A$1:$AJ$433</definedName>
    <definedName name="Z_C19D7685_5857_48C6_97CD_2F755D2B2DF3_.wvu.FilterData" localSheetId="0" hidden="1">Sheet1!$A$1:$AJ$893</definedName>
    <definedName name="Z_C3502361_AD2C_4705_878B_D12169ED60B1_.wvu.FilterData" localSheetId="0" hidden="1">Sheet1!$A$4:$AJ$893</definedName>
    <definedName name="Z_C3502361_AD2C_4705_878B_D12169ED60B1_.wvu.PrintArea" localSheetId="0" hidden="1">Sheet1!$A$1:$AJ$893</definedName>
    <definedName name="Z_C408A2F1_296F_4EAD_B15B_336D73846FDD_.wvu.FilterData" localSheetId="0" hidden="1">Sheet1!$A$1:$AJ$893</definedName>
    <definedName name="Z_C408A2F1_296F_4EAD_B15B_336D73846FDD_.wvu.PrintArea" localSheetId="0" hidden="1">Sheet1!$A$1:$AJ$893</definedName>
    <definedName name="Z_C4E44235_F714_4BCE_B2B0_F4813D3BDF91_.wvu.FilterData" localSheetId="0" hidden="1">Sheet1!$A$4:$AJ$893</definedName>
    <definedName name="Z_C617B00B_5C1E_453A_BF77_BE61E91ACD97_.wvu.FilterData" localSheetId="0" hidden="1">Sheet1!$A$1:$DE$909</definedName>
    <definedName name="Z_C617B00B_5C1E_453A_BF77_BE61E91ACD97_.wvu.PrintArea" localSheetId="0" hidden="1">Sheet1!$A$1:$AJ$893</definedName>
    <definedName name="Z_C71F80D5_B6C1_4ED9_B18D_D719D69F5A47_.wvu.FilterData" localSheetId="0" hidden="1">Sheet1!$A$4:$AJ$893</definedName>
    <definedName name="Z_C90ECED7_D145_417E_BB55_4FC7FD4BF46C_.wvu.FilterData" localSheetId="0" hidden="1">Sheet1!$A$1:$DE$768</definedName>
    <definedName name="Z_CAB79FAE_AA32_4D62_A794_A6DB6513D801_.wvu.FilterData" localSheetId="0" hidden="1">Sheet1!$A$4:$AJ$893</definedName>
    <definedName name="Z_CC4BDE8D_BA98_4771_AE81_02F3DF26285D_.wvu.FilterData" localSheetId="0" hidden="1">Sheet1!$A$1:$AJ$893</definedName>
    <definedName name="Z_CC51448C_22F6_4583_82CD_2835AD1A82D7_.wvu.FilterData" localSheetId="0" hidden="1">Sheet1!$A$1:$AJ$680</definedName>
    <definedName name="Z_CEFAC6F5_4048_4FB5_8E88_A602B5B48691_.wvu.FilterData" localSheetId="0" hidden="1">Sheet1!$A$1:$AJ$135</definedName>
    <definedName name="Z_D14C8FFA_66C9_4AD5_90D4_6B2987347EA7_.wvu.FilterData" localSheetId="0" hidden="1">Sheet1!$A$1:$AJ$135</definedName>
    <definedName name="Z_D1981FDB_7063_4FCF_8DD5_A549E616E6FF_.wvu.FilterData" localSheetId="0" hidden="1">Sheet1!$A$4:$DE$893</definedName>
    <definedName name="Z_D365E121_F95E_415A_8CA0_9EA7ECCC60F5_.wvu.FilterData" localSheetId="0" hidden="1">Sheet1!$A$4:$AJ$893</definedName>
    <definedName name="Z_D3AEB135_5C7C_42C0_A07A_78B57DEB3E5D_.wvu.FilterData" localSheetId="0" hidden="1">Sheet1!$A$1:$AJ$893</definedName>
    <definedName name="Z_D56F5ED6_74F2_4AA3_9A98_EE5750FE63AF_.wvu.FilterData" localSheetId="0" hidden="1">Sheet1!$A$4:$DE$893</definedName>
    <definedName name="Z_D6684B8B_988F_4178_873C_47E3AB7327D0_.wvu.FilterData" localSheetId="0" hidden="1">Sheet1!$A$1:$AJ$893</definedName>
    <definedName name="Z_D802EE0F_98B9_4410_B31B_4ACC0EC9C9BC_.wvu.FilterData" localSheetId="0" hidden="1">Sheet1!$A$4:$AJ$893</definedName>
    <definedName name="Z_D9F6F366_DF3A_42DA_BFCE_91EC88AF7059_.wvu.FilterData" localSheetId="0" hidden="1">Sheet1!$A$4:$DE$893</definedName>
    <definedName name="Z_DA7616F9_5A5C_4D2A_B33C_B1EF83B6751E_.wvu.FilterData" localSheetId="0" hidden="1">Sheet1!$4:$893</definedName>
    <definedName name="Z_DAD27C7B_8B8A_46CB_98B5_59B1D1EFC319_.wvu.FilterData" localSheetId="0" hidden="1">Sheet1!$A$4:$DE$893</definedName>
    <definedName name="Z_DB41C7D7_14F0_4834_A7BD_0F1115A89C8E_.wvu.FilterData" localSheetId="0" hidden="1">Sheet1!$A$4:$DE$893</definedName>
    <definedName name="Z_DB43929D_F4B7_43FF_975F_960476D189E8_.wvu.FilterData" localSheetId="0" hidden="1">Sheet1!$A$4:$AJ$893</definedName>
    <definedName name="Z_DB51BB9F_5710_40B0_80E7_39B059BFD11D_.wvu.FilterData" localSheetId="0" hidden="1">Sheet1!$A$1:$DE$893</definedName>
    <definedName name="Z_DB51BB9F_5710_40B0_80E7_39B059BFD11D_.wvu.PrintArea" localSheetId="0" hidden="1">Sheet1!$A$1:$AJ$893</definedName>
    <definedName name="Z_DD7033C6_3EA7_4E73_ABEA_4285CD1957EA_.wvu.FilterData" localSheetId="0" hidden="1">Sheet1!$A$4:$AJ$893</definedName>
    <definedName name="Z_DD93CA86_AFD6_4C47_828D_70472BFCD288_.wvu.FilterData" localSheetId="0" hidden="1">Sheet1!$A$4:$AJ$893</definedName>
    <definedName name="Z_DE09B69C_7EEF_4060_8E06_F7DEC4B96D7E_.wvu.FilterData" localSheetId="0" hidden="1">Sheet1!$A$4:$AJ$893</definedName>
    <definedName name="Z_E388D237_97F4_4077_98EE_554EA7E7BDFD_.wvu.FilterData" localSheetId="0" hidden="1">Sheet1!$4:$893</definedName>
    <definedName name="Z_E53ADB69_E454_408C_8AAF_7FDA9FEDF6D0_.wvu.FilterData" localSheetId="0" hidden="1">Sheet1!$A$4:$DE$893</definedName>
    <definedName name="Z_E6455570_34BA_413B_82F6_378FA4CCBDF2_.wvu.FilterData" localSheetId="0" hidden="1">Sheet1!$A$4:$AJ$893</definedName>
    <definedName name="Z_E64C6006_DE37_44CA_8083_01C511E323D9_.wvu.FilterData" localSheetId="0" hidden="1">Sheet1!$A$3:$AJ$680</definedName>
    <definedName name="Z_E875C76B_3648_4C9A_A6B2_C3654837AAAC_.wvu.FilterData" localSheetId="0" hidden="1">Sheet1!$A$4:$DE$893</definedName>
    <definedName name="Z_EA64E7D7_BA48_4965_B650_778AE412FE0C_.wvu.FilterData" localSheetId="0" hidden="1">Sheet1!$A$1:$DE$893</definedName>
    <definedName name="Z_EA64E7D7_BA48_4965_B650_778AE412FE0C_.wvu.PrintArea" localSheetId="0" hidden="1">Sheet1!$A$1:$AJ$893</definedName>
    <definedName name="Z_EB0F2E6A_FA33_479E_9A47_8E3494FBB4DE_.wvu.FilterData" localSheetId="0" hidden="1">Sheet1!$A$4:$AJ$893</definedName>
    <definedName name="Z_EB0F2E6A_FA33_479E_9A47_8E3494FBB4DE_.wvu.PrintArea" localSheetId="0" hidden="1">Sheet1!$A$1:$AJ$893</definedName>
    <definedName name="Z_EB688584_325A_400C_AEB8_9170040049B0_.wvu.FilterData" localSheetId="0" hidden="1">Sheet1!$A$1:$AJ$893</definedName>
    <definedName name="Z_EBECCF5E_4B46_43F8_B11C_A2E3D2F626C0_.wvu.FilterData" localSheetId="0" hidden="1">Sheet1!$A$1:$AJ$893</definedName>
    <definedName name="Z_EC924560_B745_4DE3_A0D5_56BE5BB85747_.wvu.FilterData" localSheetId="0" hidden="1">Sheet1!$A$4:$AJ$893</definedName>
    <definedName name="Z_EEA37434_2D22_478B_B49F_C3E8CD4AC2E1_.wvu.FilterData" localSheetId="0" hidden="1">Sheet1!$A$4:$DE$893</definedName>
    <definedName name="Z_EEA37434_2D22_478B_B49F_C3E8CD4AC2E1_.wvu.PrintArea" localSheetId="0" hidden="1">Sheet1!$A$1:$AJ$893</definedName>
    <definedName name="Z_EF10298D_3F59_43F1_9A86_8C1CCA3B5D93_.wvu.FilterData" localSheetId="0" hidden="1">Sheet1!$A$4:$AJ$893</definedName>
    <definedName name="Z_EF10298D_3F59_43F1_9A86_8C1CCA3B5D93_.wvu.PrintArea" localSheetId="0" hidden="1">Sheet1!$A$1:$AJ$893</definedName>
    <definedName name="Z_EFE45138_A2B3_46EB_8A69_D9745D73FBF5_.wvu.FilterData" localSheetId="0" hidden="1">Sheet1!$A$4:$AJ$893</definedName>
    <definedName name="Z_F1FF8598_176D_475F_BFF2_4F9BDA2E6952_.wvu.FilterData" localSheetId="0" hidden="1">Sheet1!$A$1:$AJ$893</definedName>
    <definedName name="Z_F3A1A24F_74AB_497F_AC98_51305A547AD9_.wvu.FilterData" localSheetId="0" hidden="1">Sheet1!$A$4:$AJ$893</definedName>
    <definedName name="Z_F52D90D4_508D_43B6_8295_6D179E5F0FEB_.wvu.FilterData" localSheetId="0" hidden="1">Sheet1!$A$4:$AJ$893</definedName>
    <definedName name="Z_F87A8A59_D53A_435C_8A87_4EC432C7A064_.wvu.FilterData" localSheetId="0" hidden="1">Sheet1!$A$1:$DE$909</definedName>
    <definedName name="Z_F952A18B_3430_4F65_89F2_B7C17998F981_.wvu.FilterData" localSheetId="0" hidden="1">Sheet1!$A$4:$AJ$893</definedName>
    <definedName name="Z_FC0B350C_CDF7_408B_82D9_51AB34E1E398_.wvu.FilterData" localSheetId="0" hidden="1">Sheet1!$A$1:$AJ$893</definedName>
    <definedName name="Z_FCA57096_6DC5_4D66_B221_076BCE14BFDB_.wvu.FilterData" localSheetId="0" hidden="1">Sheet1!$A$4:$AJ$893</definedName>
    <definedName name="Z_FE50EAC0_52A5_4C33_B973_65E93D03D3EA_.wvu.FilterData" localSheetId="0" hidden="1">Sheet1!$A$1:$AJ$893</definedName>
    <definedName name="Z_FE50EAC0_52A5_4C33_B973_65E93D03D3EA_.wvu.PrintArea" localSheetId="0" hidden="1">Sheet1!$A$1:$AJ$893</definedName>
    <definedName name="Z_FFC44E67_8559_4D31_893D_BF5BA4229E04_.wvu.FilterData" localSheetId="0" hidden="1">Sheet1!$A$1:$AJ$768</definedName>
  </definedNames>
  <calcPr calcId="181029"/>
  <customWorkbookViews>
    <customWorkbookView name="elisabeta.trifan - Personal View" guid="{36624B2D-80F9-4F79-AC4A-B3547C36F23F}" mergeInterval="0" personalView="1" maximized="1" xWindow="-9" yWindow="-9" windowWidth="1938" windowHeight="1048" tabRatio="154" activeSheetId="1"/>
    <customWorkbookView name="luminita.jipa - Personal View" guid="{A87F3E0E-3A8E-4B82-8170-33752259B7DB}" mergeInterval="0" personalView="1" maximized="1" xWindow="-8" yWindow="-8" windowWidth="1936" windowHeight="1056" activeSheetId="1"/>
    <customWorkbookView name="daniela.voicu - Personal View" guid="{EA64E7D7-BA48-4965-B650-778AE412FE0C}" mergeInterval="0" personalView="1" maximized="1" xWindow="-11" yWindow="-11" windowWidth="1942" windowHeight="1042" tabRatio="154" activeSheetId="1"/>
    <customWorkbookView name="mariana.moraru - Personal View" guid="{65C35D6D-934F-4431-BA92-90255FC17BA4}" mergeInterval="0" personalView="1" xWindow="224" yWindow="211" windowWidth="1440" windowHeight="759" tabRatio="154" activeSheetId="1"/>
    <customWorkbookView name="cristian.airinei - Personal View" guid="{A5B1481C-EF26-486A-984F-85CDDC2FD94F}" mergeInterval="0" personalView="1" maximized="1" xWindow="1912" yWindow="-8" windowWidth="1936" windowHeight="1056" tabRatio="154" activeSheetId="1"/>
    <customWorkbookView name="Admin - Personal View" guid="{1D1B5983-ECDA-4FB5-B5BD-5FCDD6AA2303}" mergeInterval="0" personalView="1" maximized="1" xWindow="-8" yWindow="-8" windowWidth="1936" windowHeight="1056" tabRatio="154" activeSheetId="1"/>
    <customWorkbookView name="diana.joita - Personal View" guid="{905D93EA-5662-45AB-8995-A9908B3E5D52}" mergeInterval="0" personalView="1" maximized="1" xWindow="-8" yWindow="-8" windowWidth="1936" windowHeight="1056" tabRatio="154" activeSheetId="1"/>
    <customWorkbookView name="Vlad - Personal View" guid="{6D5D71F0-C25E-4A20-AAD9-13707D9E0AED}" mergeInterval="0" personalView="1" maximized="1" xWindow="1912" yWindow="-8" windowWidth="1936" windowHeight="1056" tabRatio="154" activeSheetId="1"/>
    <customWorkbookView name="mihaela.vasilescu - Personal View" guid="{84FB199A-D56E-4FDD-AC4A-70CE86CD87BC}" mergeInterval="0" personalView="1" maximized="1" xWindow="-8" yWindow="-8" windowWidth="1936" windowHeight="1056" tabRatio="154" activeSheetId="1"/>
    <customWorkbookView name="ana.ionescu - Personal View" guid="{9980B309-0131-4577-BF29-212714399FDF}" mergeInterval="0" personalView="1" xWindow="1939" yWindow="6" windowWidth="1883" windowHeight="998" tabRatio="154" activeSheetId="1"/>
    <customWorkbookView name="Stefan Dragan - Personal View" guid="{2C296388-EDB5-4F1F-B0F4-90EC07CCD947}" mergeInterval="0" personalView="1" maximized="1" xWindow="-8" yWindow="-8" windowWidth="1936" windowHeight="1056" tabRatio="154" activeSheetId="1"/>
    <customWorkbookView name="roxana.chitu - Personal View" guid="{DB51BB9F-5710-40B0-80E7-39B059BFD11D}" mergeInterval="0" personalView="1" maximized="1" xWindow="-8" yWindow="-8" windowWidth="1936" windowHeight="1056" tabRatio="154" activeSheetId="1"/>
    <customWorkbookView name="stefan.dragan - Personal View" guid="{9EA5E3FA-46F1-4729-828C-4A08518018C1}" mergeInterval="0" personalView="1" maximized="1" xWindow="-8" yWindow="-8" windowWidth="1936" windowHeight="1056" tabRatio="154" activeSheetId="1"/>
    <customWorkbookView name="veronica.baciu - Personal View" guid="{3AFE79CE-CE75-447D-8C73-1AE63A224CBA}" mergeInterval="0" personalView="1" maximized="1" xWindow="1912" yWindow="-8" windowWidth="1616" windowHeight="916" tabRatio="154" activeSheetId="1"/>
    <customWorkbookView name="aurelian.tarcatu - Personal View" guid="{C3502361-AD2C-4705-878B-D12169ED60B1}" mergeInterval="0" personalView="1" maximized="1" xWindow="-8" yWindow="-8" windowWidth="1936" windowHeight="1056" tabRatio="154" activeSheetId="1"/>
    <customWorkbookView name="Maria - Personal View" guid="{65B035E3-87FA-46C5-996E-864F2C8D0EBC}" mergeInterval="0" personalView="1" maximized="1" xWindow="-8" yWindow="-8" windowWidth="1382" windowHeight="744" tabRatio="154" activeSheetId="1"/>
    <customWorkbookView name="gabriela.clabescu - Personal View" guid="{747340EB-2B31-46D2-ACDE-4FA91E2B50F6}" mergeInterval="0" personalView="1" maximized="1" xWindow="-8" yWindow="-8" windowWidth="1936" windowHeight="1056" tabRatio="154" activeSheetId="1"/>
    <customWorkbookView name="otilia.chirita - Personal View" guid="{0781B6C2-B440-4971-9809-BD16245A70FD}" mergeInterval="0" personalView="1" maximized="1" xWindow="-8" yWindow="-8" windowWidth="1936" windowHeight="1056" tabRatio="154" activeSheetId="1"/>
    <customWorkbookView name="roxana.barbu - Personal View" guid="{53ED3D47-B2C0-43A1-9A1E-F030D529F74C}" mergeInterval="0" personalView="1" maximized="1" xWindow="-8" yWindow="-8" windowWidth="1936" windowHeight="1056" activeSheetId="1"/>
    <customWorkbookView name="sorin.deca - Personal View" guid="{EEA37434-2D22-478B-B49F-C3E8CD4AC2E1}" mergeInterval="0" personalView="1" maximized="1" xWindow="-8" yWindow="-8" windowWidth="1936" windowHeight="1056" tabRatio="154" activeSheetId="1"/>
    <customWorkbookView name="raluca.georgescu - Personal View" guid="{901F9774-8BE7-424D-87C2-1026F3FA2E93}" mergeInterval="0" personalView="1" maximized="1" xWindow="1912" yWindow="-8" windowWidth="1936" windowHeight="1056" tabRatio="154" activeSheetId="1"/>
    <customWorkbookView name="maria.petre - Personal View" guid="{7C1B4D6D-D666-48DD-AB17-E00791B6F0B6}" mergeInterval="0" personalView="1" maximized="1" xWindow="-11" yWindow="-11" windowWidth="1942" windowHeight="1042" tabRatio="154" activeSheetId="1"/>
    <customWorkbookView name="corina.pelmus - Personal View" guid="{EB0F2E6A-FA33-479E-9A47-8E3494FBB4DE}" mergeInterval="0" personalView="1" maximized="1" xWindow="1912" yWindow="-8" windowWidth="1936" windowHeight="1056" tabRatio="154" activeSheetId="1"/>
    <customWorkbookView name="mihaela.nicolae - Personal View" guid="{EF10298D-3F59-43F1-9A86-8C1CCA3B5D93}" mergeInterval="0" personalView="1" maximized="1" xWindow="-11" yWindow="-11" windowWidth="1942" windowHeight="1042" tabRatio="154" activeSheetId="1"/>
    <customWorkbookView name="anca.constantin - Personal View" guid="{C617B00B-5C1E-453A-BF77-BE61E91ACD97}" mergeInterval="0" personalView="1" maximized="1" xWindow="-8" yWindow="-8" windowWidth="1936" windowHeight="1056" tabRatio="154" activeSheetId="1"/>
    <customWorkbookView name="georgiana.dobre - Personal View" guid="{C408A2F1-296F-4EAD-B15B-336D73846FDD}" mergeInterval="0" personalView="1" maximized="1" xWindow="-8" yWindow="-8" windowWidth="1936" windowHeight="1056" tabRatio="154" activeSheetId="1"/>
    <customWorkbookView name="ovidiu.dumitrache - Personal View" guid="{FE50EAC0-52A5-4C33-B973-65E93D03D3EA}" mergeInterval="0" personalView="1" maximized="1" xWindow="-9" yWindow="-9" windowWidth="1938" windowHeight="1048" tabRatio="154" activeSheetId="1"/>
    <customWorkbookView name="mysmis - Personal View" guid="{1CC91F84-AEF4-4042-AB5F-6C7D03A1F066}" mergeInterval="0" personalView="1" maximized="1" xWindow="1" yWindow="1" windowWidth="1627" windowHeight="622" tabRatio="154" activeSheetId="1"/>
    <customWorkbookView name="vlad.pereteanu - Personal View" guid="{5AAA4DFE-88B1-4674-95ED-5FCD7A50BC22}" mergeInterval="0" personalView="1" maximized="1" xWindow="-9" yWindow="-9" windowWidth="1938" windowHeight="1048" tabRatio="154" activeSheetId="1"/>
  </customWorkbookViews>
  <fileRecoveryPr autoRecover="0"/>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D897" i="1" l="1"/>
  <c r="AD5" i="1" l="1"/>
  <c r="AD6" i="1"/>
  <c r="AD7" i="1"/>
  <c r="AD8" i="1"/>
  <c r="AD9" i="1"/>
  <c r="AD10" i="1"/>
  <c r="AD11" i="1"/>
  <c r="AD12" i="1"/>
  <c r="AD13" i="1"/>
  <c r="AD14" i="1"/>
  <c r="AD15" i="1"/>
  <c r="AD16" i="1"/>
  <c r="AD17" i="1"/>
  <c r="AD18" i="1"/>
  <c r="AD19" i="1"/>
  <c r="AD20" i="1"/>
  <c r="AD21" i="1"/>
  <c r="AD22" i="1"/>
  <c r="AD23" i="1"/>
  <c r="AD24" i="1"/>
  <c r="AD25" i="1"/>
  <c r="AD26" i="1"/>
  <c r="AD27" i="1"/>
  <c r="AD28" i="1"/>
  <c r="AD29" i="1"/>
  <c r="AD30" i="1"/>
  <c r="AD31" i="1"/>
  <c r="AD32" i="1"/>
  <c r="AD33" i="1"/>
  <c r="AD34" i="1"/>
  <c r="AD35" i="1"/>
  <c r="AD36" i="1"/>
  <c r="AD37" i="1"/>
  <c r="AD38" i="1"/>
  <c r="AD39" i="1"/>
  <c r="AD40" i="1"/>
  <c r="AD41" i="1"/>
  <c r="AD42" i="1"/>
  <c r="AD43" i="1"/>
  <c r="AD44" i="1"/>
  <c r="AD45" i="1"/>
  <c r="AD46" i="1"/>
  <c r="AD47" i="1"/>
  <c r="AD48" i="1"/>
  <c r="AD49" i="1"/>
  <c r="AD50" i="1"/>
  <c r="AD51" i="1"/>
  <c r="AD52" i="1"/>
  <c r="AD53" i="1"/>
  <c r="AD54" i="1"/>
  <c r="AD55" i="1"/>
  <c r="AD56" i="1"/>
  <c r="AD57" i="1"/>
  <c r="AD58" i="1"/>
  <c r="AD59" i="1"/>
  <c r="AD60" i="1"/>
  <c r="AD61" i="1"/>
  <c r="AD62" i="1"/>
  <c r="AD63" i="1"/>
  <c r="AD64" i="1"/>
  <c r="AD65" i="1"/>
  <c r="AD66" i="1"/>
  <c r="AD67" i="1"/>
  <c r="AD68" i="1"/>
  <c r="AD69" i="1"/>
  <c r="AD70" i="1"/>
  <c r="AD71" i="1"/>
  <c r="AD72" i="1"/>
  <c r="AD73" i="1"/>
  <c r="AD74" i="1"/>
  <c r="AD75" i="1"/>
  <c r="AD76" i="1"/>
  <c r="AD77" i="1"/>
  <c r="AD78" i="1"/>
  <c r="AD79" i="1"/>
  <c r="AD80" i="1"/>
  <c r="AD81" i="1"/>
  <c r="AD82" i="1"/>
  <c r="AD83" i="1"/>
  <c r="AD84" i="1"/>
  <c r="AD85" i="1"/>
  <c r="AD86" i="1"/>
  <c r="AD87" i="1"/>
  <c r="AD88" i="1"/>
  <c r="AD89" i="1"/>
  <c r="AD90" i="1"/>
  <c r="AD91" i="1"/>
  <c r="AD92" i="1"/>
  <c r="AD93" i="1"/>
  <c r="AD94" i="1"/>
  <c r="AD95" i="1"/>
  <c r="AD96" i="1"/>
  <c r="AD97" i="1"/>
  <c r="AD98" i="1"/>
  <c r="AD99" i="1"/>
  <c r="AD100" i="1"/>
  <c r="AD101" i="1"/>
  <c r="AD102" i="1"/>
  <c r="AD103" i="1"/>
  <c r="AD104" i="1"/>
  <c r="AD105" i="1"/>
  <c r="AD106" i="1"/>
  <c r="AD107" i="1"/>
  <c r="AD108" i="1"/>
  <c r="AD109" i="1"/>
  <c r="AD110" i="1"/>
  <c r="AD111" i="1"/>
  <c r="AD112" i="1"/>
  <c r="AD113" i="1"/>
  <c r="AD114" i="1"/>
  <c r="AD115" i="1"/>
  <c r="AD116" i="1"/>
  <c r="AD117" i="1"/>
  <c r="AD118" i="1"/>
  <c r="AD119" i="1"/>
  <c r="AD120" i="1"/>
  <c r="AD121" i="1"/>
  <c r="AD122" i="1"/>
  <c r="AD123" i="1"/>
  <c r="AD124" i="1"/>
  <c r="AD125" i="1"/>
  <c r="AD126" i="1"/>
  <c r="AD127" i="1"/>
  <c r="AD128" i="1"/>
  <c r="AD129" i="1"/>
  <c r="AD130" i="1"/>
  <c r="AD131" i="1"/>
  <c r="AD132" i="1"/>
  <c r="AD133" i="1"/>
  <c r="AD134" i="1"/>
  <c r="AD135" i="1"/>
  <c r="AD136" i="1"/>
  <c r="AD137" i="1"/>
  <c r="AD138" i="1"/>
  <c r="AD139" i="1"/>
  <c r="AD140" i="1"/>
  <c r="AD141" i="1"/>
  <c r="AD142" i="1"/>
  <c r="AD143" i="1"/>
  <c r="AD144" i="1"/>
  <c r="AD145" i="1"/>
  <c r="AD146" i="1"/>
  <c r="AD147" i="1"/>
  <c r="AD148" i="1"/>
  <c r="AD149" i="1"/>
  <c r="AD150" i="1"/>
  <c r="AD151" i="1"/>
  <c r="AD152" i="1"/>
  <c r="AD153" i="1"/>
  <c r="AD154" i="1"/>
  <c r="AD155" i="1"/>
  <c r="AD156" i="1"/>
  <c r="AD157" i="1"/>
  <c r="AD158" i="1"/>
  <c r="AD159" i="1"/>
  <c r="AD160" i="1"/>
  <c r="AD161" i="1"/>
  <c r="AD162" i="1"/>
  <c r="AD163" i="1"/>
  <c r="AD164" i="1"/>
  <c r="AD165" i="1"/>
  <c r="AD166" i="1"/>
  <c r="AD167" i="1"/>
  <c r="AD168" i="1"/>
  <c r="AD169" i="1"/>
  <c r="AD170" i="1"/>
  <c r="AD171" i="1"/>
  <c r="AD172" i="1"/>
  <c r="AD173" i="1"/>
  <c r="AD174" i="1"/>
  <c r="AD175" i="1"/>
  <c r="AD176" i="1"/>
  <c r="AD177" i="1"/>
  <c r="AD178" i="1"/>
  <c r="AD179" i="1"/>
  <c r="AD180" i="1"/>
  <c r="AD181" i="1"/>
  <c r="AD182" i="1"/>
  <c r="AD183" i="1"/>
  <c r="AD184" i="1"/>
  <c r="AD185" i="1"/>
  <c r="AD186" i="1"/>
  <c r="AD187" i="1"/>
  <c r="AD188" i="1"/>
  <c r="AD189" i="1"/>
  <c r="AD190" i="1"/>
  <c r="AD191" i="1"/>
  <c r="AD192" i="1"/>
  <c r="AD193" i="1"/>
  <c r="AD194" i="1"/>
  <c r="AD195" i="1"/>
  <c r="AD196" i="1"/>
  <c r="AD197" i="1"/>
  <c r="AD198" i="1"/>
  <c r="AD199" i="1"/>
  <c r="AD200" i="1"/>
  <c r="AD201" i="1"/>
  <c r="AD202" i="1"/>
  <c r="AD203" i="1"/>
  <c r="AD204" i="1"/>
  <c r="AD205" i="1"/>
  <c r="AD206" i="1"/>
  <c r="AD207" i="1"/>
  <c r="AD208" i="1"/>
  <c r="AD209" i="1"/>
  <c r="AD210" i="1"/>
  <c r="AD211" i="1"/>
  <c r="AD212" i="1"/>
  <c r="AD213" i="1"/>
  <c r="AD214" i="1"/>
  <c r="AD215" i="1"/>
  <c r="AD216" i="1"/>
  <c r="AD217" i="1"/>
  <c r="AD218" i="1"/>
  <c r="AD219" i="1"/>
  <c r="AD220" i="1"/>
  <c r="AD221" i="1"/>
  <c r="AD222" i="1"/>
  <c r="AD223" i="1"/>
  <c r="AD224" i="1"/>
  <c r="AD225" i="1"/>
  <c r="AD226" i="1"/>
  <c r="AD227" i="1"/>
  <c r="AD228" i="1"/>
  <c r="AD229" i="1"/>
  <c r="AD230" i="1"/>
  <c r="AD231" i="1"/>
  <c r="AD232" i="1"/>
  <c r="AD233" i="1"/>
  <c r="AD234" i="1"/>
  <c r="AD235" i="1"/>
  <c r="AD236" i="1"/>
  <c r="AD237" i="1"/>
  <c r="AD238" i="1"/>
  <c r="AD239" i="1"/>
  <c r="AD240" i="1"/>
  <c r="AD241" i="1"/>
  <c r="AD242" i="1"/>
  <c r="AD243" i="1"/>
  <c r="AD244" i="1"/>
  <c r="AD245" i="1"/>
  <c r="AD246" i="1"/>
  <c r="AD247" i="1"/>
  <c r="AD248" i="1"/>
  <c r="AD249" i="1"/>
  <c r="AD250" i="1"/>
  <c r="AD251" i="1"/>
  <c r="AD252" i="1"/>
  <c r="AD253" i="1"/>
  <c r="AD254" i="1"/>
  <c r="AD255" i="1"/>
  <c r="AD256" i="1"/>
  <c r="AD257" i="1"/>
  <c r="AD258" i="1"/>
  <c r="AD259" i="1"/>
  <c r="AD260" i="1"/>
  <c r="AD261" i="1"/>
  <c r="AD262" i="1"/>
  <c r="AD263" i="1"/>
  <c r="AD264" i="1"/>
  <c r="AD265" i="1"/>
  <c r="AD266" i="1"/>
  <c r="AD267" i="1"/>
  <c r="AD268" i="1"/>
  <c r="AD269" i="1"/>
  <c r="AD270" i="1"/>
  <c r="AD271" i="1"/>
  <c r="AD272" i="1"/>
  <c r="AD273" i="1"/>
  <c r="AD274" i="1"/>
  <c r="AD275" i="1"/>
  <c r="AD276" i="1"/>
  <c r="AD277" i="1"/>
  <c r="AD278" i="1"/>
  <c r="AD279" i="1"/>
  <c r="AD280" i="1"/>
  <c r="AD281" i="1"/>
  <c r="AD282" i="1"/>
  <c r="AD283" i="1"/>
  <c r="AD284" i="1"/>
  <c r="AD285" i="1"/>
  <c r="AD286" i="1"/>
  <c r="AD287" i="1"/>
  <c r="AD288" i="1"/>
  <c r="AD289" i="1"/>
  <c r="AD290" i="1"/>
  <c r="AD291" i="1"/>
  <c r="AD292" i="1"/>
  <c r="AD293" i="1"/>
  <c r="AD294" i="1"/>
  <c r="AD295" i="1"/>
  <c r="AD296" i="1"/>
  <c r="AD297" i="1"/>
  <c r="AD298" i="1"/>
  <c r="AD299" i="1"/>
  <c r="AD300" i="1"/>
  <c r="AD301" i="1"/>
  <c r="AD302" i="1"/>
  <c r="AD303" i="1"/>
  <c r="AD304" i="1"/>
  <c r="AD305" i="1"/>
  <c r="AD306" i="1"/>
  <c r="AD307" i="1"/>
  <c r="AD308" i="1"/>
  <c r="AD309" i="1"/>
  <c r="AD310" i="1"/>
  <c r="AD311" i="1"/>
  <c r="AD312" i="1"/>
  <c r="AD313" i="1"/>
  <c r="AD314" i="1"/>
  <c r="AD315" i="1"/>
  <c r="AD316" i="1"/>
  <c r="AD317" i="1"/>
  <c r="AD318" i="1"/>
  <c r="AD319" i="1"/>
  <c r="AD320" i="1"/>
  <c r="AD321" i="1"/>
  <c r="AD322" i="1"/>
  <c r="AD323" i="1"/>
  <c r="AD324" i="1"/>
  <c r="AD325" i="1"/>
  <c r="AD326" i="1"/>
  <c r="AD327" i="1"/>
  <c r="AD328" i="1"/>
  <c r="AD329" i="1"/>
  <c r="AD330" i="1"/>
  <c r="AD331" i="1"/>
  <c r="AD332" i="1"/>
  <c r="AD333" i="1"/>
  <c r="AD334" i="1"/>
  <c r="AD335" i="1"/>
  <c r="AD336" i="1"/>
  <c r="AD337" i="1"/>
  <c r="AD338" i="1"/>
  <c r="AD339" i="1"/>
  <c r="AD340" i="1"/>
  <c r="AD341" i="1"/>
  <c r="AD342" i="1"/>
  <c r="AD343" i="1"/>
  <c r="AD344" i="1"/>
  <c r="AD345" i="1"/>
  <c r="AD346" i="1"/>
  <c r="AD347" i="1"/>
  <c r="AD348" i="1"/>
  <c r="AD349" i="1"/>
  <c r="AD350" i="1"/>
  <c r="AD351" i="1"/>
  <c r="AD352" i="1"/>
  <c r="AD353" i="1"/>
  <c r="AD354" i="1"/>
  <c r="AD355" i="1"/>
  <c r="AD356" i="1"/>
  <c r="AD357" i="1"/>
  <c r="AD358" i="1"/>
  <c r="AD359" i="1"/>
  <c r="AD360" i="1"/>
  <c r="AD361" i="1"/>
  <c r="AD362" i="1"/>
  <c r="AD363" i="1"/>
  <c r="AD364" i="1"/>
  <c r="AD365" i="1"/>
  <c r="AD366" i="1"/>
  <c r="AD367" i="1"/>
  <c r="AD368" i="1"/>
  <c r="AD369" i="1"/>
  <c r="AD370" i="1"/>
  <c r="AD371" i="1"/>
  <c r="AD372" i="1"/>
  <c r="AD373" i="1"/>
  <c r="AD374" i="1"/>
  <c r="AD375" i="1"/>
  <c r="AD376" i="1"/>
  <c r="AD377" i="1"/>
  <c r="AD378" i="1"/>
  <c r="AD379" i="1"/>
  <c r="AD380" i="1"/>
  <c r="AD381" i="1"/>
  <c r="AD382" i="1"/>
  <c r="AD383" i="1"/>
  <c r="AD384" i="1"/>
  <c r="AD385" i="1"/>
  <c r="AD386" i="1"/>
  <c r="AD387" i="1"/>
  <c r="AD388" i="1"/>
  <c r="AD389" i="1"/>
  <c r="AD390" i="1"/>
  <c r="AD391" i="1"/>
  <c r="AD392" i="1"/>
  <c r="AD393" i="1"/>
  <c r="AD394" i="1"/>
  <c r="AD395" i="1"/>
  <c r="AD396" i="1"/>
  <c r="AD397" i="1"/>
  <c r="AD398" i="1"/>
  <c r="AD399" i="1"/>
  <c r="AD400" i="1"/>
  <c r="AD401" i="1"/>
  <c r="AD402" i="1"/>
  <c r="AD403" i="1"/>
  <c r="AD404" i="1"/>
  <c r="AD405" i="1"/>
  <c r="AD406" i="1"/>
  <c r="AD407" i="1"/>
  <c r="AD408" i="1"/>
  <c r="AD409" i="1"/>
  <c r="AD410" i="1"/>
  <c r="AD411" i="1"/>
  <c r="AD412" i="1"/>
  <c r="AD413" i="1"/>
  <c r="AD414" i="1"/>
  <c r="AD415" i="1"/>
  <c r="AD416" i="1"/>
  <c r="AD417" i="1"/>
  <c r="AD418" i="1"/>
  <c r="AD419" i="1"/>
  <c r="AD420" i="1"/>
  <c r="AD421" i="1"/>
  <c r="AD422" i="1"/>
  <c r="AD423" i="1"/>
  <c r="AD424" i="1"/>
  <c r="AD425" i="1"/>
  <c r="AD426" i="1"/>
  <c r="AD427" i="1"/>
  <c r="AD428" i="1"/>
  <c r="AD429" i="1"/>
  <c r="AD430" i="1"/>
  <c r="AD431" i="1"/>
  <c r="AD432" i="1"/>
  <c r="AD433" i="1"/>
  <c r="AD434" i="1"/>
  <c r="AD435" i="1"/>
  <c r="AD436" i="1"/>
  <c r="AD437" i="1"/>
  <c r="AD438" i="1"/>
  <c r="AD439" i="1"/>
  <c r="AD440" i="1"/>
  <c r="AD441" i="1"/>
  <c r="AD442" i="1"/>
  <c r="AD443" i="1"/>
  <c r="AD444" i="1"/>
  <c r="AD445" i="1"/>
  <c r="AD446" i="1"/>
  <c r="AD447" i="1"/>
  <c r="AD448" i="1"/>
  <c r="AD449" i="1"/>
  <c r="AD450" i="1"/>
  <c r="AD451" i="1"/>
  <c r="AD452" i="1"/>
  <c r="AD453" i="1"/>
  <c r="AD454" i="1"/>
  <c r="AD455" i="1"/>
  <c r="AD456" i="1"/>
  <c r="AD457" i="1"/>
  <c r="AD458" i="1"/>
  <c r="AD459" i="1"/>
  <c r="AD460" i="1"/>
  <c r="AD461" i="1"/>
  <c r="AD462" i="1"/>
  <c r="AD463" i="1"/>
  <c r="AD464" i="1"/>
  <c r="AD465" i="1"/>
  <c r="AD466" i="1"/>
  <c r="AD467" i="1"/>
  <c r="AD468" i="1"/>
  <c r="AD469" i="1"/>
  <c r="AD470" i="1"/>
  <c r="AD471" i="1"/>
  <c r="AD472" i="1"/>
  <c r="AD473" i="1"/>
  <c r="AD474" i="1"/>
  <c r="AD475" i="1"/>
  <c r="AD476" i="1"/>
  <c r="AD477" i="1"/>
  <c r="AD478" i="1"/>
  <c r="AD479" i="1"/>
  <c r="AD480" i="1"/>
  <c r="AD481" i="1"/>
  <c r="AD482" i="1"/>
  <c r="AD483" i="1"/>
  <c r="AD484" i="1"/>
  <c r="AD485" i="1"/>
  <c r="AD486" i="1"/>
  <c r="AD487" i="1"/>
  <c r="AD488" i="1"/>
  <c r="AD489" i="1"/>
  <c r="AD490" i="1"/>
  <c r="AD491" i="1"/>
  <c r="AD492" i="1"/>
  <c r="AD493" i="1"/>
  <c r="AD494" i="1"/>
  <c r="AD495" i="1"/>
  <c r="AD496" i="1"/>
  <c r="AD497" i="1"/>
  <c r="AD498" i="1"/>
  <c r="AD499" i="1"/>
  <c r="AD500" i="1"/>
  <c r="AD501" i="1"/>
  <c r="AD502" i="1"/>
  <c r="AD503" i="1"/>
  <c r="AD504" i="1"/>
  <c r="AD505" i="1"/>
  <c r="AD506" i="1"/>
  <c r="AD507" i="1"/>
  <c r="AD508" i="1"/>
  <c r="AD509" i="1"/>
  <c r="AD510" i="1"/>
  <c r="AD511" i="1"/>
  <c r="AD512" i="1"/>
  <c r="AD513" i="1"/>
  <c r="AD514" i="1"/>
  <c r="AD515" i="1"/>
  <c r="AD516" i="1"/>
  <c r="AD517" i="1"/>
  <c r="AD518" i="1"/>
  <c r="AD519" i="1"/>
  <c r="AD520" i="1"/>
  <c r="AD521" i="1"/>
  <c r="AD522" i="1"/>
  <c r="AD523" i="1"/>
  <c r="AD524" i="1"/>
  <c r="AD525" i="1"/>
  <c r="AD526" i="1"/>
  <c r="AD527" i="1"/>
  <c r="AD528" i="1"/>
  <c r="AD529" i="1"/>
  <c r="AD530" i="1"/>
  <c r="AD531" i="1"/>
  <c r="AD532" i="1"/>
  <c r="AD533" i="1"/>
  <c r="AD534" i="1"/>
  <c r="AD535" i="1"/>
  <c r="AD536" i="1"/>
  <c r="AD537" i="1"/>
  <c r="AD538" i="1"/>
  <c r="AD539" i="1"/>
  <c r="AD540" i="1"/>
  <c r="AD541" i="1"/>
  <c r="AD542" i="1"/>
  <c r="AD543" i="1"/>
  <c r="AD544" i="1"/>
  <c r="AD545" i="1"/>
  <c r="AD546" i="1"/>
  <c r="AD547" i="1"/>
  <c r="AD548" i="1"/>
  <c r="AD549" i="1"/>
  <c r="AD550" i="1"/>
  <c r="AD551" i="1"/>
  <c r="AD552" i="1"/>
  <c r="AD553" i="1"/>
  <c r="AD554" i="1"/>
  <c r="AD555" i="1"/>
  <c r="AD556" i="1"/>
  <c r="AD557" i="1"/>
  <c r="AD558" i="1"/>
  <c r="AD559" i="1"/>
  <c r="AD560" i="1"/>
  <c r="AD561" i="1"/>
  <c r="AD562" i="1"/>
  <c r="AD563" i="1"/>
  <c r="AD564" i="1"/>
  <c r="AD565" i="1"/>
  <c r="AD566" i="1"/>
  <c r="AD567" i="1"/>
  <c r="AD568" i="1"/>
  <c r="AD569" i="1"/>
  <c r="AD570" i="1"/>
  <c r="AD571" i="1"/>
  <c r="AD572" i="1"/>
  <c r="AD573" i="1"/>
  <c r="AD574" i="1"/>
  <c r="AD575" i="1"/>
  <c r="AD576" i="1"/>
  <c r="AD577" i="1"/>
  <c r="AD578" i="1"/>
  <c r="AD579" i="1"/>
  <c r="AD580" i="1"/>
  <c r="AD581" i="1"/>
  <c r="AD582" i="1"/>
  <c r="AD583" i="1"/>
  <c r="AD584" i="1"/>
  <c r="AD585" i="1"/>
  <c r="AD586" i="1"/>
  <c r="AD587" i="1"/>
  <c r="AD588" i="1"/>
  <c r="AD589" i="1"/>
  <c r="AD590" i="1"/>
  <c r="AD591" i="1"/>
  <c r="AD592" i="1"/>
  <c r="AD593" i="1"/>
  <c r="AD594" i="1"/>
  <c r="AD595" i="1"/>
  <c r="AD596" i="1"/>
  <c r="AD597" i="1"/>
  <c r="AD598" i="1"/>
  <c r="AD599" i="1"/>
  <c r="AD600" i="1"/>
  <c r="AD601" i="1"/>
  <c r="AD602" i="1"/>
  <c r="AD603" i="1"/>
  <c r="AD604" i="1"/>
  <c r="AD605" i="1"/>
  <c r="AD606" i="1"/>
  <c r="AD607" i="1"/>
  <c r="AD608" i="1"/>
  <c r="AD609" i="1"/>
  <c r="AD610" i="1"/>
  <c r="AD611" i="1"/>
  <c r="AD612" i="1"/>
  <c r="AD613" i="1"/>
  <c r="AD614" i="1"/>
  <c r="AD615" i="1"/>
  <c r="AD616" i="1"/>
  <c r="AD617" i="1"/>
  <c r="AD618" i="1"/>
  <c r="AD619" i="1"/>
  <c r="AD620" i="1"/>
  <c r="AD621" i="1"/>
  <c r="AD622" i="1"/>
  <c r="AD623" i="1"/>
  <c r="AD624" i="1"/>
  <c r="AD625" i="1"/>
  <c r="AD626" i="1"/>
  <c r="AD627" i="1"/>
  <c r="AD628" i="1"/>
  <c r="AD629" i="1"/>
  <c r="AD630" i="1"/>
  <c r="AD631" i="1"/>
  <c r="AD632" i="1"/>
  <c r="AD633" i="1"/>
  <c r="AD634" i="1"/>
  <c r="AD635" i="1"/>
  <c r="AD636" i="1"/>
  <c r="AD637" i="1"/>
  <c r="AD638" i="1"/>
  <c r="AD639" i="1"/>
  <c r="AD640" i="1"/>
  <c r="AD641" i="1"/>
  <c r="AD642" i="1"/>
  <c r="AD643" i="1"/>
  <c r="AD644" i="1"/>
  <c r="AD645" i="1"/>
  <c r="AD646" i="1"/>
  <c r="AD647" i="1"/>
  <c r="AD648" i="1"/>
  <c r="AD649" i="1"/>
  <c r="AD650" i="1"/>
  <c r="AD651" i="1"/>
  <c r="AD652" i="1"/>
  <c r="AD653" i="1"/>
  <c r="AD654" i="1"/>
  <c r="AD655" i="1"/>
  <c r="AD656" i="1"/>
  <c r="AD657" i="1"/>
  <c r="AD658" i="1"/>
  <c r="AD659" i="1"/>
  <c r="AD660" i="1"/>
  <c r="AD661" i="1"/>
  <c r="AD662" i="1"/>
  <c r="AD663" i="1"/>
  <c r="AD664" i="1"/>
  <c r="AD665" i="1"/>
  <c r="AD666" i="1"/>
  <c r="AD667" i="1"/>
  <c r="AD668" i="1"/>
  <c r="AD669" i="1"/>
  <c r="AD670" i="1"/>
  <c r="AD671" i="1"/>
  <c r="AD672" i="1"/>
  <c r="AD673" i="1"/>
  <c r="AD674" i="1"/>
  <c r="AD675" i="1"/>
  <c r="AD676" i="1"/>
  <c r="AD677" i="1"/>
  <c r="AD678" i="1"/>
  <c r="AD679" i="1"/>
  <c r="AD680" i="1"/>
  <c r="AD681" i="1"/>
  <c r="AD682" i="1"/>
  <c r="AD683" i="1"/>
  <c r="AD684" i="1"/>
  <c r="AD685" i="1"/>
  <c r="AD686" i="1"/>
  <c r="AD687" i="1"/>
  <c r="AD688" i="1"/>
  <c r="AD689" i="1"/>
  <c r="AD690" i="1"/>
  <c r="AD691" i="1"/>
  <c r="AD692" i="1"/>
  <c r="AD693" i="1"/>
  <c r="AD694" i="1"/>
  <c r="AD695" i="1"/>
  <c r="AD696" i="1"/>
  <c r="AD697" i="1"/>
  <c r="AD698" i="1"/>
  <c r="AD699" i="1"/>
  <c r="AD700" i="1"/>
  <c r="AD701" i="1"/>
  <c r="AD702" i="1"/>
  <c r="AD703" i="1"/>
  <c r="AD704" i="1"/>
  <c r="AD705" i="1"/>
  <c r="AD706" i="1"/>
  <c r="AD707" i="1"/>
  <c r="AD708" i="1"/>
  <c r="AD709" i="1"/>
  <c r="AD710" i="1"/>
  <c r="AD711" i="1"/>
  <c r="AD712" i="1"/>
  <c r="AD713" i="1"/>
  <c r="AD714" i="1"/>
  <c r="AD715" i="1"/>
  <c r="AD716" i="1"/>
  <c r="AD717" i="1"/>
  <c r="AD718" i="1"/>
  <c r="AD719" i="1"/>
  <c r="AD720" i="1"/>
  <c r="AD721" i="1"/>
  <c r="AD722" i="1"/>
  <c r="AD723" i="1"/>
  <c r="AD724" i="1"/>
  <c r="AD725" i="1"/>
  <c r="AD726" i="1"/>
  <c r="AD727" i="1"/>
  <c r="AD728" i="1"/>
  <c r="AD729" i="1"/>
  <c r="AD730" i="1"/>
  <c r="AD731" i="1"/>
  <c r="AD732" i="1"/>
  <c r="AD733" i="1"/>
  <c r="AD734" i="1"/>
  <c r="AD735" i="1"/>
  <c r="AD736" i="1"/>
  <c r="AD737" i="1"/>
  <c r="AD738" i="1"/>
  <c r="AD739" i="1"/>
  <c r="AD740" i="1"/>
  <c r="AD741" i="1"/>
  <c r="AD742" i="1"/>
  <c r="AD743" i="1"/>
  <c r="AD744" i="1"/>
  <c r="AD745" i="1"/>
  <c r="AD746" i="1"/>
  <c r="AD747" i="1"/>
  <c r="AD748" i="1"/>
  <c r="AD749" i="1"/>
  <c r="AD750" i="1"/>
  <c r="AD751" i="1"/>
  <c r="AD752" i="1"/>
  <c r="AD753" i="1"/>
  <c r="AD754" i="1"/>
  <c r="AD755" i="1"/>
  <c r="AD756" i="1"/>
  <c r="AD757" i="1"/>
  <c r="AD758" i="1"/>
  <c r="AD759" i="1"/>
  <c r="AD760" i="1"/>
  <c r="AD761" i="1"/>
  <c r="AD762" i="1"/>
  <c r="AD763" i="1"/>
  <c r="AD764" i="1"/>
  <c r="AD765" i="1"/>
  <c r="AD766" i="1"/>
  <c r="AD767" i="1"/>
  <c r="AD768" i="1"/>
  <c r="AD769" i="1"/>
  <c r="AD770" i="1"/>
  <c r="AD771" i="1"/>
  <c r="AD772" i="1"/>
  <c r="AD773" i="1"/>
  <c r="AD774" i="1"/>
  <c r="AD775" i="1"/>
  <c r="AD776" i="1"/>
  <c r="AD777" i="1"/>
  <c r="AD778" i="1"/>
  <c r="AD779" i="1"/>
  <c r="AD780" i="1"/>
  <c r="AD781" i="1"/>
  <c r="AD782" i="1"/>
  <c r="AD783" i="1"/>
  <c r="AD784" i="1"/>
  <c r="AD785" i="1"/>
  <c r="AD786" i="1"/>
  <c r="AD787" i="1"/>
  <c r="AD788" i="1"/>
  <c r="AD789" i="1"/>
  <c r="AD790" i="1"/>
  <c r="AD791" i="1"/>
  <c r="AD792" i="1"/>
  <c r="AD793" i="1"/>
  <c r="AD794" i="1"/>
  <c r="AD795" i="1"/>
  <c r="AD796" i="1"/>
  <c r="AD797" i="1"/>
  <c r="AD798" i="1"/>
  <c r="AD799" i="1"/>
  <c r="AD800" i="1"/>
  <c r="AD801" i="1"/>
  <c r="AD802" i="1"/>
  <c r="AD803" i="1"/>
  <c r="AD804" i="1"/>
  <c r="AD805" i="1"/>
  <c r="AD806" i="1"/>
  <c r="AD807" i="1"/>
  <c r="AD808" i="1"/>
  <c r="AD809" i="1"/>
  <c r="AD810" i="1"/>
  <c r="AD811" i="1"/>
  <c r="AD812" i="1"/>
  <c r="AD813" i="1"/>
  <c r="AD814" i="1"/>
  <c r="AD815" i="1"/>
  <c r="AD816" i="1"/>
  <c r="AD817" i="1"/>
  <c r="AD818" i="1"/>
  <c r="AD819" i="1"/>
  <c r="AD820" i="1"/>
  <c r="AD821" i="1"/>
  <c r="AD822" i="1"/>
  <c r="AD823" i="1"/>
  <c r="AD824" i="1"/>
  <c r="AD825" i="1"/>
  <c r="AD826" i="1"/>
  <c r="AD827" i="1"/>
  <c r="AD828" i="1"/>
  <c r="AD829" i="1"/>
  <c r="AD830" i="1"/>
  <c r="AD831" i="1"/>
  <c r="AD832" i="1"/>
  <c r="AD833" i="1"/>
  <c r="AD834" i="1"/>
  <c r="AD835" i="1"/>
  <c r="AD836" i="1"/>
  <c r="AD837" i="1"/>
  <c r="AD838" i="1"/>
  <c r="AD839" i="1"/>
  <c r="AD840" i="1"/>
  <c r="AD841" i="1"/>
  <c r="AD842" i="1"/>
  <c r="AD843" i="1"/>
  <c r="AD844" i="1"/>
  <c r="AD845" i="1"/>
  <c r="AD846" i="1"/>
  <c r="AD847" i="1"/>
  <c r="AD848" i="1"/>
  <c r="AD849" i="1"/>
  <c r="AD850" i="1"/>
  <c r="AD851" i="1"/>
  <c r="AD852" i="1"/>
  <c r="AD853" i="1"/>
  <c r="AD854" i="1"/>
  <c r="AD855" i="1"/>
  <c r="AD856" i="1"/>
  <c r="AD857" i="1"/>
  <c r="AD858" i="1"/>
  <c r="AD859" i="1"/>
  <c r="AD860" i="1"/>
  <c r="AD861" i="1"/>
  <c r="AD862" i="1"/>
  <c r="AD863" i="1"/>
  <c r="AD864" i="1"/>
  <c r="AD865" i="1"/>
  <c r="AD866" i="1"/>
  <c r="AD867" i="1"/>
  <c r="AD868" i="1"/>
  <c r="AD869" i="1"/>
  <c r="AD870" i="1"/>
  <c r="AD871" i="1"/>
  <c r="AD872" i="1"/>
  <c r="AD873" i="1"/>
  <c r="AD874" i="1"/>
  <c r="AD875" i="1"/>
  <c r="AD876" i="1"/>
  <c r="AD877" i="1"/>
  <c r="AD878" i="1"/>
  <c r="AD879" i="1"/>
  <c r="AD880" i="1"/>
  <c r="AD881" i="1"/>
  <c r="AD882" i="1"/>
  <c r="AD883" i="1"/>
  <c r="AD884" i="1"/>
  <c r="AD885" i="1"/>
  <c r="AD886" i="1"/>
  <c r="AD887" i="1"/>
  <c r="AD888" i="1"/>
  <c r="AD889" i="1"/>
  <c r="AD890" i="1"/>
  <c r="AD891" i="1"/>
  <c r="AD892" i="1"/>
  <c r="AD893" i="1"/>
  <c r="S894" i="1"/>
  <c r="T894" i="1"/>
  <c r="U894" i="1"/>
  <c r="V894" i="1"/>
  <c r="W894" i="1"/>
  <c r="X894" i="1"/>
  <c r="Y894" i="1"/>
  <c r="Z894" i="1"/>
  <c r="AA894" i="1"/>
  <c r="AB894" i="1"/>
  <c r="AC894" i="1"/>
  <c r="AD894" i="1"/>
  <c r="AE894" i="1"/>
  <c r="AG894" i="1"/>
  <c r="AH894" i="1"/>
  <c r="AI894" i="1"/>
  <c r="AJ894" i="1"/>
  <c r="R894" i="1"/>
  <c r="U119" i="1"/>
  <c r="X119" i="1"/>
  <c r="R119" i="1"/>
  <c r="R207" i="1"/>
  <c r="U207" i="1"/>
  <c r="X207" i="1"/>
  <c r="AA207" i="1"/>
  <c r="AF119" i="1" l="1"/>
  <c r="AF207" i="1"/>
  <c r="AI884" i="1"/>
  <c r="AI175" i="1"/>
  <c r="AJ891" i="1"/>
  <c r="AI891" i="1"/>
  <c r="AI890" i="1"/>
  <c r="AI268" i="1"/>
  <c r="AJ436" i="1"/>
  <c r="AI436" i="1"/>
  <c r="AJ171" i="1"/>
  <c r="AI171" i="1"/>
  <c r="AJ248" i="1"/>
  <c r="AI248" i="1"/>
  <c r="AJ369" i="1"/>
  <c r="AI369" i="1"/>
  <c r="AJ292" i="1"/>
  <c r="AI292" i="1"/>
  <c r="AJ342" i="1"/>
  <c r="AI342" i="1"/>
  <c r="AJ326" i="1"/>
  <c r="AI326" i="1"/>
  <c r="AJ879" i="1"/>
  <c r="AI879" i="1"/>
  <c r="AJ884" i="1"/>
  <c r="AJ183" i="1"/>
  <c r="AI183" i="1"/>
  <c r="AJ283" i="1"/>
  <c r="AI283" i="1"/>
  <c r="AJ271" i="1"/>
  <c r="AI271" i="1"/>
  <c r="AJ435" i="1"/>
  <c r="AI435" i="1"/>
  <c r="AJ290" i="1"/>
  <c r="AI290" i="1"/>
  <c r="AJ42" i="1"/>
  <c r="AI42" i="1"/>
  <c r="AJ307" i="1"/>
  <c r="AI307" i="1"/>
  <c r="AJ15" i="1"/>
  <c r="AI15" i="1"/>
  <c r="AJ266" i="1"/>
  <c r="AI266" i="1"/>
  <c r="AJ104" i="1"/>
  <c r="AI104" i="1"/>
  <c r="AI881" i="1"/>
  <c r="AJ881" i="1"/>
  <c r="AI831" i="1"/>
  <c r="AJ804" i="1"/>
  <c r="AI804" i="1"/>
  <c r="AI828" i="1"/>
  <c r="AI840" i="1"/>
  <c r="AI882" i="1"/>
  <c r="AJ315" i="1"/>
  <c r="AI315" i="1"/>
  <c r="AJ297" i="1"/>
  <c r="AI297" i="1"/>
  <c r="AJ433" i="1"/>
  <c r="AI433" i="1"/>
  <c r="AJ151" i="1"/>
  <c r="AI151" i="1"/>
  <c r="AJ813" i="1"/>
  <c r="AI813" i="1"/>
  <c r="AJ794" i="1"/>
  <c r="AI794" i="1"/>
  <c r="AI816" i="1"/>
  <c r="AI806" i="1"/>
  <c r="AJ786" i="1"/>
  <c r="AI786" i="1"/>
  <c r="AI802" i="1"/>
  <c r="AJ178" i="1"/>
  <c r="AI178" i="1"/>
  <c r="AJ13" i="1"/>
  <c r="AI13" i="1"/>
  <c r="AI760" i="1"/>
  <c r="AI779" i="1"/>
  <c r="AI638" i="1"/>
  <c r="AA584" i="1"/>
  <c r="X584" i="1"/>
  <c r="U584" i="1"/>
  <c r="R584" i="1"/>
  <c r="L119" i="1" l="1"/>
  <c r="L207" i="1"/>
  <c r="U602" i="1"/>
  <c r="U603" i="1"/>
  <c r="X602" i="1"/>
  <c r="X603" i="1"/>
  <c r="AA602" i="1"/>
  <c r="AA603" i="1"/>
  <c r="R602" i="1"/>
  <c r="R603" i="1"/>
  <c r="R601" i="1"/>
  <c r="U601" i="1"/>
  <c r="X601" i="1"/>
  <c r="AA601" i="1"/>
  <c r="AF584" i="1" l="1"/>
  <c r="L584" i="1"/>
  <c r="AF602" i="1"/>
  <c r="AF603" i="1"/>
  <c r="AF601" i="1"/>
  <c r="R118" i="1"/>
  <c r="U118" i="1"/>
  <c r="X118" i="1"/>
  <c r="U600" i="1"/>
  <c r="X600" i="1"/>
  <c r="AA600" i="1"/>
  <c r="R600" i="1"/>
  <c r="U582" i="1"/>
  <c r="U583" i="1"/>
  <c r="X583" i="1"/>
  <c r="AA582" i="1"/>
  <c r="AA583" i="1"/>
  <c r="X582" i="1"/>
  <c r="R582" i="1"/>
  <c r="R583" i="1"/>
  <c r="AA595" i="1"/>
  <c r="AA596" i="1"/>
  <c r="AA597" i="1"/>
  <c r="AA598" i="1"/>
  <c r="AA599" i="1"/>
  <c r="X595" i="1"/>
  <c r="X596" i="1"/>
  <c r="X597" i="1"/>
  <c r="X598" i="1"/>
  <c r="X599" i="1"/>
  <c r="U595" i="1"/>
  <c r="U596" i="1"/>
  <c r="U597" i="1"/>
  <c r="U598" i="1"/>
  <c r="U599" i="1"/>
  <c r="R595" i="1"/>
  <c r="R596" i="1"/>
  <c r="R597" i="1"/>
  <c r="R598" i="1"/>
  <c r="R599" i="1"/>
  <c r="U580" i="1"/>
  <c r="AA576" i="1"/>
  <c r="AA577" i="1"/>
  <c r="AA578" i="1"/>
  <c r="AA579" i="1"/>
  <c r="AA580" i="1"/>
  <c r="AA581" i="1"/>
  <c r="X576" i="1"/>
  <c r="X577" i="1"/>
  <c r="X578" i="1"/>
  <c r="X579" i="1"/>
  <c r="X580" i="1"/>
  <c r="X581" i="1"/>
  <c r="U576" i="1"/>
  <c r="U577" i="1"/>
  <c r="U578" i="1"/>
  <c r="U579" i="1"/>
  <c r="U581" i="1"/>
  <c r="R576" i="1"/>
  <c r="R577" i="1"/>
  <c r="R578" i="1"/>
  <c r="R579" i="1"/>
  <c r="R580" i="1"/>
  <c r="R581" i="1"/>
  <c r="AF582" i="1" l="1"/>
  <c r="AF118" i="1"/>
  <c r="L603" i="1"/>
  <c r="L602" i="1"/>
  <c r="L601" i="1"/>
  <c r="AF600" i="1"/>
  <c r="AF583" i="1"/>
  <c r="AF581" i="1"/>
  <c r="AF580" i="1"/>
  <c r="L599" i="1"/>
  <c r="AF598" i="1"/>
  <c r="AF597" i="1"/>
  <c r="AF596" i="1"/>
  <c r="AF595" i="1"/>
  <c r="AF579" i="1"/>
  <c r="AF578" i="1"/>
  <c r="AF577" i="1"/>
  <c r="AF576" i="1"/>
  <c r="AJ174" i="1"/>
  <c r="AI174" i="1"/>
  <c r="AJ387" i="1"/>
  <c r="AI387" i="1"/>
  <c r="AJ343" i="1"/>
  <c r="AI343" i="1"/>
  <c r="AJ137" i="1"/>
  <c r="AI137" i="1"/>
  <c r="AJ43" i="1"/>
  <c r="AI43" i="1"/>
  <c r="AJ284" i="1"/>
  <c r="AI284" i="1"/>
  <c r="AJ75" i="1"/>
  <c r="AI75" i="1"/>
  <c r="AI871" i="1"/>
  <c r="AI886" i="1"/>
  <c r="AI859" i="1"/>
  <c r="AJ422" i="1"/>
  <c r="AI422" i="1"/>
  <c r="AJ246" i="1"/>
  <c r="AI246" i="1"/>
  <c r="AJ265" i="1"/>
  <c r="AI265" i="1"/>
  <c r="L581" i="1" l="1"/>
  <c r="L600" i="1"/>
  <c r="L118" i="1"/>
  <c r="L582" i="1"/>
  <c r="L580" i="1"/>
  <c r="L583" i="1"/>
  <c r="AF599" i="1"/>
  <c r="L598" i="1"/>
  <c r="L597" i="1"/>
  <c r="L596" i="1"/>
  <c r="L595" i="1"/>
  <c r="L579" i="1"/>
  <c r="L578" i="1"/>
  <c r="L577" i="1"/>
  <c r="L576" i="1"/>
  <c r="AJ128" i="1"/>
  <c r="AI128" i="1"/>
  <c r="AJ212" i="1"/>
  <c r="AI212" i="1"/>
  <c r="AJ40" i="1"/>
  <c r="AI40" i="1"/>
  <c r="AJ358" i="1"/>
  <c r="AI358" i="1"/>
  <c r="AJ153" i="1"/>
  <c r="AI153" i="1"/>
  <c r="AJ222" i="1"/>
  <c r="AI222" i="1"/>
  <c r="AI869" i="1"/>
  <c r="AI810" i="1"/>
  <c r="AJ839" i="1"/>
  <c r="AI839" i="1"/>
  <c r="AI826" i="1"/>
  <c r="AJ873" i="1"/>
  <c r="AI873" i="1"/>
  <c r="AI282" i="1"/>
  <c r="AJ316" i="1"/>
  <c r="AI316" i="1"/>
  <c r="AJ73" i="1"/>
  <c r="AI73" i="1"/>
  <c r="AI140" i="1"/>
  <c r="AI789" i="1"/>
  <c r="AI800" i="1"/>
  <c r="AJ801" i="1"/>
  <c r="AI801" i="1"/>
  <c r="AI796" i="1"/>
  <c r="AI824" i="1"/>
  <c r="AI787" i="1"/>
  <c r="AI777" i="1"/>
  <c r="AI835" i="1"/>
  <c r="AI211" i="1"/>
  <c r="AI238" i="1"/>
  <c r="AI782" i="1"/>
  <c r="AI687" i="1"/>
  <c r="AI729" i="1"/>
  <c r="AI643" i="1"/>
  <c r="AI452" i="1"/>
  <c r="U575" i="1"/>
  <c r="X575" i="1"/>
  <c r="AA575" i="1"/>
  <c r="R575" i="1"/>
  <c r="X117" i="1"/>
  <c r="U117" i="1"/>
  <c r="R117" i="1"/>
  <c r="AF575" i="1" l="1"/>
  <c r="AF117" i="1"/>
  <c r="AA570" i="1"/>
  <c r="AA571" i="1"/>
  <c r="AA572" i="1"/>
  <c r="AA573" i="1"/>
  <c r="AA574" i="1"/>
  <c r="X570" i="1"/>
  <c r="X571" i="1"/>
  <c r="X572" i="1"/>
  <c r="X573" i="1"/>
  <c r="X574" i="1"/>
  <c r="U570" i="1"/>
  <c r="U571" i="1"/>
  <c r="U572" i="1"/>
  <c r="U573" i="1"/>
  <c r="U574" i="1"/>
  <c r="R570" i="1"/>
  <c r="R571" i="1"/>
  <c r="R572" i="1"/>
  <c r="R573" i="1"/>
  <c r="R574" i="1"/>
  <c r="AA562" i="1"/>
  <c r="AA563" i="1"/>
  <c r="AA564" i="1"/>
  <c r="AA565" i="1"/>
  <c r="AA566" i="1"/>
  <c r="AA567" i="1"/>
  <c r="AA568" i="1"/>
  <c r="AA569" i="1"/>
  <c r="X562" i="1"/>
  <c r="X563" i="1"/>
  <c r="X564" i="1"/>
  <c r="X565" i="1"/>
  <c r="X566" i="1"/>
  <c r="X567" i="1"/>
  <c r="X568" i="1"/>
  <c r="X569" i="1"/>
  <c r="U562" i="1"/>
  <c r="U563" i="1"/>
  <c r="U564" i="1"/>
  <c r="U565" i="1"/>
  <c r="U566" i="1"/>
  <c r="U567" i="1"/>
  <c r="U568" i="1"/>
  <c r="U569" i="1"/>
  <c r="R562" i="1"/>
  <c r="R563" i="1"/>
  <c r="R564" i="1"/>
  <c r="R565" i="1"/>
  <c r="R566" i="1"/>
  <c r="R567" i="1"/>
  <c r="R568" i="1"/>
  <c r="R569" i="1"/>
  <c r="R594" i="1"/>
  <c r="U594" i="1"/>
  <c r="X594" i="1"/>
  <c r="AA594" i="1"/>
  <c r="L564" i="1" l="1"/>
  <c r="L117" i="1"/>
  <c r="AF569" i="1"/>
  <c r="L568" i="1"/>
  <c r="L567" i="1"/>
  <c r="L566" i="1"/>
  <c r="L565" i="1"/>
  <c r="L575" i="1"/>
  <c r="AF574" i="1"/>
  <c r="AF570" i="1"/>
  <c r="AF573" i="1"/>
  <c r="AF571" i="1"/>
  <c r="AF572" i="1"/>
  <c r="AF563" i="1"/>
  <c r="U555" i="1"/>
  <c r="U556" i="1"/>
  <c r="U557" i="1"/>
  <c r="U558" i="1"/>
  <c r="U559" i="1"/>
  <c r="U560" i="1"/>
  <c r="U561" i="1"/>
  <c r="X555" i="1"/>
  <c r="X556" i="1"/>
  <c r="X557" i="1"/>
  <c r="X558" i="1"/>
  <c r="X559" i="1"/>
  <c r="X560" i="1"/>
  <c r="X561" i="1"/>
  <c r="AA555" i="1"/>
  <c r="AA556" i="1"/>
  <c r="AA557" i="1"/>
  <c r="AA558" i="1"/>
  <c r="AA559" i="1"/>
  <c r="AA560" i="1"/>
  <c r="AA561" i="1"/>
  <c r="R555" i="1"/>
  <c r="R556" i="1"/>
  <c r="R557" i="1"/>
  <c r="R558" i="1"/>
  <c r="R559" i="1"/>
  <c r="R560" i="1"/>
  <c r="R561" i="1"/>
  <c r="U551" i="1"/>
  <c r="X546" i="1"/>
  <c r="U545" i="1"/>
  <c r="U546" i="1"/>
  <c r="U547" i="1"/>
  <c r="U548" i="1"/>
  <c r="U549" i="1"/>
  <c r="U550" i="1"/>
  <c r="U552" i="1"/>
  <c r="U553" i="1"/>
  <c r="U554" i="1"/>
  <c r="X545" i="1"/>
  <c r="X547" i="1"/>
  <c r="X548" i="1"/>
  <c r="X549" i="1"/>
  <c r="X550" i="1"/>
  <c r="X551" i="1"/>
  <c r="X552" i="1"/>
  <c r="X553" i="1"/>
  <c r="X554" i="1"/>
  <c r="AA545" i="1"/>
  <c r="AA546" i="1"/>
  <c r="AA547" i="1"/>
  <c r="AA548" i="1"/>
  <c r="AA549" i="1"/>
  <c r="AA550" i="1"/>
  <c r="AA551" i="1"/>
  <c r="AA552" i="1"/>
  <c r="AA553" i="1"/>
  <c r="AA554" i="1"/>
  <c r="R545" i="1"/>
  <c r="R546" i="1"/>
  <c r="R547" i="1"/>
  <c r="R548" i="1"/>
  <c r="R549" i="1"/>
  <c r="R550" i="1"/>
  <c r="R551" i="1"/>
  <c r="R552" i="1"/>
  <c r="R553" i="1"/>
  <c r="R554" i="1"/>
  <c r="AF565" i="1" l="1"/>
  <c r="AF564" i="1"/>
  <c r="AF567" i="1"/>
  <c r="AF568" i="1"/>
  <c r="L569" i="1"/>
  <c r="AF566" i="1"/>
  <c r="AF553" i="1"/>
  <c r="L545" i="1"/>
  <c r="L555" i="1"/>
  <c r="L557" i="1"/>
  <c r="L574" i="1"/>
  <c r="L573" i="1"/>
  <c r="L570" i="1"/>
  <c r="L571" i="1"/>
  <c r="L572" i="1"/>
  <c r="L563" i="1"/>
  <c r="AF562" i="1"/>
  <c r="L562" i="1"/>
  <c r="AF594" i="1"/>
  <c r="L594" i="1"/>
  <c r="AF559" i="1"/>
  <c r="L558" i="1"/>
  <c r="L561" i="1"/>
  <c r="AF560" i="1"/>
  <c r="L552" i="1"/>
  <c r="AF549" i="1"/>
  <c r="AF548" i="1"/>
  <c r="L551" i="1"/>
  <c r="L547" i="1"/>
  <c r="AF554" i="1"/>
  <c r="AF550" i="1"/>
  <c r="AF546" i="1"/>
  <c r="AA116" i="1"/>
  <c r="AA115" i="1"/>
  <c r="AA114" i="1"/>
  <c r="X114" i="1"/>
  <c r="X115" i="1"/>
  <c r="X116" i="1"/>
  <c r="U114" i="1"/>
  <c r="U115" i="1"/>
  <c r="U116" i="1"/>
  <c r="R114" i="1"/>
  <c r="R115" i="1"/>
  <c r="R116" i="1"/>
  <c r="AF555" i="1" l="1"/>
  <c r="L553" i="1"/>
  <c r="AF545" i="1"/>
  <c r="L546" i="1"/>
  <c r="AF557" i="1"/>
  <c r="AF558" i="1"/>
  <c r="AF561" i="1"/>
  <c r="L559" i="1"/>
  <c r="L560" i="1"/>
  <c r="L556" i="1"/>
  <c r="AF556" i="1"/>
  <c r="AF552" i="1"/>
  <c r="AF551" i="1"/>
  <c r="L550" i="1"/>
  <c r="L549" i="1"/>
  <c r="L548" i="1"/>
  <c r="AF547" i="1"/>
  <c r="L554" i="1"/>
  <c r="L114" i="1"/>
  <c r="AF116" i="1"/>
  <c r="R593" i="1"/>
  <c r="U593" i="1"/>
  <c r="X593" i="1"/>
  <c r="AA593" i="1"/>
  <c r="L116" i="1" l="1"/>
  <c r="AF115" i="1"/>
  <c r="L115" i="1"/>
  <c r="AF114" i="1"/>
  <c r="L593" i="1"/>
  <c r="AA592" i="1"/>
  <c r="X592" i="1"/>
  <c r="U592" i="1"/>
  <c r="R592" i="1"/>
  <c r="AF593" i="1" l="1"/>
  <c r="AF592" i="1"/>
  <c r="R531" i="1"/>
  <c r="R532" i="1"/>
  <c r="R533" i="1"/>
  <c r="R534" i="1"/>
  <c r="R535" i="1"/>
  <c r="R536" i="1"/>
  <c r="R537" i="1"/>
  <c r="R538" i="1"/>
  <c r="R539" i="1"/>
  <c r="R540" i="1"/>
  <c r="R541" i="1"/>
  <c r="R542" i="1"/>
  <c r="R543" i="1"/>
  <c r="R544" i="1"/>
  <c r="U531" i="1"/>
  <c r="U532" i="1"/>
  <c r="U533" i="1"/>
  <c r="U534" i="1"/>
  <c r="U535" i="1"/>
  <c r="U536" i="1"/>
  <c r="U537" i="1"/>
  <c r="U538" i="1"/>
  <c r="U539" i="1"/>
  <c r="U540" i="1"/>
  <c r="U541" i="1"/>
  <c r="U542" i="1"/>
  <c r="U543" i="1"/>
  <c r="U544" i="1"/>
  <c r="X531" i="1"/>
  <c r="X532" i="1"/>
  <c r="X533" i="1"/>
  <c r="X534" i="1"/>
  <c r="X535" i="1"/>
  <c r="X536" i="1"/>
  <c r="X537" i="1"/>
  <c r="X538" i="1"/>
  <c r="X539" i="1"/>
  <c r="X540" i="1"/>
  <c r="X541" i="1"/>
  <c r="X542" i="1"/>
  <c r="X543" i="1"/>
  <c r="X544" i="1"/>
  <c r="AA531" i="1"/>
  <c r="AA532" i="1"/>
  <c r="AA533" i="1"/>
  <c r="AA534" i="1"/>
  <c r="AA535" i="1"/>
  <c r="AA536" i="1"/>
  <c r="AA537" i="1"/>
  <c r="AA538" i="1"/>
  <c r="AA539" i="1"/>
  <c r="AA540" i="1"/>
  <c r="AA541" i="1"/>
  <c r="AA542" i="1"/>
  <c r="AA543" i="1"/>
  <c r="AA544" i="1"/>
  <c r="AJ391" i="1"/>
  <c r="AI391" i="1"/>
  <c r="AJ389" i="1"/>
  <c r="AI389" i="1"/>
  <c r="AJ393" i="1"/>
  <c r="AI393" i="1"/>
  <c r="AI69" i="1"/>
  <c r="AJ184" i="1"/>
  <c r="AI184" i="1"/>
  <c r="AJ230" i="1"/>
  <c r="AI230" i="1"/>
  <c r="AJ19" i="1"/>
  <c r="AI19" i="1"/>
  <c r="AJ325" i="1"/>
  <c r="AI325" i="1"/>
  <c r="AJ68" i="1"/>
  <c r="AI68" i="1"/>
  <c r="AJ223" i="1"/>
  <c r="AI223" i="1"/>
  <c r="AJ872" i="1"/>
  <c r="AI872" i="1"/>
  <c r="AF544" i="1" l="1"/>
  <c r="AF539" i="1"/>
  <c r="AF535" i="1"/>
  <c r="AF543" i="1"/>
  <c r="L542" i="1"/>
  <c r="L592" i="1"/>
  <c r="AF532" i="1"/>
  <c r="AF541" i="1"/>
  <c r="AF540" i="1"/>
  <c r="AF538" i="1"/>
  <c r="AF537" i="1"/>
  <c r="AF536" i="1"/>
  <c r="AF534" i="1"/>
  <c r="AF533" i="1"/>
  <c r="AF531" i="1"/>
  <c r="AJ866" i="1"/>
  <c r="AI866" i="1"/>
  <c r="AJ170" i="1"/>
  <c r="AI170" i="1"/>
  <c r="AJ169" i="1"/>
  <c r="AI169" i="1"/>
  <c r="AJ85" i="1"/>
  <c r="AI85" i="1"/>
  <c r="AJ352" i="1"/>
  <c r="AI352" i="1"/>
  <c r="AI142" i="1"/>
  <c r="AJ168" i="1"/>
  <c r="AI168" i="1"/>
  <c r="AJ154" i="1"/>
  <c r="AI154" i="1"/>
  <c r="AJ144" i="1"/>
  <c r="AI144" i="1"/>
  <c r="AJ442" i="1"/>
  <c r="AI442" i="1"/>
  <c r="AJ263" i="1"/>
  <c r="AI263" i="1"/>
  <c r="AI245" i="1"/>
  <c r="AJ302" i="1"/>
  <c r="AI302" i="1"/>
  <c r="AJ356" i="1"/>
  <c r="AI356" i="1"/>
  <c r="AJ359" i="1"/>
  <c r="AI359" i="1"/>
  <c r="AJ156" i="1"/>
  <c r="AI156" i="1"/>
  <c r="AJ84" i="1"/>
  <c r="AI84" i="1"/>
  <c r="AI851" i="1"/>
  <c r="AI846" i="1"/>
  <c r="AJ869" i="1"/>
  <c r="AJ805" i="1"/>
  <c r="AI805" i="1"/>
  <c r="AI865" i="1"/>
  <c r="AJ830" i="1"/>
  <c r="AI830" i="1"/>
  <c r="AI827" i="1"/>
  <c r="AJ880" i="1"/>
  <c r="AI880" i="1"/>
  <c r="AI857" i="1"/>
  <c r="AJ870" i="1"/>
  <c r="AI870" i="1"/>
  <c r="AI825" i="1"/>
  <c r="AJ101" i="1"/>
  <c r="AI101" i="1"/>
  <c r="AJ385" i="1"/>
  <c r="AI385" i="1"/>
  <c r="AJ282" i="1"/>
  <c r="AJ99" i="1"/>
  <c r="AI99" i="1"/>
  <c r="AJ339" i="1"/>
  <c r="AI339" i="1"/>
  <c r="AJ140" i="1"/>
  <c r="AJ31" i="1"/>
  <c r="AI31" i="1"/>
  <c r="AI795" i="1"/>
  <c r="AI808" i="1"/>
  <c r="AI807" i="1"/>
  <c r="AJ796" i="1"/>
  <c r="AJ843" i="1"/>
  <c r="AI843" i="1"/>
  <c r="AJ791" i="1"/>
  <c r="AI791" i="1"/>
  <c r="AJ824" i="1"/>
  <c r="AI809" i="1"/>
  <c r="AI823" i="1"/>
  <c r="AJ842" i="1"/>
  <c r="AI842" i="1"/>
  <c r="AJ793" i="1"/>
  <c r="AI793" i="1"/>
  <c r="AJ803" i="1"/>
  <c r="AI803" i="1"/>
  <c r="AI797" i="1"/>
  <c r="AJ348" i="1"/>
  <c r="AI348" i="1"/>
  <c r="AJ289" i="1"/>
  <c r="AI289" i="1"/>
  <c r="AI194" i="1"/>
  <c r="AJ276" i="1"/>
  <c r="AI276" i="1"/>
  <c r="AI691" i="1"/>
  <c r="AI778" i="1"/>
  <c r="AI676" i="1"/>
  <c r="AI644" i="1"/>
  <c r="R520" i="1"/>
  <c r="R521" i="1"/>
  <c r="R522" i="1"/>
  <c r="R523" i="1"/>
  <c r="R524" i="1"/>
  <c r="R525" i="1"/>
  <c r="R526" i="1"/>
  <c r="R527" i="1"/>
  <c r="R528" i="1"/>
  <c r="R529" i="1"/>
  <c r="R530" i="1"/>
  <c r="U520" i="1"/>
  <c r="U521" i="1"/>
  <c r="U522" i="1"/>
  <c r="U523" i="1"/>
  <c r="U524" i="1"/>
  <c r="U525" i="1"/>
  <c r="U526" i="1"/>
  <c r="U527" i="1"/>
  <c r="U528" i="1"/>
  <c r="U529" i="1"/>
  <c r="U530" i="1"/>
  <c r="X521" i="1"/>
  <c r="X522" i="1"/>
  <c r="X523" i="1"/>
  <c r="X524" i="1"/>
  <c r="X525" i="1"/>
  <c r="X526" i="1"/>
  <c r="X527" i="1"/>
  <c r="X528" i="1"/>
  <c r="X529" i="1"/>
  <c r="X530" i="1"/>
  <c r="X520" i="1"/>
  <c r="AA520" i="1"/>
  <c r="AA521" i="1"/>
  <c r="AA522" i="1"/>
  <c r="AA523" i="1"/>
  <c r="AA524" i="1"/>
  <c r="AA525" i="1"/>
  <c r="AA526" i="1"/>
  <c r="AA527" i="1"/>
  <c r="AA528" i="1"/>
  <c r="AA529" i="1"/>
  <c r="AA530" i="1"/>
  <c r="L535" i="1" l="1"/>
  <c r="L544" i="1"/>
  <c r="L539" i="1"/>
  <c r="L543" i="1"/>
  <c r="L532" i="1"/>
  <c r="AF542" i="1"/>
  <c r="L531" i="1"/>
  <c r="L537" i="1"/>
  <c r="L541" i="1"/>
  <c r="L540" i="1"/>
  <c r="L538" i="1"/>
  <c r="L536" i="1"/>
  <c r="L534" i="1"/>
  <c r="L533" i="1"/>
  <c r="AF528" i="1"/>
  <c r="L527" i="1"/>
  <c r="L526" i="1"/>
  <c r="L523" i="1"/>
  <c r="AF520" i="1"/>
  <c r="L529" i="1"/>
  <c r="AF525" i="1"/>
  <c r="L530" i="1"/>
  <c r="AF524" i="1"/>
  <c r="R518" i="1"/>
  <c r="R519" i="1"/>
  <c r="U518" i="1"/>
  <c r="U519" i="1"/>
  <c r="X519" i="1"/>
  <c r="X518" i="1"/>
  <c r="AA518" i="1"/>
  <c r="AA519" i="1"/>
  <c r="X517" i="1"/>
  <c r="AA517" i="1"/>
  <c r="U517" i="1"/>
  <c r="R517" i="1"/>
  <c r="X282" i="1"/>
  <c r="R516" i="1"/>
  <c r="U516" i="1"/>
  <c r="X516" i="1"/>
  <c r="AA516" i="1"/>
  <c r="R515" i="1"/>
  <c r="U515" i="1"/>
  <c r="X515" i="1"/>
  <c r="AA515" i="1"/>
  <c r="AA514" i="1"/>
  <c r="X514" i="1"/>
  <c r="U514" i="1"/>
  <c r="R514" i="1"/>
  <c r="R513" i="1"/>
  <c r="U513" i="1"/>
  <c r="X513" i="1"/>
  <c r="AA513" i="1"/>
  <c r="AA512" i="1"/>
  <c r="X512" i="1"/>
  <c r="U512" i="1"/>
  <c r="R512" i="1"/>
  <c r="R511" i="1"/>
  <c r="U511" i="1"/>
  <c r="X511" i="1"/>
  <c r="AA511" i="1"/>
  <c r="AA510" i="1"/>
  <c r="X510" i="1"/>
  <c r="U510" i="1"/>
  <c r="R510" i="1"/>
  <c r="L522" i="1" l="1"/>
  <c r="L520" i="1"/>
  <c r="AF529" i="1"/>
  <c r="AF517" i="1"/>
  <c r="AF515" i="1"/>
  <c r="AF530" i="1"/>
  <c r="L528" i="1"/>
  <c r="AF527" i="1"/>
  <c r="AF526" i="1"/>
  <c r="L525" i="1"/>
  <c r="AF523" i="1"/>
  <c r="AF522" i="1"/>
  <c r="L524" i="1"/>
  <c r="AF521" i="1"/>
  <c r="L521" i="1"/>
  <c r="AF518" i="1"/>
  <c r="AF519" i="1"/>
  <c r="AF512" i="1"/>
  <c r="AF516" i="1"/>
  <c r="AF510" i="1"/>
  <c r="AF514" i="1"/>
  <c r="AA509" i="1"/>
  <c r="X509" i="1"/>
  <c r="U509" i="1"/>
  <c r="R509" i="1"/>
  <c r="AA508" i="1"/>
  <c r="X508" i="1"/>
  <c r="U508" i="1"/>
  <c r="R508" i="1"/>
  <c r="AA507" i="1"/>
  <c r="X507" i="1"/>
  <c r="U507" i="1"/>
  <c r="R507" i="1"/>
  <c r="AA506" i="1"/>
  <c r="X506" i="1"/>
  <c r="U506" i="1"/>
  <c r="R506" i="1"/>
  <c r="AA505" i="1"/>
  <c r="X505" i="1"/>
  <c r="U505" i="1"/>
  <c r="R505" i="1"/>
  <c r="AA504" i="1"/>
  <c r="X504" i="1"/>
  <c r="U504" i="1"/>
  <c r="R504" i="1"/>
  <c r="AA503" i="1"/>
  <c r="X503" i="1"/>
  <c r="U503" i="1"/>
  <c r="R503" i="1"/>
  <c r="AA591" i="1"/>
  <c r="X591" i="1"/>
  <c r="U591" i="1"/>
  <c r="R591" i="1"/>
  <c r="AA502" i="1"/>
  <c r="X502" i="1"/>
  <c r="U502" i="1"/>
  <c r="R502" i="1"/>
  <c r="L516" i="1" l="1"/>
  <c r="L515" i="1"/>
  <c r="L517" i="1"/>
  <c r="L518" i="1"/>
  <c r="L514" i="1"/>
  <c r="L519" i="1"/>
  <c r="AF502" i="1"/>
  <c r="AF507" i="1"/>
  <c r="AF505" i="1"/>
  <c r="AF506" i="1"/>
  <c r="L512" i="1"/>
  <c r="AF591" i="1"/>
  <c r="L510" i="1"/>
  <c r="AF503" i="1"/>
  <c r="L508" i="1"/>
  <c r="AF509" i="1"/>
  <c r="AF511" i="1"/>
  <c r="L511" i="1"/>
  <c r="AF513" i="1"/>
  <c r="L513" i="1"/>
  <c r="AA500" i="1"/>
  <c r="AA501" i="1"/>
  <c r="X501" i="1"/>
  <c r="X500" i="1"/>
  <c r="U501" i="1"/>
  <c r="R500" i="1"/>
  <c r="R501" i="1"/>
  <c r="U500" i="1"/>
  <c r="AA499" i="1"/>
  <c r="X499" i="1"/>
  <c r="U499" i="1"/>
  <c r="R499" i="1"/>
  <c r="R498" i="1"/>
  <c r="U498" i="1"/>
  <c r="X498" i="1"/>
  <c r="AA498" i="1"/>
  <c r="AA497" i="1"/>
  <c r="X497" i="1"/>
  <c r="U497" i="1"/>
  <c r="R497" i="1"/>
  <c r="R496" i="1"/>
  <c r="U496" i="1"/>
  <c r="X496" i="1"/>
  <c r="AA496" i="1"/>
  <c r="AA495" i="1"/>
  <c r="X495" i="1"/>
  <c r="U495" i="1"/>
  <c r="R495" i="1"/>
  <c r="L506" i="1" l="1"/>
  <c r="L591" i="1"/>
  <c r="L505" i="1"/>
  <c r="L507" i="1"/>
  <c r="L509" i="1"/>
  <c r="L502" i="1"/>
  <c r="AF508" i="1"/>
  <c r="L504" i="1"/>
  <c r="AF504" i="1"/>
  <c r="L503" i="1"/>
  <c r="AF497" i="1"/>
  <c r="AF500" i="1"/>
  <c r="L495" i="1"/>
  <c r="AF498" i="1"/>
  <c r="AF496" i="1"/>
  <c r="R494" i="1"/>
  <c r="U494" i="1"/>
  <c r="X494" i="1"/>
  <c r="AA494" i="1"/>
  <c r="AA493" i="1"/>
  <c r="X493" i="1"/>
  <c r="U493" i="1"/>
  <c r="R493" i="1"/>
  <c r="AA492" i="1"/>
  <c r="X492" i="1"/>
  <c r="U492" i="1"/>
  <c r="R492" i="1"/>
  <c r="AA491" i="1"/>
  <c r="X491" i="1"/>
  <c r="U491" i="1"/>
  <c r="R491" i="1"/>
  <c r="AA490" i="1"/>
  <c r="X490" i="1"/>
  <c r="U490" i="1"/>
  <c r="R490" i="1"/>
  <c r="AA489" i="1"/>
  <c r="X489" i="1"/>
  <c r="U489" i="1"/>
  <c r="R489" i="1"/>
  <c r="R585" i="1"/>
  <c r="R586" i="1"/>
  <c r="R587" i="1"/>
  <c r="R588" i="1"/>
  <c r="R589" i="1"/>
  <c r="R590" i="1"/>
  <c r="R604" i="1"/>
  <c r="R605" i="1"/>
  <c r="AA488" i="1"/>
  <c r="X488" i="1"/>
  <c r="U488" i="1"/>
  <c r="R488" i="1"/>
  <c r="AA487" i="1"/>
  <c r="X487" i="1"/>
  <c r="U487" i="1"/>
  <c r="R487" i="1"/>
  <c r="L497" i="1" l="1"/>
  <c r="AF495" i="1"/>
  <c r="L496" i="1"/>
  <c r="L500" i="1"/>
  <c r="AF501" i="1"/>
  <c r="L501" i="1"/>
  <c r="L499" i="1"/>
  <c r="AF499" i="1"/>
  <c r="AF490" i="1"/>
  <c r="AF492" i="1"/>
  <c r="AF493" i="1"/>
  <c r="AF491" i="1"/>
  <c r="L498" i="1"/>
  <c r="AF488" i="1"/>
  <c r="AF487" i="1"/>
  <c r="AF489" i="1"/>
  <c r="AA486" i="1"/>
  <c r="X486" i="1"/>
  <c r="U486" i="1"/>
  <c r="R486" i="1"/>
  <c r="AA485" i="1"/>
  <c r="X485" i="1"/>
  <c r="U485" i="1"/>
  <c r="R485" i="1"/>
  <c r="AA590" i="1"/>
  <c r="X590" i="1"/>
  <c r="U590" i="1"/>
  <c r="AA589" i="1"/>
  <c r="X589" i="1"/>
  <c r="U589" i="1"/>
  <c r="U588" i="1"/>
  <c r="AA588" i="1"/>
  <c r="X588" i="1"/>
  <c r="L492" i="1" l="1"/>
  <c r="L493" i="1"/>
  <c r="L487" i="1"/>
  <c r="L491" i="1"/>
  <c r="L490" i="1"/>
  <c r="L489" i="1"/>
  <c r="AF494" i="1"/>
  <c r="L494" i="1"/>
  <c r="AF485" i="1"/>
  <c r="AF486" i="1"/>
  <c r="L488" i="1"/>
  <c r="L486" i="1" l="1"/>
  <c r="L485" i="1"/>
  <c r="AA484" i="1"/>
  <c r="X484" i="1"/>
  <c r="U484" i="1"/>
  <c r="R484" i="1"/>
  <c r="U587" i="1"/>
  <c r="X587" i="1"/>
  <c r="AA587" i="1"/>
  <c r="AA481" i="1"/>
  <c r="AA482" i="1"/>
  <c r="AA483" i="1"/>
  <c r="X481" i="1"/>
  <c r="X482" i="1"/>
  <c r="X483" i="1"/>
  <c r="U481" i="1"/>
  <c r="U482" i="1"/>
  <c r="U483" i="1"/>
  <c r="R481" i="1"/>
  <c r="R482" i="1"/>
  <c r="R483" i="1"/>
  <c r="AF587" i="1" l="1"/>
  <c r="AF484" i="1"/>
  <c r="AF481" i="1"/>
  <c r="L590" i="1"/>
  <c r="AF590" i="1"/>
  <c r="AF588" i="1"/>
  <c r="L588" i="1"/>
  <c r="AF589" i="1"/>
  <c r="L589" i="1"/>
  <c r="AF483" i="1"/>
  <c r="AF482" i="1"/>
  <c r="AJ309" i="1"/>
  <c r="AI309" i="1"/>
  <c r="AI885" i="1"/>
  <c r="AI862" i="1"/>
  <c r="AI883" i="1"/>
  <c r="AI887" i="1"/>
  <c r="AI863" i="1"/>
  <c r="AI861" i="1"/>
  <c r="AJ18" i="1"/>
  <c r="AI18" i="1"/>
  <c r="AJ341" i="1"/>
  <c r="AI341" i="1"/>
  <c r="AJ353" i="1"/>
  <c r="AI353" i="1"/>
  <c r="AJ157" i="1"/>
  <c r="AI157" i="1"/>
  <c r="AJ41" i="1"/>
  <c r="AI41" i="1"/>
  <c r="AJ336" i="1"/>
  <c r="AI336" i="1"/>
  <c r="AJ324" i="1"/>
  <c r="AI324" i="1"/>
  <c r="AJ245" i="1"/>
  <c r="AJ340" i="1"/>
  <c r="AI340" i="1"/>
  <c r="AJ291" i="1"/>
  <c r="AI291" i="1"/>
  <c r="AJ155" i="1"/>
  <c r="AI155" i="1"/>
  <c r="AJ16" i="1"/>
  <c r="AI16" i="1"/>
  <c r="AI856" i="1"/>
  <c r="AI855" i="1"/>
  <c r="AI854" i="1"/>
  <c r="AI853" i="1"/>
  <c r="AI822" i="1"/>
  <c r="AI864" i="1"/>
  <c r="AI874" i="1"/>
  <c r="AJ849" i="1"/>
  <c r="AI849" i="1"/>
  <c r="AI847" i="1"/>
  <c r="AJ844" i="1"/>
  <c r="AI844" i="1"/>
  <c r="AI832" i="1"/>
  <c r="AJ836" i="1"/>
  <c r="AI836" i="1"/>
  <c r="AI820" i="1"/>
  <c r="AI837" i="1"/>
  <c r="AJ367" i="1"/>
  <c r="AI367" i="1"/>
  <c r="AJ182" i="1"/>
  <c r="AI182" i="1"/>
  <c r="AJ100" i="1"/>
  <c r="AI100" i="1"/>
  <c r="AJ789" i="1"/>
  <c r="AI811" i="1"/>
  <c r="AI784" i="1"/>
  <c r="AI845" i="1"/>
  <c r="AI815" i="1"/>
  <c r="AI783" i="1"/>
  <c r="AJ36" i="1"/>
  <c r="AI36" i="1"/>
  <c r="AJ82" i="1"/>
  <c r="AI82" i="1"/>
  <c r="AJ281" i="1"/>
  <c r="AI281" i="1"/>
  <c r="AJ150" i="1"/>
  <c r="AI150" i="1"/>
  <c r="AJ194" i="1"/>
  <c r="AJ196" i="1"/>
  <c r="AI196" i="1"/>
  <c r="AI764" i="1"/>
  <c r="AI681" i="1"/>
  <c r="AI454" i="1"/>
  <c r="AI652" i="1"/>
  <c r="AI605" i="1"/>
  <c r="U586" i="1"/>
  <c r="X586" i="1"/>
  <c r="AA586" i="1"/>
  <c r="R480" i="1"/>
  <c r="U480" i="1"/>
  <c r="X480" i="1"/>
  <c r="AA480" i="1"/>
  <c r="L587" i="1" l="1"/>
  <c r="L484" i="1"/>
  <c r="L481" i="1"/>
  <c r="L483" i="1"/>
  <c r="L482" i="1"/>
  <c r="AF480" i="1"/>
  <c r="AF586" i="1"/>
  <c r="L480" i="1" l="1"/>
  <c r="L586" i="1"/>
  <c r="AA476" i="1"/>
  <c r="AA477" i="1"/>
  <c r="AA478" i="1"/>
  <c r="AA479" i="1"/>
  <c r="X476" i="1"/>
  <c r="X477" i="1"/>
  <c r="X478" i="1"/>
  <c r="X479" i="1"/>
  <c r="U476" i="1"/>
  <c r="U477" i="1"/>
  <c r="U478" i="1"/>
  <c r="U479" i="1"/>
  <c r="R476" i="1"/>
  <c r="R477" i="1"/>
  <c r="R478" i="1"/>
  <c r="R479" i="1"/>
  <c r="R472" i="1"/>
  <c r="R473" i="1"/>
  <c r="R474" i="1"/>
  <c r="R475" i="1"/>
  <c r="U472" i="1"/>
  <c r="U473" i="1"/>
  <c r="U474" i="1"/>
  <c r="U475" i="1"/>
  <c r="X472" i="1"/>
  <c r="X473" i="1"/>
  <c r="X474" i="1"/>
  <c r="X475" i="1"/>
  <c r="AA472" i="1"/>
  <c r="AA473" i="1"/>
  <c r="AA474" i="1"/>
  <c r="AA475" i="1"/>
  <c r="AA470" i="1"/>
  <c r="AA471" i="1"/>
  <c r="X470" i="1"/>
  <c r="U470" i="1"/>
  <c r="U471" i="1"/>
  <c r="R470" i="1"/>
  <c r="R471" i="1"/>
  <c r="AA585" i="1"/>
  <c r="X585" i="1"/>
  <c r="U585" i="1"/>
  <c r="R466" i="1"/>
  <c r="R467" i="1"/>
  <c r="R468" i="1"/>
  <c r="R469" i="1"/>
  <c r="U466" i="1"/>
  <c r="U467" i="1"/>
  <c r="U468" i="1"/>
  <c r="U469" i="1"/>
  <c r="X469" i="1"/>
  <c r="X468" i="1"/>
  <c r="X467" i="1"/>
  <c r="X466" i="1"/>
  <c r="AA466" i="1"/>
  <c r="AA467" i="1"/>
  <c r="AA468" i="1"/>
  <c r="AA469" i="1"/>
  <c r="R465" i="1"/>
  <c r="AA465" i="1"/>
  <c r="U465" i="1"/>
  <c r="X465" i="1"/>
  <c r="R61" i="1"/>
  <c r="U61" i="1"/>
  <c r="X61" i="1"/>
  <c r="AA459" i="1"/>
  <c r="AA460" i="1"/>
  <c r="AA461" i="1"/>
  <c r="AA462" i="1"/>
  <c r="AA463" i="1"/>
  <c r="AA464" i="1"/>
  <c r="AA458" i="1"/>
  <c r="X459" i="1"/>
  <c r="X460" i="1"/>
  <c r="X461" i="1"/>
  <c r="X462" i="1"/>
  <c r="X463" i="1"/>
  <c r="X464" i="1"/>
  <c r="X458" i="1"/>
  <c r="U459" i="1"/>
  <c r="U460" i="1"/>
  <c r="U461" i="1"/>
  <c r="U462" i="1"/>
  <c r="U463" i="1"/>
  <c r="U464" i="1"/>
  <c r="U458" i="1"/>
  <c r="R459" i="1"/>
  <c r="R460" i="1"/>
  <c r="R461" i="1"/>
  <c r="R462" i="1"/>
  <c r="R463" i="1"/>
  <c r="R464" i="1"/>
  <c r="R458" i="1"/>
  <c r="AF475" i="1" l="1"/>
  <c r="L476" i="1"/>
  <c r="AF472" i="1"/>
  <c r="AF478" i="1"/>
  <c r="AF477" i="1"/>
  <c r="AF474" i="1"/>
  <c r="AF470" i="1"/>
  <c r="AF469" i="1"/>
  <c r="AF468" i="1"/>
  <c r="AF466" i="1"/>
  <c r="AF465" i="1"/>
  <c r="AF463" i="1"/>
  <c r="AF460" i="1"/>
  <c r="AF462" i="1"/>
  <c r="R893" i="1"/>
  <c r="U893" i="1"/>
  <c r="X893" i="1"/>
  <c r="AA893" i="1"/>
  <c r="U279" i="1"/>
  <c r="R279" i="1"/>
  <c r="X279" i="1"/>
  <c r="AA279" i="1"/>
  <c r="AA91" i="1"/>
  <c r="X91" i="1"/>
  <c r="U91" i="1"/>
  <c r="R91" i="1"/>
  <c r="R438" i="1"/>
  <c r="U438" i="1"/>
  <c r="X438" i="1"/>
  <c r="AA438" i="1"/>
  <c r="R233" i="1"/>
  <c r="U233" i="1"/>
  <c r="X233" i="1"/>
  <c r="AA233" i="1"/>
  <c r="R113" i="1"/>
  <c r="U113" i="1"/>
  <c r="X113" i="1"/>
  <c r="AA113" i="1"/>
  <c r="AF459" i="1" l="1"/>
  <c r="AF458" i="1"/>
  <c r="L474" i="1"/>
  <c r="L475" i="1"/>
  <c r="AF476" i="1"/>
  <c r="L458" i="1"/>
  <c r="L472" i="1"/>
  <c r="L470" i="1"/>
  <c r="AF479" i="1"/>
  <c r="L479" i="1"/>
  <c r="L478" i="1"/>
  <c r="L477" i="1"/>
  <c r="AF473" i="1"/>
  <c r="L473" i="1"/>
  <c r="L585" i="1"/>
  <c r="AF585" i="1"/>
  <c r="AF467" i="1"/>
  <c r="L467" i="1"/>
  <c r="L466" i="1"/>
  <c r="L468" i="1"/>
  <c r="L469" i="1"/>
  <c r="L465" i="1"/>
  <c r="AF61" i="1"/>
  <c r="L61" i="1"/>
  <c r="AF464" i="1"/>
  <c r="L464" i="1"/>
  <c r="L463" i="1"/>
  <c r="L462" i="1"/>
  <c r="AF461" i="1"/>
  <c r="L461" i="1"/>
  <c r="L460" i="1"/>
  <c r="L459" i="1"/>
  <c r="L893" i="1"/>
  <c r="AF279" i="1"/>
  <c r="AF113" i="1"/>
  <c r="AF233" i="1"/>
  <c r="R363" i="1"/>
  <c r="U363" i="1"/>
  <c r="X363" i="1"/>
  <c r="AA363" i="1"/>
  <c r="R256" i="1"/>
  <c r="U256" i="1"/>
  <c r="X256" i="1"/>
  <c r="AA256" i="1"/>
  <c r="R328" i="1"/>
  <c r="U328" i="1"/>
  <c r="X328" i="1"/>
  <c r="AA328" i="1"/>
  <c r="U415" i="1"/>
  <c r="X415" i="1"/>
  <c r="AA415" i="1"/>
  <c r="R416" i="1"/>
  <c r="R417" i="1"/>
  <c r="R418" i="1"/>
  <c r="R419" i="1"/>
  <c r="R420" i="1"/>
  <c r="R421" i="1"/>
  <c r="R422" i="1"/>
  <c r="R423" i="1"/>
  <c r="R424" i="1"/>
  <c r="R425" i="1"/>
  <c r="R415" i="1"/>
  <c r="AF893" i="1" l="1"/>
  <c r="L113" i="1"/>
  <c r="L279" i="1"/>
  <c r="L91" i="1"/>
  <c r="AF91" i="1"/>
  <c r="L438" i="1"/>
  <c r="AF438" i="1"/>
  <c r="L233" i="1"/>
  <c r="AF328" i="1"/>
  <c r="AF363" i="1"/>
  <c r="AF256" i="1"/>
  <c r="L415" i="1"/>
  <c r="L256" i="1" l="1"/>
  <c r="L328" i="1"/>
  <c r="AF415" i="1"/>
  <c r="L363" i="1"/>
  <c r="AI247" i="1"/>
  <c r="AJ889" i="1"/>
  <c r="AI889" i="1"/>
  <c r="AJ883" i="1"/>
  <c r="AJ66" i="1"/>
  <c r="AI66" i="1"/>
  <c r="AJ51" i="1"/>
  <c r="AI51" i="1"/>
  <c r="AJ335" i="1"/>
  <c r="AI335" i="1"/>
  <c r="AJ308" i="1"/>
  <c r="AI308" i="1"/>
  <c r="AJ50" i="1"/>
  <c r="AI50" i="1"/>
  <c r="AJ129" i="1"/>
  <c r="AI129" i="1"/>
  <c r="AI812" i="1"/>
  <c r="AJ833" i="1"/>
  <c r="AI833" i="1"/>
  <c r="AI817" i="1"/>
  <c r="AJ850" i="1" l="1"/>
  <c r="AI850" i="1"/>
  <c r="AI838" i="1"/>
  <c r="AJ126" i="1"/>
  <c r="AI126" i="1"/>
  <c r="AJ14" i="1"/>
  <c r="AI14" i="1"/>
  <c r="AJ787" i="1"/>
  <c r="AJ790" i="1"/>
  <c r="AI790" i="1"/>
  <c r="AI814" i="1"/>
  <c r="AJ377" i="1"/>
  <c r="AI377" i="1"/>
  <c r="AI707" i="1"/>
  <c r="AJ675" i="1"/>
  <c r="AI675" i="1"/>
  <c r="AI663" i="1"/>
  <c r="AI29" i="1"/>
  <c r="AI653" i="1"/>
  <c r="AI624" i="1"/>
  <c r="U414" i="1"/>
  <c r="X414" i="1"/>
  <c r="AA414" i="1"/>
  <c r="R414" i="1"/>
  <c r="U274" i="1"/>
  <c r="X274" i="1"/>
  <c r="AA274" i="1"/>
  <c r="R274" i="1"/>
  <c r="AA138" i="1"/>
  <c r="X138" i="1"/>
  <c r="U138" i="1"/>
  <c r="R138" i="1"/>
  <c r="R45" i="1"/>
  <c r="U45" i="1"/>
  <c r="X45" i="1"/>
  <c r="R345" i="1"/>
  <c r="U345" i="1"/>
  <c r="X345" i="1"/>
  <c r="AA345" i="1"/>
  <c r="AF414" i="1" l="1"/>
  <c r="AF345" i="1"/>
  <c r="AF274" i="1"/>
  <c r="AF45" i="1"/>
  <c r="R145" i="1"/>
  <c r="U145" i="1"/>
  <c r="X145" i="1"/>
  <c r="AA145" i="1"/>
  <c r="R255" i="1"/>
  <c r="U255" i="1"/>
  <c r="X255" i="1"/>
  <c r="AA255" i="1"/>
  <c r="R413" i="1"/>
  <c r="U413" i="1"/>
  <c r="X413" i="1"/>
  <c r="AA413" i="1"/>
  <c r="U286" i="1"/>
  <c r="X286" i="1"/>
  <c r="AA286" i="1"/>
  <c r="R286" i="1"/>
  <c r="R412" i="1"/>
  <c r="U412" i="1"/>
  <c r="X412" i="1"/>
  <c r="AA412" i="1"/>
  <c r="R44" i="1"/>
  <c r="U44" i="1"/>
  <c r="X44" i="1"/>
  <c r="R382" i="1"/>
  <c r="U382" i="1"/>
  <c r="X382" i="1"/>
  <c r="R344" i="1"/>
  <c r="U344" i="1"/>
  <c r="X344" i="1"/>
  <c r="AA344" i="1"/>
  <c r="R177" i="1"/>
  <c r="U177" i="1"/>
  <c r="X177" i="1"/>
  <c r="AA177" i="1"/>
  <c r="L414" i="1" l="1"/>
  <c r="L345" i="1"/>
  <c r="L274" i="1"/>
  <c r="L138" i="1"/>
  <c r="AF138" i="1"/>
  <c r="L45" i="1"/>
  <c r="AF145" i="1"/>
  <c r="AF413" i="1"/>
  <c r="AF412" i="1"/>
  <c r="AF382" i="1"/>
  <c r="AF286" i="1"/>
  <c r="L44" i="1"/>
  <c r="AF177" i="1"/>
  <c r="AF344" i="1"/>
  <c r="U425" i="1"/>
  <c r="X425" i="1"/>
  <c r="AA425" i="1"/>
  <c r="U33" i="1"/>
  <c r="X33" i="1"/>
  <c r="AA33" i="1"/>
  <c r="R33" i="1"/>
  <c r="R90" i="1"/>
  <c r="U90" i="1"/>
  <c r="X90" i="1"/>
  <c r="AA90" i="1"/>
  <c r="L382" i="1" l="1"/>
  <c r="L412" i="1"/>
  <c r="L145" i="1"/>
  <c r="L413" i="1"/>
  <c r="AF255" i="1"/>
  <c r="L255" i="1"/>
  <c r="L286" i="1"/>
  <c r="AF44" i="1"/>
  <c r="AF90" i="1"/>
  <c r="L177" i="1"/>
  <c r="L344" i="1"/>
  <c r="AF425" i="1"/>
  <c r="AF33" i="1"/>
  <c r="U254" i="1"/>
  <c r="R254" i="1"/>
  <c r="X254" i="1"/>
  <c r="AA254" i="1"/>
  <c r="L33" i="1" l="1"/>
  <c r="L90" i="1"/>
  <c r="L425" i="1"/>
  <c r="AF254" i="1"/>
  <c r="AA273" i="1"/>
  <c r="R273" i="1"/>
  <c r="U273" i="1"/>
  <c r="X273" i="1"/>
  <c r="R311" i="1"/>
  <c r="U311" i="1"/>
  <c r="X311" i="1"/>
  <c r="AA311" i="1"/>
  <c r="R232" i="1"/>
  <c r="U232" i="1"/>
  <c r="X232" i="1"/>
  <c r="AA232" i="1"/>
  <c r="R411" i="1"/>
  <c r="U411" i="1"/>
  <c r="X411" i="1"/>
  <c r="AA411" i="1"/>
  <c r="U381" i="1"/>
  <c r="X381" i="1"/>
  <c r="R381" i="1"/>
  <c r="L254" i="1" l="1"/>
  <c r="AF311" i="1"/>
  <c r="AF232" i="1"/>
  <c r="AF381" i="1" l="1"/>
  <c r="AF273" i="1"/>
  <c r="L232" i="1"/>
  <c r="L273" i="1"/>
  <c r="L311" i="1"/>
  <c r="L381" i="1"/>
  <c r="L411" i="1"/>
  <c r="AF411" i="1"/>
  <c r="AJ103" i="1" l="1"/>
  <c r="AI103" i="1"/>
  <c r="AJ213" i="1"/>
  <c r="AI213" i="1"/>
  <c r="AJ17" i="1"/>
  <c r="AI17" i="1"/>
  <c r="AJ357" i="1"/>
  <c r="AI357" i="1"/>
  <c r="AI829" i="1" l="1"/>
  <c r="AJ83" i="1"/>
  <c r="AI83" i="1"/>
  <c r="AJ98" i="1"/>
  <c r="AI98" i="1"/>
  <c r="AJ799" i="1"/>
  <c r="AI799" i="1"/>
  <c r="AJ123" i="1"/>
  <c r="AI123" i="1"/>
  <c r="AJ238" i="1"/>
  <c r="AJ365" i="1"/>
  <c r="AI365" i="1"/>
  <c r="AI635" i="1"/>
  <c r="AI606" i="1"/>
  <c r="R437" i="1"/>
  <c r="U437" i="1"/>
  <c r="AA437" i="1"/>
  <c r="X437" i="1"/>
  <c r="R410" i="1"/>
  <c r="U410" i="1"/>
  <c r="X409" i="1"/>
  <c r="X410" i="1"/>
  <c r="AA410" i="1"/>
  <c r="R447" i="1"/>
  <c r="U447" i="1"/>
  <c r="X447" i="1"/>
  <c r="AA447" i="1"/>
  <c r="U373" i="1"/>
  <c r="X373" i="1"/>
  <c r="AA373" i="1"/>
  <c r="R373" i="1"/>
  <c r="R162" i="1"/>
  <c r="U162" i="1"/>
  <c r="X162" i="1"/>
  <c r="AA162" i="1"/>
  <c r="R446" i="1"/>
  <c r="U446" i="1"/>
  <c r="X446" i="1"/>
  <c r="AA446" i="1"/>
  <c r="R310" i="1"/>
  <c r="U310" i="1"/>
  <c r="X310" i="1"/>
  <c r="AA310" i="1"/>
  <c r="R161" i="1"/>
  <c r="R112" i="1"/>
  <c r="U112" i="1"/>
  <c r="X112" i="1"/>
  <c r="AA112" i="1"/>
  <c r="U161" i="1"/>
  <c r="X161" i="1"/>
  <c r="AA161" i="1"/>
  <c r="R187" i="1"/>
  <c r="U187" i="1"/>
  <c r="X187" i="1"/>
  <c r="AA187" i="1"/>
  <c r="U214" i="1"/>
  <c r="R214" i="1"/>
  <c r="X214" i="1"/>
  <c r="AA214" i="1"/>
  <c r="R111" i="1"/>
  <c r="U111" i="1"/>
  <c r="X111" i="1"/>
  <c r="AA111" i="1"/>
  <c r="R110" i="1"/>
  <c r="U110" i="1"/>
  <c r="X110" i="1"/>
  <c r="AA110" i="1"/>
  <c r="R327" i="1"/>
  <c r="U327" i="1"/>
  <c r="X327" i="1"/>
  <c r="AA327" i="1"/>
  <c r="AA198" i="1"/>
  <c r="R198" i="1"/>
  <c r="U198" i="1"/>
  <c r="X198" i="1"/>
  <c r="R186" i="1"/>
  <c r="U186" i="1"/>
  <c r="X186" i="1"/>
  <c r="AA186" i="1"/>
  <c r="R445" i="1"/>
  <c r="U445" i="1"/>
  <c r="X445" i="1"/>
  <c r="AA445" i="1"/>
  <c r="AA869" i="1"/>
  <c r="R409" i="1"/>
  <c r="U409" i="1"/>
  <c r="AA409" i="1"/>
  <c r="R53" i="1"/>
  <c r="U53" i="1"/>
  <c r="X53" i="1"/>
  <c r="R206" i="1"/>
  <c r="U206" i="1"/>
  <c r="X206" i="1"/>
  <c r="AA206" i="1"/>
  <c r="U408" i="1"/>
  <c r="X408" i="1"/>
  <c r="AA408" i="1"/>
  <c r="R407" i="1"/>
  <c r="U407" i="1"/>
  <c r="X407" i="1"/>
  <c r="AA407" i="1"/>
  <c r="R26" i="1"/>
  <c r="U26" i="1"/>
  <c r="X26" i="1"/>
  <c r="AA26" i="1"/>
  <c r="R160" i="1"/>
  <c r="U160" i="1"/>
  <c r="X160" i="1"/>
  <c r="AA160" i="1"/>
  <c r="R406" i="1"/>
  <c r="U406" i="1"/>
  <c r="X406" i="1"/>
  <c r="AA406" i="1"/>
  <c r="AA362" i="1"/>
  <c r="X362" i="1"/>
  <c r="U362" i="1"/>
  <c r="R362" i="1"/>
  <c r="R405" i="1"/>
  <c r="U405" i="1"/>
  <c r="X405" i="1"/>
  <c r="AA405" i="1"/>
  <c r="AF327" i="1" l="1"/>
  <c r="AF409" i="1"/>
  <c r="AF310" i="1"/>
  <c r="AF447" i="1"/>
  <c r="AF410" i="1"/>
  <c r="AF162" i="1"/>
  <c r="AF407" i="1"/>
  <c r="AF111" i="1"/>
  <c r="AF187" i="1"/>
  <c r="AF112" i="1"/>
  <c r="AF110" i="1"/>
  <c r="AF161" i="1"/>
  <c r="AF446" i="1"/>
  <c r="AF214" i="1"/>
  <c r="AF405" i="1"/>
  <c r="AF26" i="1"/>
  <c r="L198" i="1"/>
  <c r="AF445" i="1"/>
  <c r="AF53" i="1"/>
  <c r="AF160" i="1"/>
  <c r="AF406" i="1"/>
  <c r="R60" i="1"/>
  <c r="U60" i="1"/>
  <c r="X60" i="1"/>
  <c r="R179" i="1"/>
  <c r="U179" i="1"/>
  <c r="X179" i="1"/>
  <c r="AA179" i="1"/>
  <c r="R372" i="1"/>
  <c r="U372" i="1"/>
  <c r="X372" i="1"/>
  <c r="AA372" i="1"/>
  <c r="R361" i="1"/>
  <c r="U361" i="1"/>
  <c r="X361" i="1"/>
  <c r="AA361" i="1"/>
  <c r="R404" i="1"/>
  <c r="U404" i="1"/>
  <c r="X404" i="1"/>
  <c r="AA404" i="1"/>
  <c r="R109" i="1"/>
  <c r="U109" i="1"/>
  <c r="X109" i="1"/>
  <c r="AA109" i="1"/>
  <c r="R360" i="1"/>
  <c r="U360" i="1"/>
  <c r="X360" i="1"/>
  <c r="AA360" i="1"/>
  <c r="R371" i="1"/>
  <c r="U371" i="1"/>
  <c r="X371" i="1"/>
  <c r="AA371" i="1"/>
  <c r="R285" i="1"/>
  <c r="U285" i="1"/>
  <c r="X285" i="1"/>
  <c r="AA285" i="1"/>
  <c r="R253" i="1"/>
  <c r="U253" i="1"/>
  <c r="X253" i="1"/>
  <c r="AA253" i="1"/>
  <c r="U403" i="1"/>
  <c r="X403" i="1"/>
  <c r="AA403" i="1"/>
  <c r="R403" i="1"/>
  <c r="U402" i="1"/>
  <c r="R402" i="1"/>
  <c r="X402" i="1"/>
  <c r="AA402" i="1"/>
  <c r="R401" i="1"/>
  <c r="U401" i="1"/>
  <c r="X401" i="1"/>
  <c r="AA401" i="1"/>
  <c r="R176" i="1"/>
  <c r="U176" i="1"/>
  <c r="X176" i="1"/>
  <c r="AA176" i="1"/>
  <c r="R159" i="1"/>
  <c r="U159" i="1"/>
  <c r="X159" i="1"/>
  <c r="AA159" i="1"/>
  <c r="Q159" i="1"/>
  <c r="P159" i="1"/>
  <c r="R89" i="1"/>
  <c r="U89" i="1"/>
  <c r="X89" i="1"/>
  <c r="AA89" i="1"/>
  <c r="R231" i="1"/>
  <c r="U231" i="1"/>
  <c r="X231" i="1"/>
  <c r="AA231" i="1"/>
  <c r="R252" i="1"/>
  <c r="U252" i="1"/>
  <c r="X252" i="1"/>
  <c r="AA252" i="1"/>
  <c r="R400" i="1"/>
  <c r="U400" i="1"/>
  <c r="X400" i="1"/>
  <c r="AA400" i="1"/>
  <c r="R185" i="1"/>
  <c r="U185" i="1"/>
  <c r="X185" i="1"/>
  <c r="AA185" i="1"/>
  <c r="R399" i="1"/>
  <c r="U399" i="1"/>
  <c r="X399" i="1"/>
  <c r="AA399" i="1"/>
  <c r="R108" i="1"/>
  <c r="U108" i="1"/>
  <c r="X108" i="1"/>
  <c r="AA108" i="1"/>
  <c r="AJ197" i="1"/>
  <c r="AI197" i="1"/>
  <c r="AJ136" i="1"/>
  <c r="AI136" i="1"/>
  <c r="AJ378" i="1"/>
  <c r="AI378" i="1"/>
  <c r="AJ127" i="1"/>
  <c r="AI127" i="1"/>
  <c r="AJ441" i="1"/>
  <c r="AI441" i="1"/>
  <c r="AI858" i="1"/>
  <c r="AJ322" i="1"/>
  <c r="AI322" i="1"/>
  <c r="AJ56" i="1"/>
  <c r="AI56" i="1"/>
  <c r="AJ298" i="1"/>
  <c r="AI298" i="1"/>
  <c r="AJ350" i="1"/>
  <c r="AI350" i="1"/>
  <c r="AJ37" i="1"/>
  <c r="AI37" i="1"/>
  <c r="AJ240" i="1"/>
  <c r="AI240" i="1"/>
  <c r="AJ195" i="1"/>
  <c r="AI195" i="1"/>
  <c r="AJ261" i="1"/>
  <c r="AI261" i="1"/>
  <c r="AJ243" i="1"/>
  <c r="AI243" i="1"/>
  <c r="AJ432" i="1"/>
  <c r="AI432" i="1"/>
  <c r="AJ133" i="1"/>
  <c r="AI133" i="1"/>
  <c r="AJ349" i="1"/>
  <c r="AI349" i="1"/>
  <c r="AJ23" i="1"/>
  <c r="AI23" i="1"/>
  <c r="AJ221" i="1"/>
  <c r="AI221" i="1"/>
  <c r="AJ72" i="1"/>
  <c r="AI72" i="1"/>
  <c r="AJ193" i="1"/>
  <c r="AI193" i="1"/>
  <c r="AJ97" i="1"/>
  <c r="AI97" i="1"/>
  <c r="AI688" i="1"/>
  <c r="AI615" i="1"/>
  <c r="R175" i="1"/>
  <c r="U175" i="1"/>
  <c r="X175" i="1"/>
  <c r="AA175" i="1"/>
  <c r="R398" i="1"/>
  <c r="U398" i="1"/>
  <c r="X398" i="1"/>
  <c r="AA398" i="1"/>
  <c r="U397" i="1"/>
  <c r="X397" i="1"/>
  <c r="AA397" i="1"/>
  <c r="R397" i="1"/>
  <c r="L447" i="1" l="1"/>
  <c r="L111" i="1"/>
  <c r="L310" i="1"/>
  <c r="L327" i="1"/>
  <c r="L409" i="1"/>
  <c r="L112" i="1"/>
  <c r="AF402" i="1"/>
  <c r="L187" i="1"/>
  <c r="AF373" i="1"/>
  <c r="L373" i="1"/>
  <c r="L437" i="1"/>
  <c r="AF437" i="1"/>
  <c r="L407" i="1"/>
  <c r="L410" i="1"/>
  <c r="L162" i="1"/>
  <c r="L110" i="1"/>
  <c r="L161" i="1"/>
  <c r="L214" i="1"/>
  <c r="L446" i="1"/>
  <c r="AF400" i="1"/>
  <c r="L405" i="1"/>
  <c r="L26" i="1"/>
  <c r="AF404" i="1"/>
  <c r="AF198" i="1"/>
  <c r="AF186" i="1"/>
  <c r="L186" i="1"/>
  <c r="L445" i="1"/>
  <c r="L53" i="1"/>
  <c r="AF206" i="1"/>
  <c r="L206" i="1"/>
  <c r="L160" i="1"/>
  <c r="L406" i="1"/>
  <c r="L362" i="1"/>
  <c r="AF362" i="1"/>
  <c r="AF403" i="1"/>
  <c r="AF60" i="1"/>
  <c r="L179" i="1"/>
  <c r="L361" i="1"/>
  <c r="L399" i="1"/>
  <c r="AF185" i="1"/>
  <c r="AF109" i="1"/>
  <c r="AF360" i="1"/>
  <c r="AF285" i="1"/>
  <c r="AF401" i="1"/>
  <c r="AF176" i="1"/>
  <c r="L159" i="1"/>
  <c r="AF231" i="1"/>
  <c r="L252" i="1"/>
  <c r="AF108" i="1"/>
  <c r="AF397" i="1"/>
  <c r="AF398" i="1"/>
  <c r="AF175" i="1"/>
  <c r="U396" i="1"/>
  <c r="X396" i="1"/>
  <c r="AA396" i="1"/>
  <c r="R396" i="1"/>
  <c r="U395" i="1"/>
  <c r="X395" i="1"/>
  <c r="AA395" i="1"/>
  <c r="R395" i="1"/>
  <c r="AA394" i="1"/>
  <c r="X394" i="1"/>
  <c r="U394" i="1"/>
  <c r="R394" i="1"/>
  <c r="AA393" i="1"/>
  <c r="X393" i="1"/>
  <c r="U393" i="1"/>
  <c r="R393" i="1"/>
  <c r="AA392" i="1"/>
  <c r="X392" i="1"/>
  <c r="U392" i="1"/>
  <c r="R392" i="1"/>
  <c r="U269" i="1"/>
  <c r="X269" i="1"/>
  <c r="R269" i="1"/>
  <c r="U391" i="1"/>
  <c r="X391" i="1"/>
  <c r="AA391" i="1"/>
  <c r="R391" i="1"/>
  <c r="L185" i="1" l="1"/>
  <c r="L402" i="1"/>
  <c r="L400" i="1"/>
  <c r="L404" i="1"/>
  <c r="L403" i="1"/>
  <c r="L401" i="1"/>
  <c r="AF399" i="1"/>
  <c r="L60" i="1"/>
  <c r="AF179" i="1"/>
  <c r="AF372" i="1"/>
  <c r="L372" i="1"/>
  <c r="AF361" i="1"/>
  <c r="L231" i="1"/>
  <c r="L89" i="1"/>
  <c r="L176" i="1"/>
  <c r="L253" i="1"/>
  <c r="AF89" i="1"/>
  <c r="L109" i="1"/>
  <c r="L360" i="1"/>
  <c r="L371" i="1"/>
  <c r="AF371" i="1"/>
  <c r="L285" i="1"/>
  <c r="AF253" i="1"/>
  <c r="AF159" i="1"/>
  <c r="AF252" i="1"/>
  <c r="L108" i="1"/>
  <c r="AF269" i="1"/>
  <c r="L397" i="1"/>
  <c r="L175" i="1"/>
  <c r="L398" i="1"/>
  <c r="AF394" i="1"/>
  <c r="AF393" i="1"/>
  <c r="AF392" i="1"/>
  <c r="AF395" i="1"/>
  <c r="AF396" i="1"/>
  <c r="AF391" i="1"/>
  <c r="AA390" i="1"/>
  <c r="X390" i="1"/>
  <c r="U390" i="1"/>
  <c r="R390" i="1"/>
  <c r="L269" i="1" l="1"/>
  <c r="L392" i="1"/>
  <c r="L394" i="1"/>
  <c r="L391" i="1"/>
  <c r="L393" i="1"/>
  <c r="L395" i="1"/>
  <c r="AF390" i="1"/>
  <c r="L396" i="1"/>
  <c r="U389" i="1"/>
  <c r="X389" i="1"/>
  <c r="AA389" i="1"/>
  <c r="R389" i="1"/>
  <c r="R174" i="1"/>
  <c r="U174" i="1"/>
  <c r="X174" i="1"/>
  <c r="AA174" i="1"/>
  <c r="AA388" i="1"/>
  <c r="X388" i="1"/>
  <c r="U388" i="1"/>
  <c r="R388" i="1"/>
  <c r="AF174" i="1" l="1"/>
  <c r="L390" i="1"/>
  <c r="AF388" i="1"/>
  <c r="AF389" i="1"/>
  <c r="R387" i="1"/>
  <c r="U387" i="1"/>
  <c r="X387" i="1"/>
  <c r="AA387" i="1"/>
  <c r="L174" i="1" l="1"/>
  <c r="L389" i="1"/>
  <c r="L388" i="1"/>
  <c r="AF387" i="1"/>
  <c r="R107" i="1"/>
  <c r="U107" i="1"/>
  <c r="X107" i="1"/>
  <c r="AA107" i="1"/>
  <c r="L387" i="1" l="1"/>
  <c r="AF107" i="1"/>
  <c r="R106" i="1"/>
  <c r="U106" i="1"/>
  <c r="X106" i="1"/>
  <c r="AA106" i="1"/>
  <c r="L107" i="1" l="1"/>
  <c r="R892" i="1"/>
  <c r="U892" i="1"/>
  <c r="X892" i="1"/>
  <c r="AA892" i="1"/>
  <c r="L106" i="1" l="1"/>
  <c r="AF106" i="1"/>
  <c r="AF892" i="1"/>
  <c r="L892" i="1" l="1"/>
  <c r="X278" i="1" l="1"/>
  <c r="U278" i="1"/>
  <c r="R278" i="1"/>
  <c r="AA278" i="1"/>
  <c r="AJ67" i="1"/>
  <c r="AJ143" i="1"/>
  <c r="AI143" i="1"/>
  <c r="AI67" i="1"/>
  <c r="AI852" i="1"/>
  <c r="AI792" i="1"/>
  <c r="AI876" i="1"/>
  <c r="AJ323" i="1"/>
  <c r="AI323" i="1"/>
  <c r="AJ48" i="1"/>
  <c r="AI48" i="1"/>
  <c r="AJ65" i="1"/>
  <c r="AI65" i="1"/>
  <c r="AJ848" i="1"/>
  <c r="AI848" i="1"/>
  <c r="AI834" i="1"/>
  <c r="AJ30" i="1"/>
  <c r="AI30" i="1"/>
  <c r="AJ201" i="1"/>
  <c r="AI201" i="1"/>
  <c r="AJ165" i="1"/>
  <c r="AI165" i="1"/>
  <c r="AJ314" i="1"/>
  <c r="AI314" i="1"/>
  <c r="AI642" i="1"/>
  <c r="AI651" i="1"/>
  <c r="R891" i="1"/>
  <c r="U891" i="1"/>
  <c r="X891" i="1"/>
  <c r="AA891" i="1"/>
  <c r="AF278" i="1" l="1"/>
  <c r="L891" i="1"/>
  <c r="R105" i="1"/>
  <c r="U105" i="1"/>
  <c r="X105" i="1"/>
  <c r="AA105" i="1"/>
  <c r="AA69" i="1"/>
  <c r="R69" i="1"/>
  <c r="U69" i="1"/>
  <c r="X69" i="1"/>
  <c r="R268" i="1"/>
  <c r="U268" i="1"/>
  <c r="X268" i="1"/>
  <c r="AA268" i="1"/>
  <c r="AI650" i="1"/>
  <c r="AJ272" i="1"/>
  <c r="AI272" i="1"/>
  <c r="AJ74" i="1"/>
  <c r="AI74" i="1"/>
  <c r="AJ301" i="1"/>
  <c r="AI301" i="1"/>
  <c r="AI235" i="1"/>
  <c r="AI780" i="1"/>
  <c r="AI776" i="1"/>
  <c r="AJ430" i="1"/>
  <c r="AI430" i="1"/>
  <c r="AI679" i="1"/>
  <c r="AJ676" i="1"/>
  <c r="AJ650" i="1"/>
  <c r="AI637" i="1"/>
  <c r="AI632" i="1"/>
  <c r="U88" i="1"/>
  <c r="R88" i="1"/>
  <c r="X88" i="1"/>
  <c r="AA88" i="1"/>
  <c r="R251" i="1"/>
  <c r="U251" i="1"/>
  <c r="X251" i="1"/>
  <c r="AA251" i="1"/>
  <c r="AI241" i="1"/>
  <c r="AI617" i="1"/>
  <c r="AJ142" i="1"/>
  <c r="AJ368" i="1"/>
  <c r="AI368" i="1"/>
  <c r="AJ434" i="1"/>
  <c r="AI434" i="1"/>
  <c r="AJ226" i="1"/>
  <c r="AI226" i="1"/>
  <c r="AJ80" i="1"/>
  <c r="AI80" i="1"/>
  <c r="AJ338" i="1"/>
  <c r="AI338" i="1"/>
  <c r="AJ219" i="1"/>
  <c r="AI219" i="1"/>
  <c r="U370" i="1"/>
  <c r="X370" i="1"/>
  <c r="AA370" i="1"/>
  <c r="R370" i="1"/>
  <c r="X800" i="1"/>
  <c r="R800" i="1"/>
  <c r="L278" i="1" l="1"/>
  <c r="AF891" i="1"/>
  <c r="L69" i="1"/>
  <c r="AF268" i="1"/>
  <c r="AF251" i="1"/>
  <c r="AF370" i="1"/>
  <c r="U386" i="1"/>
  <c r="X386" i="1"/>
  <c r="AA386" i="1"/>
  <c r="R386" i="1"/>
  <c r="R890" i="1"/>
  <c r="U890" i="1"/>
  <c r="X890" i="1"/>
  <c r="AA890" i="1"/>
  <c r="R444" i="1"/>
  <c r="U444" i="1"/>
  <c r="X444" i="1"/>
  <c r="AA444" i="1"/>
  <c r="R59" i="1"/>
  <c r="U59" i="1"/>
  <c r="X59" i="1"/>
  <c r="R205" i="1"/>
  <c r="U205" i="1"/>
  <c r="X205" i="1"/>
  <c r="AA205" i="1"/>
  <c r="R250" i="1"/>
  <c r="U250" i="1"/>
  <c r="X250" i="1"/>
  <c r="AA250" i="1"/>
  <c r="U267" i="1"/>
  <c r="X267" i="1"/>
  <c r="AA267" i="1"/>
  <c r="R267" i="1"/>
  <c r="U52" i="1"/>
  <c r="X52" i="1"/>
  <c r="R52" i="1"/>
  <c r="R343" i="1"/>
  <c r="U343" i="1"/>
  <c r="X343" i="1"/>
  <c r="AA343" i="1"/>
  <c r="L105" i="1" l="1"/>
  <c r="AF105" i="1"/>
  <c r="AF69" i="1"/>
  <c r="L268" i="1"/>
  <c r="L251" i="1"/>
  <c r="AF88" i="1"/>
  <c r="L88" i="1"/>
  <c r="AF386" i="1"/>
  <c r="L370" i="1"/>
  <c r="AF444" i="1"/>
  <c r="AF205" i="1"/>
  <c r="AF59" i="1"/>
  <c r="AF267" i="1"/>
  <c r="AF52" i="1"/>
  <c r="AF343" i="1"/>
  <c r="R173" i="1"/>
  <c r="U173" i="1"/>
  <c r="X173" i="1"/>
  <c r="AA173" i="1"/>
  <c r="L386" i="1" l="1"/>
  <c r="AF890" i="1"/>
  <c r="L890" i="1"/>
  <c r="L444" i="1"/>
  <c r="L205" i="1"/>
  <c r="L59" i="1"/>
  <c r="L250" i="1"/>
  <c r="AF250" i="1"/>
  <c r="L267" i="1"/>
  <c r="L52" i="1"/>
  <c r="L343" i="1"/>
  <c r="AF173" i="1" l="1"/>
  <c r="L173" i="1"/>
  <c r="R25" i="1" l="1"/>
  <c r="U25" i="1"/>
  <c r="X25" i="1"/>
  <c r="AA25" i="1"/>
  <c r="U19" i="1"/>
  <c r="X19" i="1"/>
  <c r="AA19" i="1"/>
  <c r="R19" i="1"/>
  <c r="X58" i="1"/>
  <c r="U58" i="1"/>
  <c r="R58" i="1"/>
  <c r="AJ299" i="1"/>
  <c r="AI299" i="1"/>
  <c r="AJ134" i="1"/>
  <c r="AI134" i="1"/>
  <c r="AJ239" i="1"/>
  <c r="AI239" i="1"/>
  <c r="AJ12" i="1"/>
  <c r="AI12" i="1"/>
  <c r="AJ418" i="1"/>
  <c r="AI418" i="1"/>
  <c r="AJ225" i="1"/>
  <c r="AI225" i="1"/>
  <c r="AJ419" i="1"/>
  <c r="AI419" i="1"/>
  <c r="AF25" i="1" l="1"/>
  <c r="L58" i="1"/>
  <c r="AF19" i="1"/>
  <c r="L19" i="1" l="1"/>
  <c r="AF58" i="1"/>
  <c r="L25" i="1"/>
  <c r="U436" i="1"/>
  <c r="X436" i="1"/>
  <c r="AA436" i="1"/>
  <c r="R436" i="1"/>
  <c r="U230" i="1"/>
  <c r="X230" i="1"/>
  <c r="AA230" i="1"/>
  <c r="R230" i="1"/>
  <c r="U292" i="1"/>
  <c r="X292" i="1"/>
  <c r="AA292" i="1"/>
  <c r="R292" i="1"/>
  <c r="U184" i="1"/>
  <c r="X184" i="1"/>
  <c r="AA184" i="1"/>
  <c r="R184" i="1"/>
  <c r="R309" i="1"/>
  <c r="U309" i="1"/>
  <c r="X309" i="1"/>
  <c r="AA309" i="1"/>
  <c r="U424" i="1"/>
  <c r="X424" i="1"/>
  <c r="AA424" i="1"/>
  <c r="L436" i="1" l="1"/>
  <c r="AF230" i="1"/>
  <c r="AF292" i="1"/>
  <c r="AF184" i="1"/>
  <c r="AF309" i="1"/>
  <c r="AF424" i="1"/>
  <c r="R87" i="1"/>
  <c r="U87" i="1"/>
  <c r="X87" i="1"/>
  <c r="AA87" i="1"/>
  <c r="X172" i="1"/>
  <c r="AA172" i="1"/>
  <c r="U172" i="1"/>
  <c r="R172" i="1"/>
  <c r="L230" i="1" l="1"/>
  <c r="AF436" i="1"/>
  <c r="L292" i="1"/>
  <c r="L184" i="1"/>
  <c r="L309" i="1"/>
  <c r="L424" i="1"/>
  <c r="L172" i="1"/>
  <c r="L87" i="1"/>
  <c r="AA423" i="1"/>
  <c r="X423" i="1"/>
  <c r="U423" i="1"/>
  <c r="U303" i="1"/>
  <c r="X303" i="1"/>
  <c r="AA303" i="1"/>
  <c r="R303" i="1"/>
  <c r="AF172" i="1" l="1"/>
  <c r="AF303" i="1"/>
  <c r="AF423" i="1"/>
  <c r="AF87" i="1"/>
  <c r="AI330" i="1"/>
  <c r="L423" i="1" l="1"/>
  <c r="L303" i="1"/>
  <c r="AI821" i="1" l="1"/>
  <c r="AI818" i="1"/>
  <c r="AJ241" i="1"/>
  <c r="AJ39" i="1"/>
  <c r="AI39" i="1"/>
  <c r="AJ149" i="1"/>
  <c r="AI149" i="1"/>
  <c r="AJ330" i="1"/>
  <c r="X86" i="1"/>
  <c r="AA86" i="1"/>
  <c r="U86" i="1"/>
  <c r="R86" i="1"/>
  <c r="X137" i="1"/>
  <c r="U137" i="1"/>
  <c r="AA137" i="1"/>
  <c r="R137" i="1"/>
  <c r="R142" i="1"/>
  <c r="U43" i="1"/>
  <c r="X43" i="1"/>
  <c r="R43" i="1"/>
  <c r="U369" i="1"/>
  <c r="X369" i="1"/>
  <c r="AA369" i="1"/>
  <c r="R364" i="1"/>
  <c r="R365" i="1"/>
  <c r="R366" i="1"/>
  <c r="R367" i="1"/>
  <c r="R368" i="1"/>
  <c r="R369" i="1"/>
  <c r="U229" i="1"/>
  <c r="X229" i="1"/>
  <c r="AA229" i="1"/>
  <c r="R229" i="1"/>
  <c r="R284" i="1"/>
  <c r="U284" i="1"/>
  <c r="X284" i="1"/>
  <c r="AA284" i="1"/>
  <c r="U158" i="1"/>
  <c r="X158" i="1"/>
  <c r="AA158" i="1"/>
  <c r="R158" i="1"/>
  <c r="R249" i="1"/>
  <c r="U249" i="1"/>
  <c r="X249" i="1"/>
  <c r="AA249" i="1"/>
  <c r="R171" i="1"/>
  <c r="U171" i="1"/>
  <c r="X171" i="1"/>
  <c r="AA171" i="1"/>
  <c r="R326" i="1"/>
  <c r="U326" i="1"/>
  <c r="X326" i="1"/>
  <c r="AA326" i="1"/>
  <c r="U75" i="1"/>
  <c r="R75" i="1"/>
  <c r="X75" i="1"/>
  <c r="U248" i="1"/>
  <c r="X248" i="1"/>
  <c r="AA248" i="1"/>
  <c r="R248" i="1"/>
  <c r="U325" i="1"/>
  <c r="X325" i="1"/>
  <c r="AA325" i="1"/>
  <c r="R325" i="1"/>
  <c r="U443" i="1"/>
  <c r="X443" i="1"/>
  <c r="AA443" i="1"/>
  <c r="R443" i="1"/>
  <c r="U342" i="1"/>
  <c r="X342" i="1"/>
  <c r="AA342" i="1"/>
  <c r="R342" i="1"/>
  <c r="R68" i="1"/>
  <c r="U68" i="1"/>
  <c r="X68" i="1"/>
  <c r="AA68" i="1"/>
  <c r="R223" i="1"/>
  <c r="U223" i="1"/>
  <c r="X223" i="1"/>
  <c r="AA223" i="1"/>
  <c r="AF86" i="1" l="1"/>
  <c r="AF137" i="1"/>
  <c r="AF229" i="1"/>
  <c r="AF284" i="1"/>
  <c r="L171" i="1"/>
  <c r="AF158" i="1"/>
  <c r="AF249" i="1"/>
  <c r="AF326" i="1"/>
  <c r="AF75" i="1"/>
  <c r="AF248" i="1"/>
  <c r="AF325" i="1"/>
  <c r="L342" i="1"/>
  <c r="AF223" i="1"/>
  <c r="X247" i="1"/>
  <c r="AA247" i="1"/>
  <c r="U247" i="1"/>
  <c r="R247" i="1"/>
  <c r="AF68" i="1" l="1"/>
  <c r="AF369" i="1"/>
  <c r="AF171" i="1"/>
  <c r="L75" i="1"/>
  <c r="L86" i="1"/>
  <c r="L137" i="1"/>
  <c r="AF43" i="1"/>
  <c r="L43" i="1"/>
  <c r="L229" i="1"/>
  <c r="L284" i="1"/>
  <c r="L158" i="1"/>
  <c r="L249" i="1"/>
  <c r="L326" i="1"/>
  <c r="AF247" i="1"/>
  <c r="L248" i="1"/>
  <c r="L325" i="1"/>
  <c r="AF342" i="1"/>
  <c r="AF443" i="1"/>
  <c r="L443" i="1"/>
  <c r="L68" i="1"/>
  <c r="L223" i="1"/>
  <c r="AI242" i="1"/>
  <c r="AJ242" i="1"/>
  <c r="AI875" i="1"/>
  <c r="AJ421" i="1"/>
  <c r="AI421" i="1"/>
  <c r="AI867" i="1"/>
  <c r="AJ355" i="1"/>
  <c r="AI355" i="1"/>
  <c r="AJ331" i="1"/>
  <c r="AI331" i="1"/>
  <c r="AI641" i="1"/>
  <c r="AI450" i="1"/>
  <c r="L247" i="1" l="1"/>
  <c r="X380" i="1"/>
  <c r="U380" i="1"/>
  <c r="U379" i="1"/>
  <c r="R380" i="1"/>
  <c r="L369" i="1" l="1"/>
  <c r="AF380" i="1"/>
  <c r="AI819" i="1"/>
  <c r="AJ277" i="1"/>
  <c r="AI141" i="1"/>
  <c r="AJ166" i="1"/>
  <c r="AI166" i="1"/>
  <c r="AJ451" i="1"/>
  <c r="AI451" i="1"/>
  <c r="AJ704" i="1"/>
  <c r="AI704" i="1"/>
  <c r="AI449" i="1"/>
  <c r="AA889" i="1"/>
  <c r="X889" i="1"/>
  <c r="U889" i="1"/>
  <c r="R889" i="1"/>
  <c r="AJ220" i="1"/>
  <c r="AJ32" i="1"/>
  <c r="AI32" i="1"/>
  <c r="AJ57" i="1"/>
  <c r="AI57" i="1"/>
  <c r="AJ135" i="1"/>
  <c r="AI135" i="1"/>
  <c r="AJ270" i="1"/>
  <c r="AI270" i="1"/>
  <c r="AJ64" i="1"/>
  <c r="AI64" i="1"/>
  <c r="AJ203" i="1"/>
  <c r="AI203" i="1"/>
  <c r="AI220" i="1"/>
  <c r="AJ761" i="1"/>
  <c r="AI761" i="1"/>
  <c r="L380" i="1" l="1"/>
  <c r="L889" i="1"/>
  <c r="AF889" i="1" l="1"/>
  <c r="AJ141" i="1"/>
  <c r="AJ731" i="1"/>
  <c r="AI731" i="1"/>
  <c r="AI692" i="1"/>
  <c r="X225" i="1"/>
  <c r="U225" i="1"/>
  <c r="R225" i="1"/>
  <c r="AJ300" i="1"/>
  <c r="AJ379" i="1"/>
  <c r="AI379" i="1"/>
  <c r="AI300" i="1"/>
  <c r="AJ55" i="1"/>
  <c r="AI55" i="1"/>
  <c r="AJ125" i="1"/>
  <c r="AI125" i="1"/>
  <c r="AJ262" i="1"/>
  <c r="AI262" i="1"/>
  <c r="AJ320" i="1"/>
  <c r="AI320" i="1"/>
  <c r="AJ306" i="1"/>
  <c r="AI306" i="1"/>
  <c r="AJ735" i="1"/>
  <c r="AI735" i="1"/>
  <c r="AI621" i="1"/>
  <c r="AI610" i="1"/>
  <c r="AI366" i="1"/>
  <c r="AJ366" i="1"/>
  <c r="AJ11" i="1"/>
  <c r="AI11" i="1"/>
  <c r="AJ705" i="1"/>
  <c r="AI705" i="1"/>
  <c r="AJ738" i="1"/>
  <c r="AI738" i="1"/>
  <c r="AJ779" i="1"/>
  <c r="AJ649" i="1"/>
  <c r="AI649" i="1"/>
  <c r="U358" i="1"/>
  <c r="X358" i="1"/>
  <c r="AA358" i="1"/>
  <c r="AJ743" i="1"/>
  <c r="AJ752" i="1"/>
  <c r="AJ321" i="1" l="1"/>
  <c r="AI321" i="1"/>
  <c r="AJ81" i="1" l="1"/>
  <c r="AI81" i="1"/>
  <c r="AJ96" i="1"/>
  <c r="AI96" i="1"/>
  <c r="AI743" i="1"/>
  <c r="AI616" i="1" l="1"/>
  <c r="R888" i="1"/>
  <c r="U888" i="1"/>
  <c r="X888" i="1"/>
  <c r="AA888" i="1"/>
  <c r="AA887" i="1" l="1"/>
  <c r="X887" i="1"/>
  <c r="U887" i="1"/>
  <c r="R887" i="1"/>
  <c r="AI204" i="1"/>
  <c r="AJ204" i="1"/>
  <c r="AF888" i="1" l="1"/>
  <c r="L888" i="1"/>
  <c r="AI798" i="1"/>
  <c r="AJ49" i="1"/>
  <c r="AI49" i="1"/>
  <c r="AJ152" i="1"/>
  <c r="AI152" i="1"/>
  <c r="AJ237" i="1"/>
  <c r="AI237" i="1"/>
  <c r="AJ296" i="1"/>
  <c r="AI296" i="1"/>
  <c r="AI636" i="1"/>
  <c r="AI648" i="1"/>
  <c r="AI453" i="1"/>
  <c r="L887" i="1" l="1"/>
  <c r="AF887" i="1"/>
  <c r="U886" i="1"/>
  <c r="X886" i="1"/>
  <c r="AA886" i="1"/>
  <c r="R886" i="1"/>
  <c r="AF886" i="1" l="1"/>
  <c r="R885" i="1"/>
  <c r="U885" i="1"/>
  <c r="X885" i="1"/>
  <c r="AA885" i="1"/>
  <c r="AJ244" i="1"/>
  <c r="AI244" i="1"/>
  <c r="AJ102" i="1"/>
  <c r="AI102" i="1"/>
  <c r="AJ785" i="1"/>
  <c r="AI785" i="1"/>
  <c r="AJ211" i="1"/>
  <c r="L886" i="1" l="1"/>
  <c r="AF885" i="1"/>
  <c r="AJ775" i="1"/>
  <c r="AI775" i="1"/>
  <c r="L885" i="1" l="1"/>
  <c r="AI774" i="1" l="1"/>
  <c r="AJ351" i="1"/>
  <c r="AI351" i="1"/>
  <c r="AJ816" i="1" l="1"/>
  <c r="AJ10" i="1"/>
  <c r="AI10" i="1"/>
  <c r="AJ21" i="1"/>
  <c r="AI21" i="1"/>
  <c r="AJ774" i="1"/>
  <c r="S740" i="1"/>
  <c r="T740" i="1"/>
  <c r="U882" i="1" l="1"/>
  <c r="U883" i="1"/>
  <c r="U884" i="1"/>
  <c r="X882" i="1"/>
  <c r="X883" i="1"/>
  <c r="X884" i="1"/>
  <c r="AA882" i="1"/>
  <c r="AA883" i="1"/>
  <c r="AA884" i="1"/>
  <c r="R882" i="1"/>
  <c r="R883" i="1"/>
  <c r="R884" i="1"/>
  <c r="L884" i="1" l="1"/>
  <c r="AF882" i="1"/>
  <c r="R880" i="1"/>
  <c r="R881" i="1"/>
  <c r="U880" i="1"/>
  <c r="U881" i="1"/>
  <c r="X880" i="1"/>
  <c r="X881" i="1"/>
  <c r="AA880" i="1"/>
  <c r="AA881" i="1"/>
  <c r="L882" i="1" l="1"/>
  <c r="AF884" i="1"/>
  <c r="L883" i="1"/>
  <c r="AF883" i="1"/>
  <c r="AF880" i="1"/>
  <c r="L881" i="1"/>
  <c r="AA876" i="1"/>
  <c r="AA877" i="1"/>
  <c r="AA878" i="1"/>
  <c r="AA879" i="1"/>
  <c r="X876" i="1"/>
  <c r="X877" i="1"/>
  <c r="X878" i="1"/>
  <c r="X879" i="1"/>
  <c r="U876" i="1"/>
  <c r="U877" i="1"/>
  <c r="U878" i="1"/>
  <c r="U879" i="1"/>
  <c r="R876" i="1"/>
  <c r="R877" i="1"/>
  <c r="R878" i="1"/>
  <c r="R879" i="1"/>
  <c r="AF877" i="1" l="1"/>
  <c r="AF879" i="1"/>
  <c r="L880" i="1"/>
  <c r="AF881" i="1"/>
  <c r="AF878" i="1"/>
  <c r="L876" i="1"/>
  <c r="R875" i="1"/>
  <c r="U875" i="1"/>
  <c r="X875" i="1"/>
  <c r="AA875" i="1"/>
  <c r="X873" i="1"/>
  <c r="X874" i="1"/>
  <c r="AA873" i="1"/>
  <c r="AA874" i="1"/>
  <c r="U873" i="1"/>
  <c r="U874" i="1"/>
  <c r="R873" i="1"/>
  <c r="R874" i="1"/>
  <c r="U872" i="1"/>
  <c r="X872" i="1"/>
  <c r="AA872" i="1"/>
  <c r="R872" i="1"/>
  <c r="L877" i="1" l="1"/>
  <c r="L879" i="1"/>
  <c r="L878" i="1"/>
  <c r="AF876" i="1"/>
  <c r="AF875" i="1"/>
  <c r="AF873" i="1"/>
  <c r="AF874" i="1"/>
  <c r="L872" i="1"/>
  <c r="AA871" i="1"/>
  <c r="X871" i="1"/>
  <c r="U871" i="1"/>
  <c r="R871" i="1"/>
  <c r="AA870" i="1"/>
  <c r="X870" i="1"/>
  <c r="U870" i="1"/>
  <c r="R870" i="1"/>
  <c r="L875" i="1" l="1"/>
  <c r="L874" i="1"/>
  <c r="L873" i="1"/>
  <c r="AF872" i="1"/>
  <c r="L871" i="1"/>
  <c r="L870" i="1"/>
  <c r="AF871" i="1" l="1"/>
  <c r="AF870" i="1"/>
  <c r="AJ431" i="1"/>
  <c r="AI431" i="1"/>
  <c r="AI674" i="1"/>
  <c r="AI629" i="1"/>
  <c r="R869" i="1" l="1"/>
  <c r="U869" i="1"/>
  <c r="X869" i="1"/>
  <c r="AJ346" i="1" l="1"/>
  <c r="AI346" i="1"/>
  <c r="AF869" i="1" l="1"/>
  <c r="L869" i="1"/>
  <c r="U96" i="1"/>
  <c r="X96" i="1"/>
  <c r="AA96" i="1"/>
  <c r="U868" i="1"/>
  <c r="X868" i="1"/>
  <c r="AA868" i="1"/>
  <c r="R868" i="1"/>
  <c r="L868" i="1" l="1"/>
  <c r="AF868" i="1" l="1"/>
  <c r="AA867" i="1"/>
  <c r="X867" i="1"/>
  <c r="U867" i="1"/>
  <c r="R867" i="1"/>
  <c r="AF867" i="1" l="1"/>
  <c r="L867" i="1" l="1"/>
  <c r="AJ416" i="1" l="1"/>
  <c r="AI416" i="1"/>
  <c r="AJ347" i="1"/>
  <c r="AI347" i="1"/>
  <c r="AJ728" i="1"/>
  <c r="AI728" i="1"/>
  <c r="AJ766" i="1"/>
  <c r="AI766" i="1"/>
  <c r="AJ759" i="1"/>
  <c r="AI759" i="1"/>
  <c r="U866" i="1"/>
  <c r="X866" i="1"/>
  <c r="AA866" i="1"/>
  <c r="R866" i="1"/>
  <c r="X865" i="1" l="1"/>
  <c r="U864" i="1"/>
  <c r="U865" i="1"/>
  <c r="X864" i="1"/>
  <c r="AA864" i="1"/>
  <c r="AA865" i="1"/>
  <c r="R864" i="1"/>
  <c r="R865" i="1"/>
  <c r="U863" i="1"/>
  <c r="X863" i="1"/>
  <c r="AA863" i="1"/>
  <c r="R863" i="1"/>
  <c r="L866" i="1" l="1"/>
  <c r="AF866" i="1"/>
  <c r="AF864" i="1"/>
  <c r="L863" i="1"/>
  <c r="AC740" i="1"/>
  <c r="AB740" i="1"/>
  <c r="W740" i="1"/>
  <c r="V740" i="1"/>
  <c r="L864" i="1" l="1"/>
  <c r="AF865" i="1"/>
  <c r="L865" i="1"/>
  <c r="AF863" i="1"/>
  <c r="AJ736" i="1"/>
  <c r="AI736" i="1"/>
  <c r="AJ772" i="1"/>
  <c r="AI772" i="1"/>
  <c r="U862" i="1"/>
  <c r="X862" i="1"/>
  <c r="AA862" i="1"/>
  <c r="U861" i="1" l="1"/>
  <c r="U860" i="1"/>
  <c r="X860" i="1"/>
  <c r="X861" i="1"/>
  <c r="AA861" i="1"/>
  <c r="AA860" i="1"/>
  <c r="R860" i="1"/>
  <c r="R861" i="1"/>
  <c r="R862" i="1"/>
  <c r="U859" i="1"/>
  <c r="U858" i="1"/>
  <c r="U857" i="1"/>
  <c r="X857" i="1"/>
  <c r="X858" i="1"/>
  <c r="X859" i="1"/>
  <c r="AA859" i="1"/>
  <c r="AA858" i="1"/>
  <c r="AA857" i="1"/>
  <c r="R857" i="1"/>
  <c r="R858" i="1"/>
  <c r="R859" i="1"/>
  <c r="U170" i="1"/>
  <c r="X170" i="1"/>
  <c r="AA170" i="1"/>
  <c r="R170" i="1"/>
  <c r="U856" i="1"/>
  <c r="X856" i="1"/>
  <c r="AA856" i="1"/>
  <c r="R856" i="1"/>
  <c r="AF861" i="1" l="1"/>
  <c r="AF860" i="1"/>
  <c r="AF862" i="1"/>
  <c r="AF857" i="1"/>
  <c r="AF858" i="1"/>
  <c r="L859" i="1"/>
  <c r="R853" i="1"/>
  <c r="R854" i="1"/>
  <c r="R855" i="1"/>
  <c r="U855" i="1"/>
  <c r="U854" i="1"/>
  <c r="U853" i="1"/>
  <c r="X853" i="1"/>
  <c r="X854" i="1"/>
  <c r="X855" i="1"/>
  <c r="AA855" i="1"/>
  <c r="AA854" i="1"/>
  <c r="AA853" i="1"/>
  <c r="L862" i="1" l="1"/>
  <c r="L861" i="1"/>
  <c r="L860" i="1"/>
  <c r="L857" i="1"/>
  <c r="AF859" i="1"/>
  <c r="L858" i="1"/>
  <c r="L170" i="1"/>
  <c r="AF170" i="1"/>
  <c r="AF856" i="1"/>
  <c r="L856" i="1"/>
  <c r="AF853" i="1"/>
  <c r="AF854" i="1"/>
  <c r="L853" i="1" l="1"/>
  <c r="AF855" i="1"/>
  <c r="L855" i="1"/>
  <c r="L854" i="1"/>
  <c r="U157" i="1"/>
  <c r="X157" i="1"/>
  <c r="AA157" i="1"/>
  <c r="R157" i="1"/>
  <c r="AF157" i="1" l="1"/>
  <c r="AJ440" i="1"/>
  <c r="AI440" i="1"/>
  <c r="AJ457" i="1"/>
  <c r="AI457" i="1"/>
  <c r="AJ47" i="1"/>
  <c r="AI47" i="1"/>
  <c r="AI448" i="1"/>
  <c r="L157" i="1" l="1"/>
  <c r="U852" i="1"/>
  <c r="X852" i="1"/>
  <c r="AA852" i="1"/>
  <c r="R852" i="1"/>
  <c r="U422" i="1" l="1"/>
  <c r="X422" i="1"/>
  <c r="AA422" i="1"/>
  <c r="AF852" i="1" l="1"/>
  <c r="L852" i="1"/>
  <c r="AF422" i="1"/>
  <c r="U144" i="1"/>
  <c r="X144" i="1"/>
  <c r="AA144" i="1"/>
  <c r="R144" i="1"/>
  <c r="L422" i="1" l="1"/>
  <c r="L144" i="1"/>
  <c r="U604" i="1"/>
  <c r="X604" i="1"/>
  <c r="AA604" i="1"/>
  <c r="U605" i="1"/>
  <c r="X605" i="1"/>
  <c r="AA605" i="1"/>
  <c r="R606" i="1"/>
  <c r="U606" i="1"/>
  <c r="X606" i="1"/>
  <c r="AA606" i="1"/>
  <c r="U169" i="1"/>
  <c r="X169" i="1"/>
  <c r="AA169" i="1"/>
  <c r="R169" i="1"/>
  <c r="AF144" i="1" l="1"/>
  <c r="L605" i="1"/>
  <c r="L606" i="1"/>
  <c r="AF169" i="1"/>
  <c r="M812" i="1"/>
  <c r="M811" i="1"/>
  <c r="AF604" i="1" l="1"/>
  <c r="AF605" i="1"/>
  <c r="L604" i="1"/>
  <c r="AF606" i="1"/>
  <c r="L169" i="1"/>
  <c r="U168" i="1"/>
  <c r="X168" i="1"/>
  <c r="AA168" i="1"/>
  <c r="R168" i="1"/>
  <c r="AF168" i="1" l="1"/>
  <c r="U851" i="1"/>
  <c r="X851" i="1"/>
  <c r="AA851" i="1"/>
  <c r="R851" i="1"/>
  <c r="U18" i="1"/>
  <c r="X18" i="1"/>
  <c r="AA18" i="1"/>
  <c r="R18" i="1"/>
  <c r="AA353" i="1"/>
  <c r="X353" i="1"/>
  <c r="U353" i="1"/>
  <c r="R353" i="1"/>
  <c r="U336" i="1"/>
  <c r="X336" i="1"/>
  <c r="AA336" i="1"/>
  <c r="R336" i="1"/>
  <c r="X368" i="1"/>
  <c r="U368" i="1"/>
  <c r="AA368" i="1"/>
  <c r="U266" i="1"/>
  <c r="X266" i="1"/>
  <c r="AA266" i="1"/>
  <c r="R266" i="1"/>
  <c r="U352" i="1"/>
  <c r="X352" i="1"/>
  <c r="AA352" i="1"/>
  <c r="R352" i="1"/>
  <c r="AA421" i="1"/>
  <c r="X421" i="1"/>
  <c r="U421" i="1"/>
  <c r="L168" i="1" l="1"/>
  <c r="AF18" i="1"/>
  <c r="AF336" i="1"/>
  <c r="AF368" i="1"/>
  <c r="AF266" i="1"/>
  <c r="AF352" i="1"/>
  <c r="AF421" i="1"/>
  <c r="U272" i="1"/>
  <c r="X272" i="1"/>
  <c r="AA272" i="1"/>
  <c r="R272" i="1"/>
  <c r="U435" i="1"/>
  <c r="X435" i="1"/>
  <c r="AA435" i="1"/>
  <c r="R435" i="1"/>
  <c r="R74" i="1"/>
  <c r="R73" i="1"/>
  <c r="U74" i="1"/>
  <c r="X74" i="1"/>
  <c r="U246" i="1"/>
  <c r="X246" i="1"/>
  <c r="AA246" i="1"/>
  <c r="R246" i="1"/>
  <c r="U302" i="1"/>
  <c r="X302" i="1"/>
  <c r="AA302" i="1"/>
  <c r="R302" i="1"/>
  <c r="U156" i="1"/>
  <c r="X156" i="1"/>
  <c r="AA156" i="1"/>
  <c r="R156" i="1"/>
  <c r="U155" i="1"/>
  <c r="X155" i="1"/>
  <c r="AA155" i="1"/>
  <c r="R155" i="1"/>
  <c r="AF851" i="1" l="1"/>
  <c r="L851" i="1"/>
  <c r="L18" i="1"/>
  <c r="L353" i="1"/>
  <c r="AF353" i="1"/>
  <c r="L336" i="1"/>
  <c r="L368" i="1"/>
  <c r="L266" i="1"/>
  <c r="L352" i="1"/>
  <c r="L421" i="1"/>
  <c r="AF74" i="1"/>
  <c r="AF435" i="1"/>
  <c r="AF246" i="1"/>
  <c r="AF302" i="1"/>
  <c r="AF156" i="1"/>
  <c r="AF155" i="1"/>
  <c r="AA850" i="1"/>
  <c r="X850" i="1"/>
  <c r="U850" i="1"/>
  <c r="R850" i="1"/>
  <c r="L435" i="1" l="1"/>
  <c r="L74" i="1"/>
  <c r="L246" i="1"/>
  <c r="L302" i="1"/>
  <c r="L156" i="1"/>
  <c r="L155" i="1"/>
  <c r="AJ383" i="1"/>
  <c r="AI383" i="1"/>
  <c r="AJ375" i="1"/>
  <c r="AI375" i="1"/>
  <c r="AJ750" i="1"/>
  <c r="AI750" i="1"/>
  <c r="AI608" i="1"/>
  <c r="U42" i="1"/>
  <c r="X42" i="1"/>
  <c r="R42" i="1"/>
  <c r="X341" i="1"/>
  <c r="AA341" i="1"/>
  <c r="U341" i="1"/>
  <c r="R341" i="1"/>
  <c r="AF850" i="1" l="1"/>
  <c r="L850" i="1"/>
  <c r="AF42" i="1"/>
  <c r="AA129" i="1"/>
  <c r="U129" i="1"/>
  <c r="X129" i="1"/>
  <c r="R129" i="1"/>
  <c r="U17" i="1"/>
  <c r="X17" i="1"/>
  <c r="AA17" i="1"/>
  <c r="R17" i="1"/>
  <c r="U67" i="1"/>
  <c r="X67" i="1"/>
  <c r="AA67" i="1"/>
  <c r="R67" i="1"/>
  <c r="U51" i="1"/>
  <c r="X51" i="1"/>
  <c r="R51" i="1"/>
  <c r="U308" i="1"/>
  <c r="X308" i="1"/>
  <c r="AA308" i="1"/>
  <c r="R308" i="1"/>
  <c r="U16" i="1"/>
  <c r="X16" i="1"/>
  <c r="AA16" i="1"/>
  <c r="R16" i="1"/>
  <c r="AA66" i="1"/>
  <c r="U66" i="1"/>
  <c r="X66" i="1"/>
  <c r="R66" i="1"/>
  <c r="U85" i="1"/>
  <c r="X85" i="1"/>
  <c r="AA85" i="1"/>
  <c r="R85" i="1"/>
  <c r="U283" i="1"/>
  <c r="X283" i="1"/>
  <c r="AA283" i="1"/>
  <c r="R283" i="1"/>
  <c r="U154" i="1"/>
  <c r="X154" i="1"/>
  <c r="AA154" i="1"/>
  <c r="R154" i="1"/>
  <c r="U442" i="1"/>
  <c r="X442" i="1"/>
  <c r="AA442" i="1"/>
  <c r="R442" i="1"/>
  <c r="U359" i="1"/>
  <c r="X359" i="1"/>
  <c r="AA359" i="1"/>
  <c r="R359" i="1"/>
  <c r="U357" i="1"/>
  <c r="R358" i="1"/>
  <c r="U197" i="1"/>
  <c r="X197" i="1"/>
  <c r="AA197" i="1"/>
  <c r="R197" i="1"/>
  <c r="AF341" i="1" l="1"/>
  <c r="L42" i="1"/>
  <c r="L341" i="1"/>
  <c r="AF129" i="1"/>
  <c r="AF17" i="1"/>
  <c r="AF67" i="1"/>
  <c r="AF51" i="1"/>
  <c r="AF308" i="1"/>
  <c r="AF16" i="1"/>
  <c r="AF66" i="1"/>
  <c r="AF85" i="1"/>
  <c r="AF283" i="1"/>
  <c r="L154" i="1"/>
  <c r="L442" i="1"/>
  <c r="AF359" i="1"/>
  <c r="AF358" i="1"/>
  <c r="AF197" i="1"/>
  <c r="L129" i="1" l="1"/>
  <c r="L17" i="1"/>
  <c r="L67" i="1"/>
  <c r="L51" i="1"/>
  <c r="L308" i="1"/>
  <c r="L16" i="1"/>
  <c r="L66" i="1"/>
  <c r="L85" i="1"/>
  <c r="L283" i="1"/>
  <c r="AF154" i="1"/>
  <c r="AF442" i="1"/>
  <c r="L359" i="1"/>
  <c r="L197" i="1"/>
  <c r="L358" i="1"/>
  <c r="U228" i="1"/>
  <c r="X228" i="1"/>
  <c r="AA228" i="1"/>
  <c r="R228" i="1"/>
  <c r="AF228" i="1" l="1"/>
  <c r="R357" i="1"/>
  <c r="X357" i="1"/>
  <c r="AA357" i="1"/>
  <c r="L228" i="1" l="1"/>
  <c r="AF357" i="1"/>
  <c r="AJ744" i="1"/>
  <c r="AI744" i="1"/>
  <c r="L357" i="1" l="1"/>
  <c r="X379" i="1" l="1"/>
  <c r="R379" i="1"/>
  <c r="U271" i="1"/>
  <c r="X271" i="1"/>
  <c r="AA271" i="1"/>
  <c r="R271" i="1"/>
  <c r="U356" i="1"/>
  <c r="X356" i="1"/>
  <c r="AA356" i="1"/>
  <c r="R356" i="1"/>
  <c r="AF356" i="1" l="1"/>
  <c r="AF379" i="1" l="1"/>
  <c r="L379" i="1"/>
  <c r="L356" i="1"/>
  <c r="U84" i="1"/>
  <c r="X84" i="1"/>
  <c r="AA84" i="1"/>
  <c r="R84" i="1"/>
  <c r="U340" i="1"/>
  <c r="X340" i="1"/>
  <c r="AA340" i="1"/>
  <c r="R340" i="1"/>
  <c r="X57" i="1"/>
  <c r="U57" i="1"/>
  <c r="R57" i="1"/>
  <c r="AF84" i="1" l="1"/>
  <c r="AF57" i="1"/>
  <c r="L84" i="1" l="1"/>
  <c r="AF340" i="1"/>
  <c r="L340" i="1"/>
  <c r="L57" i="1"/>
  <c r="U32" i="1"/>
  <c r="X32" i="1"/>
  <c r="AA32" i="1"/>
  <c r="R32" i="1"/>
  <c r="AA245" i="1"/>
  <c r="X245" i="1"/>
  <c r="U245" i="1"/>
  <c r="R245" i="1"/>
  <c r="U153" i="1"/>
  <c r="X153" i="1"/>
  <c r="AA153" i="1"/>
  <c r="R153" i="1"/>
  <c r="U183" i="1"/>
  <c r="X183" i="1"/>
  <c r="AA183" i="1"/>
  <c r="R183" i="1"/>
  <c r="AA301" i="1"/>
  <c r="X301" i="1"/>
  <c r="U301" i="1"/>
  <c r="R301" i="1"/>
  <c r="R434" i="1"/>
  <c r="AA434" i="1"/>
  <c r="X434" i="1"/>
  <c r="U434" i="1"/>
  <c r="AF32" i="1" l="1"/>
  <c r="L245" i="1"/>
  <c r="AF153" i="1"/>
  <c r="AF183" i="1"/>
  <c r="L301" i="1"/>
  <c r="AF434" i="1"/>
  <c r="AF245" i="1" l="1"/>
  <c r="L153" i="1"/>
  <c r="L32" i="1"/>
  <c r="L183" i="1"/>
  <c r="AF301" i="1"/>
  <c r="L434" i="1"/>
  <c r="AA291" i="1" l="1"/>
  <c r="X291" i="1"/>
  <c r="U291" i="1"/>
  <c r="R291" i="1"/>
  <c r="U143" i="1"/>
  <c r="X143" i="1"/>
  <c r="AA143" i="1"/>
  <c r="R143" i="1"/>
  <c r="AA324" i="1"/>
  <c r="X324" i="1"/>
  <c r="U324" i="1"/>
  <c r="R324" i="1"/>
  <c r="AF143" i="1" l="1"/>
  <c r="AF324" i="1"/>
  <c r="L324" i="1" l="1"/>
  <c r="L291" i="1"/>
  <c r="AF291" i="1"/>
  <c r="L143" i="1"/>
  <c r="U265" i="1"/>
  <c r="X265" i="1"/>
  <c r="AA265" i="1"/>
  <c r="R265" i="1"/>
  <c r="U264" i="1"/>
  <c r="X264" i="1"/>
  <c r="AA264" i="1"/>
  <c r="R264" i="1"/>
  <c r="AF265" i="1" l="1"/>
  <c r="L264" i="1"/>
  <c r="AA128" i="1"/>
  <c r="X128" i="1"/>
  <c r="U128" i="1"/>
  <c r="R128" i="1"/>
  <c r="X50" i="1"/>
  <c r="U50" i="1"/>
  <c r="R50" i="1"/>
  <c r="AA142" i="1"/>
  <c r="X142" i="1"/>
  <c r="U142" i="1"/>
  <c r="AA213" i="1"/>
  <c r="X213" i="1"/>
  <c r="U213" i="1"/>
  <c r="R213" i="1"/>
  <c r="AA136" i="1"/>
  <c r="U136" i="1"/>
  <c r="R136" i="1"/>
  <c r="L50" i="1" l="1"/>
  <c r="L265" i="1"/>
  <c r="AF264" i="1"/>
  <c r="L142" i="1"/>
  <c r="AF213" i="1"/>
  <c r="AA222" i="1"/>
  <c r="X222" i="1"/>
  <c r="U222" i="1"/>
  <c r="R222" i="1"/>
  <c r="AA335" i="1"/>
  <c r="X335" i="1"/>
  <c r="U335" i="1"/>
  <c r="R335" i="1"/>
  <c r="AA300" i="1"/>
  <c r="X300" i="1"/>
  <c r="U300" i="1"/>
  <c r="R300" i="1"/>
  <c r="X378" i="1"/>
  <c r="U378" i="1"/>
  <c r="R378" i="1"/>
  <c r="AA307" i="1"/>
  <c r="X307" i="1"/>
  <c r="U307" i="1"/>
  <c r="R307" i="1"/>
  <c r="AA299" i="1"/>
  <c r="X299" i="1"/>
  <c r="U299" i="1"/>
  <c r="R299" i="1"/>
  <c r="AA290" i="1"/>
  <c r="X290" i="1"/>
  <c r="U290" i="1"/>
  <c r="R290" i="1"/>
  <c r="AA420" i="1"/>
  <c r="X420" i="1"/>
  <c r="U420" i="1"/>
  <c r="AA212" i="1"/>
  <c r="X212" i="1"/>
  <c r="U212" i="1"/>
  <c r="R212" i="1"/>
  <c r="X41" i="1"/>
  <c r="U41" i="1"/>
  <c r="R41" i="1"/>
  <c r="AF50" i="1" l="1"/>
  <c r="L213" i="1"/>
  <c r="AF128" i="1"/>
  <c r="L128" i="1"/>
  <c r="AF142" i="1"/>
  <c r="L222" i="1"/>
  <c r="AF335" i="1"/>
  <c r="L300" i="1"/>
  <c r="AF378" i="1"/>
  <c r="L299" i="1"/>
  <c r="L290" i="1"/>
  <c r="AF420" i="1"/>
  <c r="L212" i="1"/>
  <c r="AF41" i="1"/>
  <c r="AF222" i="1" l="1"/>
  <c r="L335" i="1"/>
  <c r="AF300" i="1"/>
  <c r="L378" i="1"/>
  <c r="AF307" i="1"/>
  <c r="L307" i="1"/>
  <c r="AF299" i="1"/>
  <c r="AF290" i="1"/>
  <c r="L420" i="1"/>
  <c r="AF212" i="1"/>
  <c r="L41" i="1"/>
  <c r="AJ672" i="1" l="1"/>
  <c r="AI672" i="1"/>
  <c r="AJ756" i="1"/>
  <c r="AI756" i="1"/>
  <c r="AA441" i="1" l="1"/>
  <c r="X441" i="1"/>
  <c r="U441" i="1"/>
  <c r="R441" i="1"/>
  <c r="U40" i="1"/>
  <c r="X40" i="1"/>
  <c r="R40" i="1"/>
  <c r="AA244" i="1"/>
  <c r="X244" i="1"/>
  <c r="U244" i="1"/>
  <c r="R244" i="1"/>
  <c r="AA351" i="1"/>
  <c r="X351" i="1"/>
  <c r="U351" i="1"/>
  <c r="R351" i="1"/>
  <c r="L40" i="1" l="1"/>
  <c r="L244" i="1"/>
  <c r="AF351" i="1" l="1"/>
  <c r="L441" i="1"/>
  <c r="AF441" i="1"/>
  <c r="AF40" i="1"/>
  <c r="AF244" i="1"/>
  <c r="L351" i="1"/>
  <c r="AA263" i="1" l="1"/>
  <c r="X263" i="1"/>
  <c r="U263" i="1"/>
  <c r="R263" i="1"/>
  <c r="AA127" i="1"/>
  <c r="X127" i="1"/>
  <c r="U127" i="1"/>
  <c r="R127" i="1"/>
  <c r="AA15" i="1"/>
  <c r="X15" i="1"/>
  <c r="U15" i="1"/>
  <c r="R15" i="1"/>
  <c r="AF127" i="1" l="1"/>
  <c r="AF263" i="1"/>
  <c r="AF15" i="1" l="1"/>
  <c r="L15" i="1"/>
  <c r="L127" i="1"/>
  <c r="L263" i="1"/>
  <c r="AJ770" i="1"/>
  <c r="AI770" i="1"/>
  <c r="AJ769" i="1"/>
  <c r="AI769" i="1"/>
  <c r="AJ456" i="1"/>
  <c r="AJ708" i="1"/>
  <c r="AI708" i="1"/>
  <c r="AJ765" i="1"/>
  <c r="AI765" i="1"/>
  <c r="AJ755" i="1"/>
  <c r="AI755" i="1"/>
  <c r="AJ701" i="1"/>
  <c r="AI701" i="1"/>
  <c r="AJ696" i="1"/>
  <c r="AI696" i="1"/>
  <c r="AJ702" i="1"/>
  <c r="AI702" i="1"/>
  <c r="AJ640" i="1"/>
  <c r="AI640" i="1"/>
  <c r="AJ720" i="1"/>
  <c r="AI720" i="1"/>
  <c r="AJ713" i="1"/>
  <c r="AI713" i="1"/>
  <c r="AJ716" i="1"/>
  <c r="AI716" i="1"/>
  <c r="AI754" i="1"/>
  <c r="AJ746" i="1"/>
  <c r="AI746" i="1"/>
  <c r="AA779" i="1" l="1"/>
  <c r="X779" i="1"/>
  <c r="U779" i="1"/>
  <c r="R779" i="1"/>
  <c r="AF779" i="1" l="1"/>
  <c r="AA104" i="1"/>
  <c r="X104" i="1"/>
  <c r="U104" i="1"/>
  <c r="R104" i="1"/>
  <c r="AF104" i="1" l="1"/>
  <c r="AA103" i="1"/>
  <c r="X103" i="1"/>
  <c r="U103" i="1"/>
  <c r="R103" i="1"/>
  <c r="L104" i="1" l="1"/>
  <c r="AF103" i="1" l="1"/>
  <c r="L103" i="1"/>
  <c r="AJ715" i="1" l="1"/>
  <c r="AI715" i="1"/>
  <c r="AI752" i="1"/>
  <c r="AJ732" i="1"/>
  <c r="AI732" i="1"/>
  <c r="AJ757" i="1"/>
  <c r="AI757" i="1"/>
  <c r="AJ753" i="1"/>
  <c r="AI753" i="1"/>
  <c r="AJ703" i="1"/>
  <c r="AI703" i="1"/>
  <c r="AJ685" i="1"/>
  <c r="AI685" i="1"/>
  <c r="AJ748" i="1"/>
  <c r="AI748" i="1"/>
  <c r="AJ709" i="1"/>
  <c r="AI709" i="1"/>
  <c r="AJ762" i="1"/>
  <c r="AI762" i="1"/>
  <c r="AJ754" i="1"/>
  <c r="AJ763" i="1"/>
  <c r="AI763" i="1"/>
  <c r="AJ639" i="1"/>
  <c r="AI639" i="1"/>
  <c r="AA849" i="1" l="1"/>
  <c r="X849" i="1"/>
  <c r="U849" i="1"/>
  <c r="R849" i="1"/>
  <c r="L849" i="1" l="1"/>
  <c r="U772" i="1"/>
  <c r="AF849" i="1" l="1"/>
  <c r="AA848" i="1"/>
  <c r="X848" i="1"/>
  <c r="U848" i="1"/>
  <c r="R848" i="1"/>
  <c r="AF848" i="1" l="1"/>
  <c r="AI706" i="1"/>
  <c r="AI742" i="1"/>
  <c r="AJ706" i="1"/>
  <c r="L848" i="1" l="1"/>
  <c r="AA847" i="1"/>
  <c r="X847" i="1"/>
  <c r="U847" i="1"/>
  <c r="R847" i="1"/>
  <c r="AF847" i="1" l="1"/>
  <c r="L847" i="1" l="1"/>
  <c r="L242" i="1" l="1"/>
  <c r="AA836" i="1" l="1"/>
  <c r="X836" i="1"/>
  <c r="U836" i="1"/>
  <c r="R836" i="1"/>
  <c r="AF836" i="1" l="1"/>
  <c r="L836" i="1"/>
  <c r="AA845" i="1" l="1"/>
  <c r="X845" i="1"/>
  <c r="U845" i="1"/>
  <c r="R845" i="1"/>
  <c r="AF845" i="1" l="1"/>
  <c r="U83" i="1"/>
  <c r="L845" i="1" l="1"/>
  <c r="AI734" i="1"/>
  <c r="AJ734" i="1"/>
  <c r="AI93" i="1"/>
  <c r="AJ164" i="1" l="1"/>
  <c r="AJ718" i="1"/>
  <c r="AI718" i="1"/>
  <c r="AJ721" i="1"/>
  <c r="AI721" i="1"/>
  <c r="AJ667" i="1" l="1"/>
  <c r="AI667" i="1"/>
  <c r="AJ673" i="1"/>
  <c r="AI673" i="1"/>
  <c r="AJ686" i="1"/>
  <c r="AI686" i="1"/>
  <c r="AJ697" i="1"/>
  <c r="AI697" i="1"/>
  <c r="AJ723" i="1"/>
  <c r="AI723" i="1"/>
  <c r="AJ724" i="1"/>
  <c r="AI724" i="1"/>
  <c r="AJ739" i="1"/>
  <c r="AI739" i="1"/>
  <c r="AJ677" i="1"/>
  <c r="AI677" i="1"/>
  <c r="AJ742" i="1"/>
  <c r="AJ751" i="1"/>
  <c r="AI751" i="1"/>
  <c r="AJ698" i="1"/>
  <c r="AI698" i="1"/>
  <c r="AJ745" i="1"/>
  <c r="AI745" i="1"/>
  <c r="AJ749" i="1"/>
  <c r="AI749" i="1"/>
  <c r="AJ741" i="1"/>
  <c r="AI741" i="1"/>
  <c r="AJ725" i="1"/>
  <c r="AI725" i="1"/>
  <c r="AJ714" i="1" l="1"/>
  <c r="AI714" i="1"/>
  <c r="AJ733" i="1" l="1"/>
  <c r="AI733" i="1"/>
  <c r="AJ737" i="1"/>
  <c r="AI737" i="1"/>
  <c r="AJ722" i="1"/>
  <c r="AI722" i="1"/>
  <c r="AJ719" i="1"/>
  <c r="AI719" i="1"/>
  <c r="AJ710" i="1"/>
  <c r="AI710" i="1"/>
  <c r="AJ712" i="1"/>
  <c r="AI712" i="1"/>
  <c r="AJ93" i="1" l="1"/>
  <c r="AJ46" i="1"/>
  <c r="AI646" i="1"/>
  <c r="AA844" i="1" l="1"/>
  <c r="X844" i="1"/>
  <c r="U844" i="1"/>
  <c r="R844" i="1"/>
  <c r="L844" i="1" l="1"/>
  <c r="AF844" i="1" l="1"/>
  <c r="AA843" i="1"/>
  <c r="X843" i="1"/>
  <c r="U843" i="1"/>
  <c r="R843" i="1"/>
  <c r="AA842" i="1"/>
  <c r="X842" i="1"/>
  <c r="U842" i="1"/>
  <c r="R842" i="1"/>
  <c r="X841" i="1"/>
  <c r="U841" i="1"/>
  <c r="R841" i="1"/>
  <c r="AF842" i="1" l="1"/>
  <c r="AF843" i="1"/>
  <c r="L841" i="1"/>
  <c r="X840" i="1"/>
  <c r="U840" i="1"/>
  <c r="R840" i="1"/>
  <c r="L843" i="1" l="1"/>
  <c r="L842" i="1"/>
  <c r="AF841" i="1"/>
  <c r="AF840" i="1"/>
  <c r="L840" i="1" l="1"/>
  <c r="X839" i="1" l="1"/>
  <c r="U839" i="1"/>
  <c r="R839" i="1"/>
  <c r="AF839" i="1" l="1"/>
  <c r="L839" i="1" l="1"/>
  <c r="AJ689" i="1"/>
  <c r="AI689" i="1"/>
  <c r="AI695" i="1"/>
  <c r="AJ695" i="1"/>
  <c r="AJ656" i="1"/>
  <c r="AI656" i="1"/>
  <c r="AJ700" i="1"/>
  <c r="AI700" i="1"/>
  <c r="AJ661" i="1"/>
  <c r="AI661" i="1"/>
  <c r="AJ717" i="1"/>
  <c r="AI717" i="1"/>
  <c r="AJ690" i="1"/>
  <c r="AI690" i="1"/>
  <c r="AJ699" i="1"/>
  <c r="AI699" i="1"/>
  <c r="AJ684" i="1"/>
  <c r="AI684" i="1"/>
  <c r="AJ678" i="1"/>
  <c r="AI678" i="1"/>
  <c r="AJ658" i="1"/>
  <c r="AI658" i="1"/>
  <c r="AJ694" i="1"/>
  <c r="AI694" i="1"/>
  <c r="AJ758" i="1"/>
  <c r="AI758" i="1"/>
  <c r="R730" i="1" l="1"/>
  <c r="X838" i="1" l="1"/>
  <c r="U838" i="1"/>
  <c r="R838" i="1"/>
  <c r="L838" i="1" l="1"/>
  <c r="AF838" i="1" l="1"/>
  <c r="X837" i="1"/>
  <c r="U837" i="1"/>
  <c r="R837" i="1"/>
  <c r="AF837" i="1" l="1"/>
  <c r="L837" i="1" l="1"/>
  <c r="X347" i="1" l="1"/>
  <c r="AA835" i="1" l="1"/>
  <c r="X835" i="1"/>
  <c r="U835" i="1"/>
  <c r="R835" i="1"/>
  <c r="L835" i="1" l="1"/>
  <c r="AF835" i="1" l="1"/>
  <c r="X846" i="1"/>
  <c r="U846" i="1"/>
  <c r="R846" i="1"/>
  <c r="L846" i="1" l="1"/>
  <c r="AF846" i="1" l="1"/>
  <c r="AJ657" i="1" l="1"/>
  <c r="AI657" i="1"/>
  <c r="AJ683" i="1"/>
  <c r="AI683" i="1"/>
  <c r="AJ727" i="1"/>
  <c r="AI727" i="1"/>
  <c r="AJ740" i="1"/>
  <c r="AI740" i="1"/>
  <c r="AJ680" i="1"/>
  <c r="AI680" i="1"/>
  <c r="AJ682" i="1"/>
  <c r="AI682" i="1"/>
  <c r="AJ664" i="1" l="1"/>
  <c r="AI664" i="1"/>
  <c r="AJ726" i="1"/>
  <c r="AI726" i="1"/>
  <c r="AJ665" i="1"/>
  <c r="AI665" i="1"/>
  <c r="AJ659" i="1"/>
  <c r="AI659" i="1"/>
  <c r="AJ654" i="1"/>
  <c r="AI654" i="1"/>
  <c r="AA833" i="1" l="1"/>
  <c r="X833" i="1"/>
  <c r="U833" i="1"/>
  <c r="R833" i="1"/>
  <c r="L833" i="1" l="1"/>
  <c r="AJ95" i="1"/>
  <c r="AI95" i="1"/>
  <c r="AF833" i="1" l="1"/>
  <c r="AA834" i="1"/>
  <c r="X834" i="1"/>
  <c r="U834" i="1"/>
  <c r="R834" i="1"/>
  <c r="L834" i="1" l="1"/>
  <c r="AA832" i="1"/>
  <c r="X832" i="1"/>
  <c r="U832" i="1"/>
  <c r="R832" i="1"/>
  <c r="AF834" i="1" l="1"/>
  <c r="AA316" i="1"/>
  <c r="X316" i="1"/>
  <c r="U316" i="1"/>
  <c r="R316" i="1"/>
  <c r="L832" i="1" l="1"/>
  <c r="AF832" i="1"/>
  <c r="AF316" i="1"/>
  <c r="L316" i="1" l="1"/>
  <c r="AA831" i="1"/>
  <c r="X831" i="1"/>
  <c r="U831" i="1"/>
  <c r="R831" i="1"/>
  <c r="AA829" i="1" l="1"/>
  <c r="X829" i="1"/>
  <c r="U829" i="1"/>
  <c r="R829" i="1"/>
  <c r="AF831" i="1" l="1"/>
  <c r="L831" i="1"/>
  <c r="AF829" i="1"/>
  <c r="AE383" i="1"/>
  <c r="L829" i="1" l="1"/>
  <c r="AA830" i="1"/>
  <c r="X830" i="1"/>
  <c r="U830" i="1"/>
  <c r="R830" i="1"/>
  <c r="M810" i="1"/>
  <c r="M809" i="1"/>
  <c r="AA827" i="1" l="1"/>
  <c r="X827" i="1"/>
  <c r="U827" i="1"/>
  <c r="R827" i="1"/>
  <c r="L830" i="1" l="1"/>
  <c r="AF830" i="1"/>
  <c r="AF827" i="1"/>
  <c r="AA828" i="1"/>
  <c r="X828" i="1"/>
  <c r="U828" i="1"/>
  <c r="R828" i="1"/>
  <c r="L827" i="1" l="1"/>
  <c r="AA826" i="1"/>
  <c r="X826" i="1"/>
  <c r="U826" i="1"/>
  <c r="R826" i="1"/>
  <c r="AF828" i="1" l="1"/>
  <c r="L828" i="1"/>
  <c r="L826" i="1"/>
  <c r="AA825" i="1"/>
  <c r="X825" i="1"/>
  <c r="U825" i="1"/>
  <c r="R825" i="1"/>
  <c r="AF826" i="1" l="1"/>
  <c r="L825" i="1"/>
  <c r="AA824" i="1"/>
  <c r="X824" i="1"/>
  <c r="U824" i="1"/>
  <c r="R824" i="1"/>
  <c r="AF825" i="1" l="1"/>
  <c r="AA757" i="1"/>
  <c r="L824" i="1" l="1"/>
  <c r="AF824" i="1"/>
  <c r="AA823" i="1"/>
  <c r="X823" i="1"/>
  <c r="U823" i="1"/>
  <c r="R823" i="1"/>
  <c r="AA282" i="1" l="1"/>
  <c r="U282" i="1"/>
  <c r="R282" i="1"/>
  <c r="L823" i="1" l="1"/>
  <c r="AF823" i="1"/>
  <c r="L282" i="1"/>
  <c r="AF282" i="1" l="1"/>
  <c r="X55" i="1" l="1"/>
  <c r="U55" i="1"/>
  <c r="R55" i="1"/>
  <c r="AA822" i="1" l="1"/>
  <c r="X822" i="1"/>
  <c r="U822" i="1"/>
  <c r="R822" i="1"/>
  <c r="L55" i="1" l="1"/>
  <c r="AF55" i="1"/>
  <c r="AF822" i="1"/>
  <c r="L822" i="1" l="1"/>
  <c r="AA821" i="1"/>
  <c r="X821" i="1"/>
  <c r="U821" i="1"/>
  <c r="R821" i="1"/>
  <c r="AF821" i="1" l="1"/>
  <c r="AA820" i="1"/>
  <c r="X820" i="1"/>
  <c r="U820" i="1"/>
  <c r="R820" i="1"/>
  <c r="AI94" i="1"/>
  <c r="L821" i="1" l="1"/>
  <c r="AF820" i="1"/>
  <c r="AA819" i="1"/>
  <c r="U819" i="1"/>
  <c r="X819" i="1"/>
  <c r="R819" i="1"/>
  <c r="L820" i="1" l="1"/>
  <c r="L819" i="1"/>
  <c r="AA817" i="1"/>
  <c r="AA818" i="1"/>
  <c r="X817" i="1"/>
  <c r="X818" i="1"/>
  <c r="U817" i="1"/>
  <c r="U818" i="1"/>
  <c r="R817" i="1"/>
  <c r="R818" i="1"/>
  <c r="AF819" i="1" l="1"/>
  <c r="AF817" i="1"/>
  <c r="AF818" i="1"/>
  <c r="R741" i="1"/>
  <c r="R686" i="1"/>
  <c r="L817" i="1" l="1"/>
  <c r="L818" i="1"/>
  <c r="R259" i="1"/>
  <c r="X259" i="1" l="1"/>
  <c r="AA816" i="1" l="1"/>
  <c r="X816" i="1"/>
  <c r="U816" i="1"/>
  <c r="R816" i="1"/>
  <c r="L816" i="1" l="1"/>
  <c r="AA323" i="1"/>
  <c r="X6" i="1"/>
  <c r="X7" i="1"/>
  <c r="X8" i="1"/>
  <c r="X9" i="1"/>
  <c r="X10" i="1"/>
  <c r="X11" i="1"/>
  <c r="X12" i="1"/>
  <c r="X13" i="1"/>
  <c r="X14" i="1"/>
  <c r="X20" i="1"/>
  <c r="X21" i="1"/>
  <c r="X22" i="1"/>
  <c r="X23" i="1"/>
  <c r="X24" i="1"/>
  <c r="X27" i="1"/>
  <c r="X28" i="1"/>
  <c r="X29" i="1"/>
  <c r="X30" i="1"/>
  <c r="X31" i="1"/>
  <c r="X34" i="1"/>
  <c r="X35" i="1"/>
  <c r="X36" i="1"/>
  <c r="X37" i="1"/>
  <c r="X38" i="1"/>
  <c r="X39" i="1"/>
  <c r="X46" i="1"/>
  <c r="X47" i="1"/>
  <c r="X48" i="1"/>
  <c r="X49" i="1"/>
  <c r="X54" i="1"/>
  <c r="X56" i="1"/>
  <c r="X62" i="1"/>
  <c r="X63" i="1"/>
  <c r="X64" i="1"/>
  <c r="X65" i="1"/>
  <c r="X70" i="1"/>
  <c r="X71" i="1"/>
  <c r="X72" i="1"/>
  <c r="X73" i="1"/>
  <c r="X76" i="1"/>
  <c r="X77" i="1"/>
  <c r="X78" i="1"/>
  <c r="X79" i="1"/>
  <c r="X80" i="1"/>
  <c r="X81" i="1"/>
  <c r="X82" i="1"/>
  <c r="X83" i="1"/>
  <c r="X92" i="1"/>
  <c r="X93" i="1"/>
  <c r="X94" i="1"/>
  <c r="X95" i="1"/>
  <c r="X97" i="1"/>
  <c r="X98" i="1"/>
  <c r="X99" i="1"/>
  <c r="X100" i="1"/>
  <c r="X101" i="1"/>
  <c r="X102" i="1"/>
  <c r="X120" i="1"/>
  <c r="X121" i="1"/>
  <c r="X122" i="1"/>
  <c r="X123" i="1"/>
  <c r="X124" i="1"/>
  <c r="X125" i="1"/>
  <c r="X126" i="1"/>
  <c r="X130" i="1"/>
  <c r="X131" i="1"/>
  <c r="X132" i="1"/>
  <c r="X133" i="1"/>
  <c r="X134" i="1"/>
  <c r="X135" i="1"/>
  <c r="X136" i="1"/>
  <c r="X139" i="1"/>
  <c r="X140" i="1"/>
  <c r="X141" i="1"/>
  <c r="X146" i="1"/>
  <c r="X147" i="1"/>
  <c r="X148" i="1"/>
  <c r="X149" i="1"/>
  <c r="X150" i="1"/>
  <c r="X151" i="1"/>
  <c r="X152" i="1"/>
  <c r="X163" i="1"/>
  <c r="X164" i="1"/>
  <c r="X165" i="1"/>
  <c r="X166" i="1"/>
  <c r="X167" i="1"/>
  <c r="X178" i="1"/>
  <c r="X180" i="1"/>
  <c r="X181" i="1"/>
  <c r="X182" i="1"/>
  <c r="X188" i="1"/>
  <c r="X189" i="1"/>
  <c r="X190" i="1"/>
  <c r="X191" i="1"/>
  <c r="X192" i="1"/>
  <c r="X193" i="1"/>
  <c r="X194" i="1"/>
  <c r="X195" i="1"/>
  <c r="X196" i="1"/>
  <c r="X199" i="1"/>
  <c r="X200" i="1"/>
  <c r="X201" i="1"/>
  <c r="X202" i="1"/>
  <c r="X203" i="1"/>
  <c r="X204" i="1"/>
  <c r="X208" i="1"/>
  <c r="X209" i="1"/>
  <c r="X210" i="1"/>
  <c r="X211" i="1"/>
  <c r="X215" i="1"/>
  <c r="X216" i="1"/>
  <c r="X217" i="1"/>
  <c r="X218" i="1"/>
  <c r="X219" i="1"/>
  <c r="X220" i="1"/>
  <c r="X221" i="1"/>
  <c r="X224" i="1"/>
  <c r="X226" i="1"/>
  <c r="X227" i="1"/>
  <c r="X234" i="1"/>
  <c r="X235" i="1"/>
  <c r="X236" i="1"/>
  <c r="X237" i="1"/>
  <c r="X238" i="1"/>
  <c r="X239" i="1"/>
  <c r="X240" i="1"/>
  <c r="X241" i="1"/>
  <c r="X243" i="1"/>
  <c r="X257" i="1"/>
  <c r="X258" i="1"/>
  <c r="X260" i="1"/>
  <c r="X261" i="1"/>
  <c r="X262" i="1"/>
  <c r="X270" i="1"/>
  <c r="X275" i="1"/>
  <c r="X276" i="1"/>
  <c r="X277" i="1"/>
  <c r="X280" i="1"/>
  <c r="X281" i="1"/>
  <c r="X287" i="1"/>
  <c r="X288" i="1"/>
  <c r="X289" i="1"/>
  <c r="X293" i="1"/>
  <c r="X294" i="1"/>
  <c r="X295" i="1"/>
  <c r="X296" i="1"/>
  <c r="X297" i="1"/>
  <c r="X298" i="1"/>
  <c r="X304" i="1"/>
  <c r="X305" i="1"/>
  <c r="X306" i="1"/>
  <c r="X312" i="1"/>
  <c r="X313" i="1"/>
  <c r="X314" i="1"/>
  <c r="X315" i="1"/>
  <c r="X317" i="1"/>
  <c r="X318" i="1"/>
  <c r="X319" i="1"/>
  <c r="X320" i="1"/>
  <c r="X321" i="1"/>
  <c r="X322" i="1"/>
  <c r="X323" i="1"/>
  <c r="U6" i="1"/>
  <c r="U7" i="1"/>
  <c r="U8" i="1"/>
  <c r="U9" i="1"/>
  <c r="U10" i="1"/>
  <c r="U11" i="1"/>
  <c r="U12" i="1"/>
  <c r="U13" i="1"/>
  <c r="U14" i="1"/>
  <c r="U20" i="1"/>
  <c r="U21" i="1"/>
  <c r="U22" i="1"/>
  <c r="U23" i="1"/>
  <c r="U24" i="1"/>
  <c r="U27" i="1"/>
  <c r="U28" i="1"/>
  <c r="U29" i="1"/>
  <c r="U30" i="1"/>
  <c r="U31" i="1"/>
  <c r="U34" i="1"/>
  <c r="U35" i="1"/>
  <c r="U36" i="1"/>
  <c r="U37" i="1"/>
  <c r="U38" i="1"/>
  <c r="U39" i="1"/>
  <c r="U46" i="1"/>
  <c r="U47" i="1"/>
  <c r="U48" i="1"/>
  <c r="U49" i="1"/>
  <c r="U54" i="1"/>
  <c r="U56" i="1"/>
  <c r="U62" i="1"/>
  <c r="U63" i="1"/>
  <c r="U64" i="1"/>
  <c r="U65" i="1"/>
  <c r="U70" i="1"/>
  <c r="U71" i="1"/>
  <c r="U72" i="1"/>
  <c r="U73" i="1"/>
  <c r="U76" i="1"/>
  <c r="U77" i="1"/>
  <c r="U78" i="1"/>
  <c r="U79" i="1"/>
  <c r="U80" i="1"/>
  <c r="U81" i="1"/>
  <c r="U82" i="1"/>
  <c r="U92" i="1"/>
  <c r="U93" i="1"/>
  <c r="U94" i="1"/>
  <c r="U95" i="1"/>
  <c r="U97" i="1"/>
  <c r="U98" i="1"/>
  <c r="U99" i="1"/>
  <c r="U100" i="1"/>
  <c r="U101" i="1"/>
  <c r="U102" i="1"/>
  <c r="U120" i="1"/>
  <c r="U121" i="1"/>
  <c r="U122" i="1"/>
  <c r="U123" i="1"/>
  <c r="U124" i="1"/>
  <c r="U125" i="1"/>
  <c r="U126" i="1"/>
  <c r="U130" i="1"/>
  <c r="U131" i="1"/>
  <c r="U132" i="1"/>
  <c r="U133" i="1"/>
  <c r="U134" i="1"/>
  <c r="U135" i="1"/>
  <c r="U139" i="1"/>
  <c r="U140" i="1"/>
  <c r="U141" i="1"/>
  <c r="U146" i="1"/>
  <c r="U147" i="1"/>
  <c r="U148" i="1"/>
  <c r="U149" i="1"/>
  <c r="U150" i="1"/>
  <c r="U151" i="1"/>
  <c r="U152" i="1"/>
  <c r="U163" i="1"/>
  <c r="U164" i="1"/>
  <c r="U165" i="1"/>
  <c r="U166" i="1"/>
  <c r="U167" i="1"/>
  <c r="U178" i="1"/>
  <c r="U180" i="1"/>
  <c r="U181" i="1"/>
  <c r="U182" i="1"/>
  <c r="U188" i="1"/>
  <c r="U189" i="1"/>
  <c r="U190" i="1"/>
  <c r="U191" i="1"/>
  <c r="U192" i="1"/>
  <c r="U193" i="1"/>
  <c r="U194" i="1"/>
  <c r="U195" i="1"/>
  <c r="U196" i="1"/>
  <c r="U199" i="1"/>
  <c r="U200" i="1"/>
  <c r="U201" i="1"/>
  <c r="U202" i="1"/>
  <c r="U203" i="1"/>
  <c r="U204" i="1"/>
  <c r="U208" i="1"/>
  <c r="U209" i="1"/>
  <c r="U210" i="1"/>
  <c r="U211" i="1"/>
  <c r="U215" i="1"/>
  <c r="U216" i="1"/>
  <c r="U217" i="1"/>
  <c r="U218" i="1"/>
  <c r="U219" i="1"/>
  <c r="U220" i="1"/>
  <c r="U221" i="1"/>
  <c r="U224" i="1"/>
  <c r="U226" i="1"/>
  <c r="U227" i="1"/>
  <c r="U234" i="1"/>
  <c r="U235" i="1"/>
  <c r="U236" i="1"/>
  <c r="U237" i="1"/>
  <c r="U238" i="1"/>
  <c r="U239" i="1"/>
  <c r="U240" i="1"/>
  <c r="U241" i="1"/>
  <c r="U243" i="1"/>
  <c r="U257" i="1"/>
  <c r="U258" i="1"/>
  <c r="U260" i="1"/>
  <c r="U261" i="1"/>
  <c r="U262" i="1"/>
  <c r="U270" i="1"/>
  <c r="U275" i="1"/>
  <c r="U276" i="1"/>
  <c r="U277" i="1"/>
  <c r="U280" i="1"/>
  <c r="U281" i="1"/>
  <c r="U287" i="1"/>
  <c r="U288" i="1"/>
  <c r="U289" i="1"/>
  <c r="U293" i="1"/>
  <c r="U294" i="1"/>
  <c r="U295" i="1"/>
  <c r="U296" i="1"/>
  <c r="U297" i="1"/>
  <c r="U298" i="1"/>
  <c r="U304" i="1"/>
  <c r="U305" i="1"/>
  <c r="U306" i="1"/>
  <c r="U312" i="1"/>
  <c r="U313" i="1"/>
  <c r="U314" i="1"/>
  <c r="U315" i="1"/>
  <c r="U317" i="1"/>
  <c r="U318" i="1"/>
  <c r="U319" i="1"/>
  <c r="U320" i="1"/>
  <c r="U321" i="1"/>
  <c r="U322" i="1"/>
  <c r="U323" i="1"/>
  <c r="R323" i="1"/>
  <c r="AF816" i="1" l="1"/>
  <c r="AF323" i="1"/>
  <c r="AF136" i="1" l="1"/>
  <c r="L136" i="1"/>
  <c r="L323" i="1"/>
  <c r="R49" i="1"/>
  <c r="AF49" i="1" l="1"/>
  <c r="L49" i="1"/>
  <c r="AA815" i="1"/>
  <c r="X815" i="1"/>
  <c r="U815" i="1"/>
  <c r="R815" i="1"/>
  <c r="U814" i="1"/>
  <c r="AA814" i="1"/>
  <c r="X814" i="1"/>
  <c r="R814" i="1"/>
  <c r="L814" i="1" l="1"/>
  <c r="L815" i="1"/>
  <c r="AA813" i="1"/>
  <c r="X813" i="1"/>
  <c r="U813" i="1"/>
  <c r="R813" i="1"/>
  <c r="AF813" i="1" l="1"/>
  <c r="AF814" i="1"/>
  <c r="AF815" i="1"/>
  <c r="AA24" i="1"/>
  <c r="R24" i="1"/>
  <c r="L813" i="1" l="1"/>
  <c r="X812" i="1"/>
  <c r="AF24" i="1" l="1"/>
  <c r="L24" i="1"/>
  <c r="AA812" i="1"/>
  <c r="U812" i="1"/>
  <c r="R812" i="1"/>
  <c r="N812" i="1"/>
  <c r="O812" i="1"/>
  <c r="P812" i="1"/>
  <c r="AA83" i="1" l="1"/>
  <c r="R83" i="1"/>
  <c r="L812" i="1" l="1"/>
  <c r="AF812" i="1"/>
  <c r="AA811" i="1"/>
  <c r="X811" i="1"/>
  <c r="U811" i="1"/>
  <c r="R811" i="1"/>
  <c r="Q811" i="1"/>
  <c r="Q812" i="1" s="1"/>
  <c r="Q813" i="1" s="1"/>
  <c r="Q814" i="1" s="1"/>
  <c r="Q815" i="1" s="1"/>
  <c r="Q816" i="1" s="1"/>
  <c r="D812" i="1"/>
  <c r="L83" i="1" l="1"/>
  <c r="AF83" i="1"/>
  <c r="AF811" i="1"/>
  <c r="AA126" i="1"/>
  <c r="R126" i="1"/>
  <c r="L811" i="1" l="1"/>
  <c r="L126" i="1"/>
  <c r="AA315" i="1"/>
  <c r="R315" i="1"/>
  <c r="AF126" i="1" l="1"/>
  <c r="AF315" i="1" l="1"/>
  <c r="L315" i="1"/>
  <c r="AA227" i="1" l="1"/>
  <c r="R227" i="1"/>
  <c r="L227" i="1" l="1"/>
  <c r="AJ668" i="1"/>
  <c r="AI668" i="1"/>
  <c r="AF227" i="1" l="1"/>
  <c r="AJ666" i="1" l="1"/>
  <c r="AI666" i="1"/>
  <c r="L800" i="1" l="1"/>
  <c r="AA182" i="1" l="1"/>
  <c r="R182" i="1"/>
  <c r="M182" i="1"/>
  <c r="M183" i="1" s="1"/>
  <c r="N182" i="1"/>
  <c r="N183" i="1" s="1"/>
  <c r="O182" i="1"/>
  <c r="P182" i="1"/>
  <c r="P183" i="1" s="1"/>
  <c r="Q182" i="1"/>
  <c r="G182" i="1"/>
  <c r="L182" i="1" l="1"/>
  <c r="AA810" i="1"/>
  <c r="X810" i="1"/>
  <c r="U810" i="1"/>
  <c r="R810" i="1"/>
  <c r="AF182" i="1" l="1"/>
  <c r="AF810" i="1"/>
  <c r="AA809" i="1"/>
  <c r="X809" i="1"/>
  <c r="U809" i="1"/>
  <c r="R809" i="1"/>
  <c r="L810" i="1" l="1"/>
  <c r="AA807" i="1"/>
  <c r="AA808" i="1"/>
  <c r="X807" i="1"/>
  <c r="X808" i="1"/>
  <c r="U807" i="1"/>
  <c r="U808" i="1"/>
  <c r="R807" i="1"/>
  <c r="R808" i="1"/>
  <c r="L809" i="1" l="1"/>
  <c r="AF809" i="1"/>
  <c r="L808" i="1" l="1"/>
  <c r="AF808" i="1"/>
  <c r="L807" i="1"/>
  <c r="AF807" i="1"/>
  <c r="X806" i="1" l="1"/>
  <c r="U806" i="1"/>
  <c r="AA806" i="1"/>
  <c r="R806" i="1"/>
  <c r="N809" i="1"/>
  <c r="N810" i="1" s="1"/>
  <c r="O806" i="1"/>
  <c r="O807" i="1" s="1"/>
  <c r="O808" i="1" s="1"/>
  <c r="P806" i="1"/>
  <c r="P807" i="1" s="1"/>
  <c r="P808" i="1" s="1"/>
  <c r="Q806" i="1"/>
  <c r="Q807" i="1" s="1"/>
  <c r="Q808" i="1" s="1"/>
  <c r="Q809" i="1" s="1"/>
  <c r="AF806" i="1" l="1"/>
  <c r="L806" i="1" l="1"/>
  <c r="AA339" i="1"/>
  <c r="X339" i="1"/>
  <c r="U339" i="1"/>
  <c r="R339" i="1"/>
  <c r="AA243" i="1"/>
  <c r="R243" i="1"/>
  <c r="R804" i="1"/>
  <c r="U804" i="1"/>
  <c r="X804" i="1"/>
  <c r="AA804" i="1"/>
  <c r="R805" i="1"/>
  <c r="U805" i="1"/>
  <c r="X805" i="1"/>
  <c r="AA805" i="1"/>
  <c r="AF805" i="1" l="1"/>
  <c r="L339" i="1"/>
  <c r="L804" i="1"/>
  <c r="AF243" i="1" l="1"/>
  <c r="L243" i="1"/>
  <c r="L805" i="1"/>
  <c r="AF804" i="1"/>
  <c r="AF339" i="1"/>
  <c r="AA204" i="1"/>
  <c r="R204" i="1"/>
  <c r="AF204" i="1" l="1"/>
  <c r="L204" i="1"/>
  <c r="AA803" i="1"/>
  <c r="AA802" i="1" l="1"/>
  <c r="X803" i="1"/>
  <c r="U803" i="1"/>
  <c r="R803" i="1"/>
  <c r="AF803" i="1" l="1"/>
  <c r="X802" i="1"/>
  <c r="U802" i="1"/>
  <c r="R802" i="1"/>
  <c r="L803" i="1" l="1"/>
  <c r="L802" i="1"/>
  <c r="X801" i="1"/>
  <c r="U801" i="1"/>
  <c r="R801" i="1"/>
  <c r="AF802" i="1" l="1"/>
  <c r="AA801" i="1"/>
  <c r="AF801" i="1" s="1"/>
  <c r="L801" i="1" l="1"/>
  <c r="AA270" i="1"/>
  <c r="R270" i="1"/>
  <c r="AI645" i="1" l="1"/>
  <c r="AJ655" i="1"/>
  <c r="AI655" i="1"/>
  <c r="L270" i="1" l="1"/>
  <c r="AF270" i="1"/>
  <c r="AA799" i="1"/>
  <c r="X799" i="1"/>
  <c r="U799" i="1"/>
  <c r="R799" i="1"/>
  <c r="AF799" i="1" l="1"/>
  <c r="L799" i="1" l="1"/>
  <c r="R39" i="1"/>
  <c r="AA798" i="1" l="1"/>
  <c r="U798" i="1"/>
  <c r="X798" i="1"/>
  <c r="R798" i="1"/>
  <c r="AF39" i="1" l="1"/>
  <c r="L39" i="1"/>
  <c r="AF798" i="1"/>
  <c r="L798" i="1" l="1"/>
  <c r="AA797" i="1"/>
  <c r="X797" i="1"/>
  <c r="U797" i="1"/>
  <c r="R797" i="1" l="1"/>
  <c r="AA796" i="1" l="1"/>
  <c r="X796" i="1"/>
  <c r="U796" i="1"/>
  <c r="R796" i="1"/>
  <c r="AF797" i="1" l="1"/>
  <c r="L797" i="1"/>
  <c r="AF796" i="1"/>
  <c r="AA298" i="1"/>
  <c r="R298" i="1"/>
  <c r="L796" i="1" l="1"/>
  <c r="L298" i="1"/>
  <c r="AF298" i="1" l="1"/>
  <c r="L73" i="1" l="1"/>
  <c r="AF73" i="1"/>
  <c r="AA795" i="1"/>
  <c r="X795" i="1"/>
  <c r="U795" i="1"/>
  <c r="R795" i="1"/>
  <c r="R794" i="1"/>
  <c r="AA794" i="1"/>
  <c r="U794" i="1"/>
  <c r="AA793" i="1"/>
  <c r="X793" i="1"/>
  <c r="U793" i="1"/>
  <c r="R793" i="1"/>
  <c r="L795" i="1" l="1"/>
  <c r="L793" i="1"/>
  <c r="AA355" i="1"/>
  <c r="X355" i="1"/>
  <c r="U355" i="1"/>
  <c r="R355" i="1"/>
  <c r="AF793" i="1" l="1"/>
  <c r="AF795" i="1"/>
  <c r="L355" i="1"/>
  <c r="AF355" i="1" l="1"/>
  <c r="AA334" i="1"/>
  <c r="X334" i="1"/>
  <c r="U334" i="1"/>
  <c r="R334" i="1"/>
  <c r="AA333" i="1"/>
  <c r="X333" i="1"/>
  <c r="U333" i="1"/>
  <c r="R333" i="1"/>
  <c r="AA38" i="1"/>
  <c r="R38" i="1"/>
  <c r="AA332" i="1"/>
  <c r="X332" i="1"/>
  <c r="U332" i="1"/>
  <c r="R332" i="1"/>
  <c r="AA167" i="1"/>
  <c r="R167" i="1"/>
  <c r="AF334" i="1" l="1"/>
  <c r="L333" i="1"/>
  <c r="AF332" i="1"/>
  <c r="AA792" i="1"/>
  <c r="X792" i="1"/>
  <c r="U792" i="1"/>
  <c r="R792" i="1"/>
  <c r="AF167" i="1" l="1"/>
  <c r="L167" i="1"/>
  <c r="AF38" i="1"/>
  <c r="L38" i="1"/>
  <c r="L334" i="1"/>
  <c r="L332" i="1"/>
  <c r="AF333" i="1"/>
  <c r="AF792" i="1"/>
  <c r="X794" i="1"/>
  <c r="L794" i="1" s="1"/>
  <c r="L792" i="1" l="1"/>
  <c r="AF794" i="1"/>
  <c r="R673" i="1"/>
  <c r="AA791" i="1" l="1"/>
  <c r="X791" i="1"/>
  <c r="U791" i="1"/>
  <c r="R791" i="1"/>
  <c r="AA789" i="1"/>
  <c r="X789" i="1"/>
  <c r="U789" i="1"/>
  <c r="R789" i="1"/>
  <c r="AA350" i="1"/>
  <c r="X350" i="1"/>
  <c r="U350" i="1"/>
  <c r="R350" i="1"/>
  <c r="AF350" i="1" l="1"/>
  <c r="L789" i="1"/>
  <c r="AF791" i="1" l="1"/>
  <c r="L791" i="1"/>
  <c r="L350" i="1"/>
  <c r="AF789" i="1"/>
  <c r="AA277" i="1"/>
  <c r="R277" i="1"/>
  <c r="R47" i="1" l="1"/>
  <c r="R48" i="1"/>
  <c r="AF277" i="1" l="1"/>
  <c r="L277" i="1"/>
  <c r="AF48" i="1" l="1"/>
  <c r="L48" i="1"/>
  <c r="AA790" i="1"/>
  <c r="X790" i="1" l="1"/>
  <c r="U790" i="1"/>
  <c r="R790" i="1"/>
  <c r="AF790" i="1" l="1"/>
  <c r="L790" i="1" l="1"/>
  <c r="AA125" i="1"/>
  <c r="R125" i="1"/>
  <c r="L130" i="1" l="1"/>
  <c r="AA297" i="1"/>
  <c r="R297" i="1"/>
  <c r="AF125" i="1" l="1"/>
  <c r="L125" i="1"/>
  <c r="AF297" i="1" l="1"/>
  <c r="L297" i="1"/>
  <c r="R56" i="1"/>
  <c r="M56" i="1"/>
  <c r="N56" i="1" l="1"/>
  <c r="L56" i="1" l="1"/>
  <c r="AF56" i="1"/>
  <c r="AA322" i="1"/>
  <c r="R322" i="1"/>
  <c r="AA141" i="1" l="1"/>
  <c r="R141" i="1"/>
  <c r="AF322" i="1" l="1"/>
  <c r="L322" i="1"/>
  <c r="L141" i="1"/>
  <c r="AF141" i="1" l="1"/>
  <c r="AA102" i="1"/>
  <c r="R102" i="1"/>
  <c r="L102" i="1" l="1"/>
  <c r="AF102" i="1" l="1"/>
  <c r="AF258" i="1"/>
  <c r="AF130" i="1"/>
  <c r="R100" i="1" l="1"/>
  <c r="AF100" i="1" l="1"/>
  <c r="L100" i="1"/>
  <c r="AA226" i="1"/>
  <c r="R226" i="1"/>
  <c r="L226" i="1" l="1"/>
  <c r="AA262" i="1"/>
  <c r="R262" i="1"/>
  <c r="AF226" i="1" l="1"/>
  <c r="X788" i="1"/>
  <c r="U788" i="1"/>
  <c r="R788" i="1"/>
  <c r="AF788" i="1" l="1"/>
  <c r="AA37" i="1"/>
  <c r="R37" i="1"/>
  <c r="AA241" i="1"/>
  <c r="R241" i="1"/>
  <c r="L788" i="1" l="1"/>
  <c r="L241" i="1"/>
  <c r="AA321" i="1"/>
  <c r="R321" i="1"/>
  <c r="AF37" i="1" l="1"/>
  <c r="L37" i="1"/>
  <c r="AF241" i="1"/>
  <c r="AA151" i="1"/>
  <c r="R151" i="1"/>
  <c r="AF321" i="1" l="1"/>
  <c r="L321" i="1"/>
  <c r="L151" i="1"/>
  <c r="AF151" i="1" l="1"/>
  <c r="AA98" i="1" l="1"/>
  <c r="AA99" i="1"/>
  <c r="AA101" i="1"/>
  <c r="R97" i="1"/>
  <c r="R98" i="1"/>
  <c r="R99" i="1"/>
  <c r="R101" i="1"/>
  <c r="L98" i="1" l="1"/>
  <c r="AA152" i="1"/>
  <c r="R152" i="1"/>
  <c r="P152" i="1"/>
  <c r="Q152" i="1"/>
  <c r="AF99" i="1" l="1"/>
  <c r="L99" i="1"/>
  <c r="AF101" i="1"/>
  <c r="L101" i="1"/>
  <c r="AF98" i="1"/>
  <c r="AA240" i="1"/>
  <c r="R240" i="1"/>
  <c r="AF152" i="1" l="1"/>
  <c r="L152" i="1"/>
  <c r="L240" i="1"/>
  <c r="AA14" i="1"/>
  <c r="R14" i="1"/>
  <c r="L14" i="1" l="1"/>
  <c r="AF240" i="1"/>
  <c r="X367" i="1"/>
  <c r="AA367" i="1"/>
  <c r="U367" i="1"/>
  <c r="AF14" i="1" l="1"/>
  <c r="L367" i="1"/>
  <c r="R65" i="1"/>
  <c r="L262" i="1" l="1"/>
  <c r="AF367" i="1"/>
  <c r="AA366" i="1"/>
  <c r="X366" i="1"/>
  <c r="U366" i="1"/>
  <c r="R239" i="1"/>
  <c r="AA239" i="1"/>
  <c r="AF65" i="1" l="1"/>
  <c r="L65" i="1"/>
  <c r="AF262" i="1"/>
  <c r="L366" i="1"/>
  <c r="AA31" i="1"/>
  <c r="R31" i="1"/>
  <c r="AF239" i="1" l="1"/>
  <c r="L239" i="1"/>
  <c r="AF366" i="1"/>
  <c r="AF31" i="1" l="1"/>
  <c r="L31" i="1"/>
  <c r="AA196" i="1"/>
  <c r="R196" i="1"/>
  <c r="L196" i="1" l="1"/>
  <c r="R760" i="1"/>
  <c r="AA261" i="1"/>
  <c r="R261" i="1"/>
  <c r="AF196" i="1" l="1"/>
  <c r="R209" i="1"/>
  <c r="AA135" i="1" l="1"/>
  <c r="R135" i="1"/>
  <c r="M135" i="1" l="1"/>
  <c r="E135" i="1"/>
  <c r="AF135" i="1" l="1"/>
  <c r="L135" i="1"/>
  <c r="R195" i="1"/>
  <c r="AF195" i="1" l="1"/>
  <c r="L195" i="1"/>
  <c r="AA140" i="1" l="1"/>
  <c r="R140" i="1"/>
  <c r="L140" i="1" l="1"/>
  <c r="X787" i="1"/>
  <c r="AA787" i="1"/>
  <c r="U787" i="1"/>
  <c r="R787" i="1"/>
  <c r="AF140" i="1" l="1"/>
  <c r="L787" i="1"/>
  <c r="AF787" i="1" l="1"/>
  <c r="AA134" i="1"/>
  <c r="R134" i="1"/>
  <c r="AA456" i="1"/>
  <c r="X456" i="1"/>
  <c r="U456" i="1"/>
  <c r="R456" i="1"/>
  <c r="AA455" i="1"/>
  <c r="X455" i="1"/>
  <c r="U455" i="1"/>
  <c r="R455" i="1"/>
  <c r="L456" i="1" l="1"/>
  <c r="AF455" i="1"/>
  <c r="L134" i="1" l="1"/>
  <c r="L455" i="1"/>
  <c r="AF134" i="1"/>
  <c r="AF456" i="1"/>
  <c r="U786" i="1"/>
  <c r="AA786" i="1" l="1"/>
  <c r="X786" i="1"/>
  <c r="R786" i="1"/>
  <c r="AF786" i="1" l="1"/>
  <c r="R743" i="1"/>
  <c r="L786" i="1" l="1"/>
  <c r="AA82" i="1"/>
  <c r="R82" i="1"/>
  <c r="L82" i="1" l="1"/>
  <c r="AF82" i="1" l="1"/>
  <c r="L785" i="1" l="1"/>
  <c r="L225" i="1"/>
  <c r="AA23" i="1" l="1"/>
  <c r="R23" i="1"/>
  <c r="AA690" i="1" l="1"/>
  <c r="X690" i="1"/>
  <c r="R690" i="1"/>
  <c r="U690" i="1"/>
  <c r="AF23" i="1" l="1"/>
  <c r="L23" i="1"/>
  <c r="AA237" i="1" l="1"/>
  <c r="AA238" i="1"/>
  <c r="R238" i="1"/>
  <c r="X331" i="1" l="1"/>
  <c r="AF238" i="1" l="1"/>
  <c r="L238" i="1"/>
  <c r="X377" i="1"/>
  <c r="U377" i="1"/>
  <c r="R377" i="1"/>
  <c r="AF377" i="1" l="1"/>
  <c r="R218" i="1"/>
  <c r="AA781" i="1"/>
  <c r="U781" i="1"/>
  <c r="R781" i="1"/>
  <c r="L377" i="1" l="1"/>
  <c r="AF781" i="1"/>
  <c r="X348" i="1"/>
  <c r="L781" i="1" l="1"/>
  <c r="AA457" i="1"/>
  <c r="X457" i="1"/>
  <c r="U457" i="1"/>
  <c r="R457" i="1"/>
  <c r="AB731" i="1" l="1"/>
  <c r="AA13" i="1"/>
  <c r="R13" i="1"/>
  <c r="AF457" i="1" l="1"/>
  <c r="L457" i="1"/>
  <c r="AA418" i="1"/>
  <c r="X418" i="1"/>
  <c r="U418" i="1"/>
  <c r="AF13" i="1" l="1"/>
  <c r="L13" i="1"/>
  <c r="AF418" i="1"/>
  <c r="L418" i="1" l="1"/>
  <c r="AA12" i="1"/>
  <c r="R12" i="1"/>
  <c r="AA349" i="1" l="1"/>
  <c r="X349" i="1"/>
  <c r="X338" i="1"/>
  <c r="U348" i="1"/>
  <c r="U349" i="1"/>
  <c r="R349" i="1"/>
  <c r="R346" i="1"/>
  <c r="AF12" i="1" l="1"/>
  <c r="L12" i="1"/>
  <c r="AA348" i="1"/>
  <c r="R348" i="1"/>
  <c r="R347" i="1"/>
  <c r="L349" i="1"/>
  <c r="AF349" i="1" l="1"/>
  <c r="AF348" i="1"/>
  <c r="L348" i="1" l="1"/>
  <c r="AA451" i="1"/>
  <c r="X451" i="1"/>
  <c r="U451" i="1"/>
  <c r="R451" i="1"/>
  <c r="AA705" i="1"/>
  <c r="X705" i="1"/>
  <c r="U705" i="1"/>
  <c r="R705" i="1"/>
  <c r="AF451" i="1" l="1"/>
  <c r="AA194" i="1"/>
  <c r="AF705" i="1" l="1"/>
  <c r="L451" i="1"/>
  <c r="L705" i="1"/>
  <c r="AA784" i="1"/>
  <c r="X784" i="1"/>
  <c r="U784" i="1"/>
  <c r="R784" i="1"/>
  <c r="L784" i="1" l="1"/>
  <c r="AF784" i="1" l="1"/>
  <c r="AI647" i="1" l="1"/>
  <c r="AA761" i="1" l="1"/>
  <c r="AA735" i="1"/>
  <c r="AA731" i="1"/>
  <c r="X761" i="1"/>
  <c r="X735" i="1"/>
  <c r="X731" i="1"/>
  <c r="U735" i="1"/>
  <c r="U731" i="1"/>
  <c r="U761" i="1"/>
  <c r="R735" i="1"/>
  <c r="R731" i="1"/>
  <c r="R761" i="1"/>
  <c r="AF731" i="1" l="1"/>
  <c r="L761" i="1"/>
  <c r="L735" i="1" l="1"/>
  <c r="L731" i="1"/>
  <c r="AF761" i="1"/>
  <c r="AF735" i="1"/>
  <c r="AA704" i="1" l="1"/>
  <c r="X704" i="1"/>
  <c r="U704" i="1"/>
  <c r="R704" i="1"/>
  <c r="U783" i="1" l="1"/>
  <c r="AA783" i="1"/>
  <c r="X783" i="1"/>
  <c r="R783" i="1"/>
  <c r="L704" i="1" l="1"/>
  <c r="AF704" i="1"/>
  <c r="AF783" i="1"/>
  <c r="L783" i="1" l="1"/>
  <c r="AA11" i="1"/>
  <c r="R11" i="1"/>
  <c r="AF11" i="1" l="1"/>
  <c r="L11" i="1"/>
  <c r="R624" i="1"/>
  <c r="R203" i="1" l="1"/>
  <c r="AA30" i="1" l="1"/>
  <c r="R30" i="1"/>
  <c r="AF30" i="1" l="1"/>
  <c r="L30" i="1"/>
  <c r="AA123" i="1" l="1"/>
  <c r="AA10" i="1" l="1"/>
  <c r="R10" i="1"/>
  <c r="AA338" i="1" l="1"/>
  <c r="U338" i="1"/>
  <c r="R338" i="1"/>
  <c r="AF10" i="1" l="1"/>
  <c r="L10" i="1"/>
  <c r="L338" i="1"/>
  <c r="AF338" i="1" l="1"/>
  <c r="AA330" i="1"/>
  <c r="R211" i="1"/>
  <c r="AA777" i="1" l="1"/>
  <c r="AA778" i="1"/>
  <c r="X777" i="1"/>
  <c r="X778" i="1"/>
  <c r="U777" i="1"/>
  <c r="U778" i="1"/>
  <c r="R777" i="1"/>
  <c r="R778" i="1"/>
  <c r="L777" i="1" l="1"/>
  <c r="AF778" i="1"/>
  <c r="L779" i="1" l="1"/>
  <c r="L778" i="1"/>
  <c r="AF777" i="1"/>
  <c r="X330" i="1"/>
  <c r="U330" i="1"/>
  <c r="R330" i="1"/>
  <c r="L330" i="1" l="1"/>
  <c r="U776" i="1"/>
  <c r="AF330" i="1" l="1"/>
  <c r="R237" i="1"/>
  <c r="L237" i="1" l="1"/>
  <c r="AF237" i="1" l="1"/>
  <c r="AA296" i="1" l="1"/>
  <c r="R296" i="1"/>
  <c r="AA289" i="1"/>
  <c r="R289" i="1"/>
  <c r="AA220" i="1"/>
  <c r="AA221" i="1"/>
  <c r="R220" i="1"/>
  <c r="R221" i="1"/>
  <c r="AA211" i="1"/>
  <c r="AA203" i="1"/>
  <c r="AA202" i="1"/>
  <c r="AA201" i="1"/>
  <c r="AA200" i="1"/>
  <c r="R202" i="1"/>
  <c r="R194" i="1"/>
  <c r="AA166" i="1"/>
  <c r="R166" i="1"/>
  <c r="AA133" i="1"/>
  <c r="R133" i="1"/>
  <c r="AA81" i="1"/>
  <c r="R81" i="1"/>
  <c r="AA36" i="1"/>
  <c r="R36" i="1"/>
  <c r="L289" i="1" l="1"/>
  <c r="L211" i="1"/>
  <c r="L296" i="1"/>
  <c r="L202" i="1"/>
  <c r="L203" i="1"/>
  <c r="AF220" i="1" l="1"/>
  <c r="L220" i="1"/>
  <c r="AF133" i="1"/>
  <c r="L133" i="1"/>
  <c r="AF221" i="1"/>
  <c r="L221" i="1"/>
  <c r="AF166" i="1"/>
  <c r="L166" i="1"/>
  <c r="AF194" i="1"/>
  <c r="L194" i="1"/>
  <c r="AF81" i="1"/>
  <c r="L81" i="1"/>
  <c r="AF36" i="1"/>
  <c r="L36" i="1"/>
  <c r="AF202" i="1"/>
  <c r="AF296" i="1"/>
  <c r="AF211" i="1"/>
  <c r="AF289" i="1"/>
  <c r="AF203" i="1"/>
  <c r="AA80" i="1" l="1"/>
  <c r="R80" i="1"/>
  <c r="L80" i="1" l="1"/>
  <c r="AF80" i="1" l="1"/>
  <c r="AA165" i="1"/>
  <c r="R165" i="1"/>
  <c r="L165" i="1" l="1"/>
  <c r="AF165" i="1" l="1"/>
  <c r="R193" i="1"/>
  <c r="L193" i="1" l="1"/>
  <c r="AF193" i="1"/>
  <c r="AA723" i="1" l="1"/>
  <c r="AA430" i="1" l="1"/>
  <c r="AA431" i="1"/>
  <c r="AA432" i="1"/>
  <c r="X429" i="1"/>
  <c r="X430" i="1"/>
  <c r="X431" i="1"/>
  <c r="X432" i="1"/>
  <c r="U429" i="1"/>
  <c r="U430" i="1"/>
  <c r="U431" i="1"/>
  <c r="U432" i="1"/>
  <c r="R430" i="1"/>
  <c r="R431" i="1"/>
  <c r="R432" i="1"/>
  <c r="R429" i="1"/>
  <c r="AF432" i="1" l="1"/>
  <c r="L430" i="1"/>
  <c r="L431" i="1" l="1"/>
  <c r="L432" i="1"/>
  <c r="AF430" i="1"/>
  <c r="AF431" i="1"/>
  <c r="AA219" i="1"/>
  <c r="R219" i="1"/>
  <c r="AA218" i="1"/>
  <c r="L218" i="1" s="1"/>
  <c r="AF218" i="1" l="1"/>
  <c r="AF219" i="1" l="1"/>
  <c r="L219" i="1"/>
  <c r="R201" i="1"/>
  <c r="L201" i="1" l="1"/>
  <c r="R123" i="1"/>
  <c r="L123" i="1" l="1"/>
  <c r="AF201" i="1"/>
  <c r="AF123" i="1" l="1"/>
  <c r="AA440" i="1"/>
  <c r="X440" i="1"/>
  <c r="U440" i="1"/>
  <c r="R440" i="1"/>
  <c r="L440" i="1" l="1"/>
  <c r="AF440" i="1" l="1"/>
  <c r="X329" i="1"/>
  <c r="R329" i="1"/>
  <c r="R122" i="1" l="1"/>
  <c r="L122" i="1" l="1"/>
  <c r="AA773" i="1"/>
  <c r="X773" i="1"/>
  <c r="R304" i="1" l="1"/>
  <c r="AA306" i="1" l="1"/>
  <c r="AA304" i="1"/>
  <c r="R306" i="1"/>
  <c r="L306" i="1" l="1"/>
  <c r="L304" i="1"/>
  <c r="AF304" i="1"/>
  <c r="AF306" i="1"/>
  <c r="AF122" i="1"/>
  <c r="R132" i="1"/>
  <c r="R131" i="1"/>
  <c r="AA770" i="1"/>
  <c r="X770" i="1"/>
  <c r="R770" i="1"/>
  <c r="AA209" i="1" l="1"/>
  <c r="L209" i="1" s="1"/>
  <c r="AA375" i="1"/>
  <c r="X375" i="1"/>
  <c r="U375" i="1"/>
  <c r="R375" i="1"/>
  <c r="AA374" i="1"/>
  <c r="X374" i="1"/>
  <c r="U374" i="1"/>
  <c r="R374" i="1"/>
  <c r="AF375" i="1" l="1"/>
  <c r="AF209" i="1"/>
  <c r="L374" i="1" l="1"/>
  <c r="L375" i="1"/>
  <c r="AF374" i="1"/>
  <c r="X767" i="1" l="1"/>
  <c r="AA780" i="1"/>
  <c r="AA649" i="1"/>
  <c r="AA776" i="1"/>
  <c r="AA775" i="1"/>
  <c r="AA774" i="1"/>
  <c r="AA772" i="1"/>
  <c r="AA771" i="1"/>
  <c r="AA769" i="1"/>
  <c r="X780" i="1"/>
  <c r="X649" i="1"/>
  <c r="X776" i="1"/>
  <c r="X775" i="1"/>
  <c r="X774" i="1"/>
  <c r="X772" i="1"/>
  <c r="X771" i="1"/>
  <c r="X769" i="1"/>
  <c r="U780" i="1"/>
  <c r="U649" i="1"/>
  <c r="U775" i="1"/>
  <c r="U774" i="1"/>
  <c r="U773" i="1"/>
  <c r="U771" i="1"/>
  <c r="U770" i="1"/>
  <c r="U769" i="1"/>
  <c r="R780" i="1"/>
  <c r="R649" i="1"/>
  <c r="R776" i="1"/>
  <c r="R775" i="1"/>
  <c r="R774" i="1"/>
  <c r="R773" i="1"/>
  <c r="R772" i="1"/>
  <c r="R771" i="1"/>
  <c r="R769" i="1"/>
  <c r="AA768" i="1"/>
  <c r="X768" i="1"/>
  <c r="U768" i="1"/>
  <c r="R768" i="1"/>
  <c r="AA767" i="1"/>
  <c r="U767" i="1"/>
  <c r="R767" i="1"/>
  <c r="U439" i="1"/>
  <c r="AA97" i="1"/>
  <c r="R96" i="1"/>
  <c r="L767" i="1" l="1"/>
  <c r="L768" i="1"/>
  <c r="AF775" i="1"/>
  <c r="L97" i="1"/>
  <c r="L770" i="1"/>
  <c r="AF773" i="1"/>
  <c r="AF649" i="1"/>
  <c r="AF769" i="1"/>
  <c r="AF772" i="1"/>
  <c r="L776" i="1"/>
  <c r="AF780" i="1" l="1"/>
  <c r="L96" i="1"/>
  <c r="AF774" i="1"/>
  <c r="AF771" i="1"/>
  <c r="L774" i="1"/>
  <c r="L772" i="1"/>
  <c r="L773" i="1"/>
  <c r="L649" i="1"/>
  <c r="L771" i="1"/>
  <c r="L769" i="1"/>
  <c r="L775" i="1"/>
  <c r="L780" i="1"/>
  <c r="AF97" i="1"/>
  <c r="AF776" i="1"/>
  <c r="AF96" i="1"/>
  <c r="AF770" i="1"/>
  <c r="AF767" i="1"/>
  <c r="AF768" i="1"/>
  <c r="AA764" i="1"/>
  <c r="X764" i="1"/>
  <c r="U764" i="1"/>
  <c r="R764" i="1"/>
  <c r="U765" i="1" l="1"/>
  <c r="R759" i="1" l="1"/>
  <c r="R756" i="1" l="1"/>
  <c r="AA782" i="1" l="1"/>
  <c r="X782" i="1"/>
  <c r="U782" i="1"/>
  <c r="R782" i="1"/>
  <c r="L782" i="1" l="1"/>
  <c r="AF782" i="1" l="1"/>
  <c r="R305" i="1"/>
  <c r="AA746" i="1" l="1"/>
  <c r="X746" i="1"/>
  <c r="U746" i="1"/>
  <c r="R746" i="1"/>
  <c r="AF746" i="1" l="1"/>
  <c r="X337" i="1"/>
  <c r="L746" i="1" l="1"/>
  <c r="AA191" i="1"/>
  <c r="R191" i="1"/>
  <c r="L191" i="1" l="1"/>
  <c r="AF191" i="1" l="1"/>
  <c r="X354" i="1"/>
  <c r="AA439" i="1"/>
  <c r="X439" i="1"/>
  <c r="R439" i="1"/>
  <c r="R34" i="1" l="1"/>
  <c r="R260" i="1" l="1"/>
  <c r="AF34" i="1" l="1"/>
  <c r="L34" i="1"/>
  <c r="L260" i="1"/>
  <c r="AF260" i="1" l="1"/>
  <c r="AA236" i="1" l="1"/>
  <c r="S236" i="1"/>
  <c r="R121" i="1" l="1"/>
  <c r="AA190" i="1"/>
  <c r="R190" i="1"/>
  <c r="L190" i="1" l="1"/>
  <c r="R275" i="1"/>
  <c r="AF190" i="1" l="1"/>
  <c r="AA739" i="1" l="1"/>
  <c r="AA740" i="1"/>
  <c r="AA741" i="1"/>
  <c r="AA742" i="1"/>
  <c r="AA743" i="1"/>
  <c r="AA744" i="1"/>
  <c r="AA745" i="1"/>
  <c r="AA747" i="1"/>
  <c r="AA748" i="1"/>
  <c r="AA749" i="1"/>
  <c r="AA750" i="1"/>
  <c r="AA305" i="1"/>
  <c r="AA751" i="1"/>
  <c r="AA752" i="1"/>
  <c r="AA753" i="1"/>
  <c r="AA754" i="1"/>
  <c r="AA755" i="1"/>
  <c r="AA756" i="1"/>
  <c r="AA758" i="1"/>
  <c r="AA759" i="1"/>
  <c r="AA760" i="1"/>
  <c r="AA639" i="1"/>
  <c r="AA762" i="1"/>
  <c r="AA763" i="1"/>
  <c r="AA765" i="1"/>
  <c r="X739" i="1"/>
  <c r="X740" i="1"/>
  <c r="X741" i="1"/>
  <c r="X742" i="1"/>
  <c r="X743" i="1"/>
  <c r="X744" i="1"/>
  <c r="X745" i="1"/>
  <c r="X747" i="1"/>
  <c r="X748" i="1"/>
  <c r="X749" i="1"/>
  <c r="X750" i="1"/>
  <c r="X751" i="1"/>
  <c r="X752" i="1"/>
  <c r="X753" i="1"/>
  <c r="X754" i="1"/>
  <c r="X755" i="1"/>
  <c r="X756" i="1"/>
  <c r="X757" i="1"/>
  <c r="X758" i="1"/>
  <c r="X759" i="1"/>
  <c r="X760" i="1"/>
  <c r="X639" i="1"/>
  <c r="X762" i="1"/>
  <c r="X763" i="1"/>
  <c r="X765" i="1"/>
  <c r="U739" i="1"/>
  <c r="U740" i="1"/>
  <c r="U741" i="1"/>
  <c r="U742" i="1"/>
  <c r="U743" i="1"/>
  <c r="U744" i="1"/>
  <c r="U745" i="1"/>
  <c r="U747" i="1"/>
  <c r="U748" i="1"/>
  <c r="U749" i="1"/>
  <c r="U750" i="1"/>
  <c r="U751" i="1"/>
  <c r="U752" i="1"/>
  <c r="U753" i="1"/>
  <c r="U754" i="1"/>
  <c r="U755" i="1"/>
  <c r="U756" i="1"/>
  <c r="U757" i="1"/>
  <c r="U758" i="1"/>
  <c r="U759" i="1"/>
  <c r="U760" i="1"/>
  <c r="U639" i="1"/>
  <c r="U762" i="1"/>
  <c r="U763" i="1"/>
  <c r="R739" i="1"/>
  <c r="R740" i="1"/>
  <c r="R742" i="1"/>
  <c r="R744" i="1"/>
  <c r="R745" i="1"/>
  <c r="R747" i="1"/>
  <c r="R748" i="1"/>
  <c r="R749" i="1"/>
  <c r="R750" i="1"/>
  <c r="R751" i="1"/>
  <c r="R752" i="1"/>
  <c r="R753" i="1"/>
  <c r="R754" i="1"/>
  <c r="R755" i="1"/>
  <c r="R757" i="1"/>
  <c r="R758" i="1"/>
  <c r="R639" i="1"/>
  <c r="R762" i="1"/>
  <c r="R763" i="1"/>
  <c r="R765" i="1"/>
  <c r="AF747" i="1" l="1"/>
  <c r="L639" i="1"/>
  <c r="L757" i="1"/>
  <c r="AF753" i="1"/>
  <c r="AF750" i="1"/>
  <c r="L743" i="1"/>
  <c r="AF739" i="1"/>
  <c r="AF762" i="1"/>
  <c r="AF758" i="1"/>
  <c r="AF754" i="1"/>
  <c r="AF740" i="1"/>
  <c r="AF763" i="1"/>
  <c r="L759" i="1"/>
  <c r="AF755" i="1"/>
  <c r="AF751" i="1"/>
  <c r="AF748" i="1"/>
  <c r="AF744" i="1"/>
  <c r="AF741" i="1"/>
  <c r="L764" i="1"/>
  <c r="L760" i="1"/>
  <c r="L756" i="1"/>
  <c r="AF752" i="1"/>
  <c r="AF749" i="1"/>
  <c r="AF745" i="1"/>
  <c r="AF742" i="1"/>
  <c r="AF765" i="1" l="1"/>
  <c r="L305" i="1"/>
  <c r="L755" i="1"/>
  <c r="L751" i="1"/>
  <c r="L753" i="1"/>
  <c r="L763" i="1"/>
  <c r="L752" i="1"/>
  <c r="L741" i="1"/>
  <c r="L749" i="1"/>
  <c r="L742" i="1"/>
  <c r="L739" i="1"/>
  <c r="L740" i="1"/>
  <c r="L744" i="1"/>
  <c r="L748" i="1"/>
  <c r="L765" i="1"/>
  <c r="L758" i="1"/>
  <c r="L747" i="1"/>
  <c r="L754" i="1"/>
  <c r="L750" i="1"/>
  <c r="L745" i="1"/>
  <c r="L762" i="1"/>
  <c r="AF759" i="1"/>
  <c r="AF756" i="1"/>
  <c r="AF760" i="1"/>
  <c r="AF305" i="1"/>
  <c r="AF639" i="1"/>
  <c r="AF743" i="1"/>
  <c r="AF757" i="1"/>
  <c r="AF764" i="1"/>
  <c r="AA641" i="1" l="1"/>
  <c r="X641" i="1"/>
  <c r="U641" i="1"/>
  <c r="R641" i="1"/>
  <c r="AF641" i="1" l="1"/>
  <c r="R729" i="1"/>
  <c r="L641" i="1" l="1"/>
  <c r="AA429" i="1"/>
  <c r="L429" i="1" s="1"/>
  <c r="AA62" i="1"/>
  <c r="R62" i="1"/>
  <c r="AF429" i="1" l="1"/>
  <c r="L62" i="1" l="1"/>
  <c r="AF62" i="1"/>
  <c r="AA94" i="1"/>
  <c r="AA95" i="1"/>
  <c r="R94" i="1"/>
  <c r="R95" i="1"/>
  <c r="L94" i="1" l="1"/>
  <c r="AF95" i="1"/>
  <c r="L95" i="1"/>
  <c r="AF94" i="1"/>
  <c r="R650" i="1" l="1"/>
  <c r="AA280" i="1" l="1"/>
  <c r="R280" i="1"/>
  <c r="L280" i="1" l="1"/>
  <c r="AF280" i="1"/>
  <c r="AA722" i="1"/>
  <c r="AA724" i="1"/>
  <c r="AA725" i="1"/>
  <c r="AA726" i="1"/>
  <c r="AA727" i="1"/>
  <c r="AA728" i="1"/>
  <c r="AA729" i="1"/>
  <c r="AA730" i="1"/>
  <c r="X722" i="1"/>
  <c r="X723" i="1"/>
  <c r="X724" i="1"/>
  <c r="X725" i="1"/>
  <c r="X726" i="1"/>
  <c r="X727" i="1"/>
  <c r="X728" i="1"/>
  <c r="X729" i="1"/>
  <c r="X730" i="1"/>
  <c r="U722" i="1"/>
  <c r="U723" i="1"/>
  <c r="U724" i="1"/>
  <c r="U725" i="1"/>
  <c r="U726" i="1"/>
  <c r="U727" i="1"/>
  <c r="U728" i="1"/>
  <c r="U729" i="1"/>
  <c r="U730" i="1"/>
  <c r="R722" i="1"/>
  <c r="R723" i="1"/>
  <c r="R724" i="1"/>
  <c r="R725" i="1"/>
  <c r="R726" i="1"/>
  <c r="R727" i="1"/>
  <c r="R728" i="1"/>
  <c r="AA718" i="1"/>
  <c r="AA719" i="1"/>
  <c r="AA720" i="1"/>
  <c r="AA721" i="1"/>
  <c r="AA732" i="1"/>
  <c r="AA733" i="1"/>
  <c r="AA734" i="1"/>
  <c r="AA675" i="1"/>
  <c r="AA736" i="1"/>
  <c r="AA737" i="1"/>
  <c r="AA738" i="1"/>
  <c r="AA766" i="1"/>
  <c r="X718" i="1"/>
  <c r="X719" i="1"/>
  <c r="X720" i="1"/>
  <c r="X721" i="1"/>
  <c r="X732" i="1"/>
  <c r="X733" i="1"/>
  <c r="X734" i="1"/>
  <c r="X675" i="1"/>
  <c r="X736" i="1"/>
  <c r="U718" i="1"/>
  <c r="U719" i="1"/>
  <c r="U720" i="1"/>
  <c r="U721" i="1"/>
  <c r="U732" i="1"/>
  <c r="U733" i="1"/>
  <c r="U734" i="1"/>
  <c r="U675" i="1"/>
  <c r="U736" i="1"/>
  <c r="U737" i="1"/>
  <c r="R718" i="1"/>
  <c r="R720" i="1"/>
  <c r="R721" i="1"/>
  <c r="R732" i="1"/>
  <c r="R733" i="1"/>
  <c r="R734" i="1"/>
  <c r="R675" i="1"/>
  <c r="R736" i="1"/>
  <c r="X737" i="1"/>
  <c r="R737" i="1"/>
  <c r="L725" i="1" l="1"/>
  <c r="L729" i="1"/>
  <c r="AF736" i="1"/>
  <c r="AF733" i="1"/>
  <c r="L719" i="1"/>
  <c r="AF732" i="1"/>
  <c r="AF734" i="1"/>
  <c r="AF720" i="1"/>
  <c r="AF727" i="1"/>
  <c r="AF723" i="1"/>
  <c r="AF728" i="1"/>
  <c r="L724" i="1"/>
  <c r="AF718" i="1"/>
  <c r="L737" i="1"/>
  <c r="AF721" i="1"/>
  <c r="AF675" i="1"/>
  <c r="AF730" i="1"/>
  <c r="AF726" i="1"/>
  <c r="AF722" i="1"/>
  <c r="L736" i="1" l="1"/>
  <c r="L726" i="1"/>
  <c r="L728" i="1"/>
  <c r="L723" i="1"/>
  <c r="L675" i="1"/>
  <c r="L733" i="1"/>
  <c r="L730" i="1"/>
  <c r="L718" i="1"/>
  <c r="L720" i="1"/>
  <c r="L727" i="1"/>
  <c r="L734" i="1"/>
  <c r="L722" i="1"/>
  <c r="L732" i="1"/>
  <c r="L721" i="1"/>
  <c r="AF719" i="1"/>
  <c r="AF729" i="1"/>
  <c r="AF724" i="1"/>
  <c r="AF725" i="1"/>
  <c r="AF737" i="1"/>
  <c r="AA8" i="1" l="1"/>
  <c r="AA9" i="1"/>
  <c r="R8" i="1"/>
  <c r="R9" i="1"/>
  <c r="R7" i="1" l="1"/>
  <c r="AF8" i="1" l="1"/>
  <c r="L8" i="1"/>
  <c r="AF9" i="1"/>
  <c r="L9" i="1"/>
  <c r="AA712" i="1"/>
  <c r="AA713" i="1"/>
  <c r="AA714" i="1"/>
  <c r="AA715" i="1"/>
  <c r="AA716" i="1"/>
  <c r="AA717" i="1"/>
  <c r="AA650" i="1"/>
  <c r="X712" i="1"/>
  <c r="X713" i="1"/>
  <c r="X714" i="1"/>
  <c r="X715" i="1"/>
  <c r="X716" i="1"/>
  <c r="X717" i="1"/>
  <c r="X650" i="1"/>
  <c r="U712" i="1"/>
  <c r="U713" i="1"/>
  <c r="U714" i="1"/>
  <c r="U715" i="1"/>
  <c r="U716" i="1"/>
  <c r="U717" i="1"/>
  <c r="U650" i="1"/>
  <c r="R712" i="1"/>
  <c r="R713" i="1"/>
  <c r="R714" i="1"/>
  <c r="R715" i="1"/>
  <c r="R716" i="1"/>
  <c r="R717" i="1"/>
  <c r="AF716" i="1" l="1"/>
  <c r="L650" i="1"/>
  <c r="AF717" i="1"/>
  <c r="AF713" i="1"/>
  <c r="AF712" i="1"/>
  <c r="AF714" i="1"/>
  <c r="R383" i="1"/>
  <c r="AF715" i="1" l="1"/>
  <c r="L714" i="1"/>
  <c r="L715" i="1"/>
  <c r="L717" i="1"/>
  <c r="L712" i="1"/>
  <c r="L713" i="1"/>
  <c r="L716" i="1"/>
  <c r="AF650" i="1"/>
  <c r="R710" i="1"/>
  <c r="R612" i="1" l="1"/>
  <c r="R706" i="1" l="1"/>
  <c r="AA383" i="1" l="1"/>
  <c r="X383" i="1"/>
  <c r="U383" i="1"/>
  <c r="L383" i="1" l="1"/>
  <c r="AF383" i="1"/>
  <c r="AA294" i="1"/>
  <c r="R294" i="1"/>
  <c r="L294" i="1" l="1"/>
  <c r="AA702" i="1"/>
  <c r="AA701" i="1"/>
  <c r="X701" i="1"/>
  <c r="AF294" i="1" l="1"/>
  <c r="AA416" i="1"/>
  <c r="X416" i="1"/>
  <c r="U416" i="1"/>
  <c r="AA700" i="1"/>
  <c r="U700" i="1"/>
  <c r="R700" i="1"/>
  <c r="AA703" i="1"/>
  <c r="AA640" i="1"/>
  <c r="AA687" i="1"/>
  <c r="AA706" i="1"/>
  <c r="AA707" i="1"/>
  <c r="AA708" i="1"/>
  <c r="AA709" i="1"/>
  <c r="AA710" i="1"/>
  <c r="AA711" i="1"/>
  <c r="X702" i="1"/>
  <c r="X703" i="1"/>
  <c r="X640" i="1"/>
  <c r="X687" i="1"/>
  <c r="X706" i="1"/>
  <c r="X707" i="1"/>
  <c r="X708" i="1"/>
  <c r="X709" i="1"/>
  <c r="X710" i="1"/>
  <c r="X711" i="1"/>
  <c r="X738" i="1"/>
  <c r="X766" i="1"/>
  <c r="U701" i="1"/>
  <c r="U702" i="1"/>
  <c r="U703" i="1"/>
  <c r="U640" i="1"/>
  <c r="U687" i="1"/>
  <c r="U706" i="1"/>
  <c r="U707" i="1"/>
  <c r="U708" i="1"/>
  <c r="U709" i="1"/>
  <c r="U710" i="1"/>
  <c r="U711" i="1"/>
  <c r="U738" i="1"/>
  <c r="U766" i="1"/>
  <c r="R701" i="1"/>
  <c r="R702" i="1"/>
  <c r="R703" i="1"/>
  <c r="R640" i="1"/>
  <c r="R687" i="1"/>
  <c r="R707" i="1"/>
  <c r="R708" i="1"/>
  <c r="R709" i="1"/>
  <c r="R711" i="1"/>
  <c r="R738" i="1"/>
  <c r="R766" i="1"/>
  <c r="L706" i="1" l="1"/>
  <c r="L710" i="1"/>
  <c r="AF711" i="1"/>
  <c r="AF640" i="1"/>
  <c r="AF702" i="1"/>
  <c r="AF703" i="1"/>
  <c r="AF766" i="1"/>
  <c r="AF700" i="1"/>
  <c r="AF709" i="1"/>
  <c r="AF687" i="1"/>
  <c r="L701" i="1"/>
  <c r="X699" i="1"/>
  <c r="AA699" i="1"/>
  <c r="U699" i="1"/>
  <c r="R699" i="1"/>
  <c r="L707" i="1" l="1"/>
  <c r="AF738" i="1"/>
  <c r="L416" i="1"/>
  <c r="L703" i="1"/>
  <c r="L711" i="1"/>
  <c r="L687" i="1"/>
  <c r="L738" i="1"/>
  <c r="L640" i="1"/>
  <c r="L766" i="1"/>
  <c r="L708" i="1"/>
  <c r="L700" i="1"/>
  <c r="L709" i="1"/>
  <c r="L702" i="1"/>
  <c r="AF710" i="1"/>
  <c r="AF416" i="1"/>
  <c r="AF708" i="1"/>
  <c r="AF707" i="1"/>
  <c r="AF706" i="1"/>
  <c r="AF701" i="1"/>
  <c r="AF699" i="1"/>
  <c r="AA698" i="1"/>
  <c r="X698" i="1"/>
  <c r="U698" i="1"/>
  <c r="R698" i="1"/>
  <c r="L699" i="1" l="1"/>
  <c r="AA683" i="1"/>
  <c r="AF698" i="1" l="1"/>
  <c r="L698" i="1"/>
  <c r="AA318" i="1"/>
  <c r="AA319" i="1"/>
  <c r="AA320" i="1"/>
  <c r="R319" i="1"/>
  <c r="R320" i="1"/>
  <c r="L319" i="1" l="1"/>
  <c r="L690" i="1"/>
  <c r="AF320" i="1" l="1"/>
  <c r="L320" i="1"/>
  <c r="AF319" i="1"/>
  <c r="R676" i="1"/>
  <c r="R688" i="1"/>
  <c r="R689" i="1"/>
  <c r="R691" i="1"/>
  <c r="R692" i="1"/>
  <c r="R693" i="1"/>
  <c r="R694" i="1"/>
  <c r="R695" i="1"/>
  <c r="AA682" i="1" l="1"/>
  <c r="AA684" i="1"/>
  <c r="AA685" i="1"/>
  <c r="AA686" i="1"/>
  <c r="AA676" i="1"/>
  <c r="AA688" i="1"/>
  <c r="AA689" i="1"/>
  <c r="AA691" i="1"/>
  <c r="AA692" i="1"/>
  <c r="AA693" i="1"/>
  <c r="AA694" i="1"/>
  <c r="AA695" i="1"/>
  <c r="AA696" i="1"/>
  <c r="AA697" i="1"/>
  <c r="X684" i="1"/>
  <c r="X685" i="1"/>
  <c r="X686" i="1"/>
  <c r="X676" i="1"/>
  <c r="X688" i="1"/>
  <c r="X689" i="1"/>
  <c r="X691" i="1"/>
  <c r="X692" i="1"/>
  <c r="X693" i="1"/>
  <c r="X694" i="1"/>
  <c r="X695" i="1"/>
  <c r="X696" i="1"/>
  <c r="X697" i="1"/>
  <c r="U686" i="1"/>
  <c r="U676" i="1"/>
  <c r="U688" i="1"/>
  <c r="U689" i="1"/>
  <c r="U691" i="1"/>
  <c r="U692" i="1"/>
  <c r="U693" i="1"/>
  <c r="U694" i="1"/>
  <c r="U695" i="1"/>
  <c r="U696" i="1"/>
  <c r="U697" i="1"/>
  <c r="R696" i="1"/>
  <c r="L694" i="1" l="1"/>
  <c r="L689" i="1"/>
  <c r="L693" i="1"/>
  <c r="L695" i="1"/>
  <c r="L691" i="1"/>
  <c r="L688" i="1"/>
  <c r="L676" i="1"/>
  <c r="L686" i="1"/>
  <c r="R46" i="1"/>
  <c r="L692" i="1" l="1"/>
  <c r="AF696" i="1"/>
  <c r="L696" i="1"/>
  <c r="AF694" i="1"/>
  <c r="AF693" i="1"/>
  <c r="AF686" i="1"/>
  <c r="AF692" i="1"/>
  <c r="AF690" i="1"/>
  <c r="AF688" i="1"/>
  <c r="AF689" i="1"/>
  <c r="AF695" i="1"/>
  <c r="AF691" i="1"/>
  <c r="AF676" i="1"/>
  <c r="R681" i="1"/>
  <c r="AA681" i="1"/>
  <c r="L46" i="1" l="1"/>
  <c r="AF46" i="1"/>
  <c r="X680" i="1"/>
  <c r="X679" i="1"/>
  <c r="U680" i="1"/>
  <c r="U679" i="1"/>
  <c r="R680" i="1"/>
  <c r="R679" i="1"/>
  <c r="AA258" i="1" l="1"/>
  <c r="R258" i="1"/>
  <c r="L258" i="1" s="1"/>
  <c r="AA679" i="1" l="1"/>
  <c r="L679" i="1" s="1"/>
  <c r="AA680" i="1"/>
  <c r="L680" i="1" s="1"/>
  <c r="X681" i="1"/>
  <c r="X682" i="1"/>
  <c r="X683" i="1"/>
  <c r="U681" i="1"/>
  <c r="U682" i="1"/>
  <c r="U683" i="1"/>
  <c r="U684" i="1"/>
  <c r="U685" i="1"/>
  <c r="R682" i="1"/>
  <c r="R683" i="1"/>
  <c r="R684" i="1"/>
  <c r="R685" i="1"/>
  <c r="R697" i="1"/>
  <c r="AF697" i="1" l="1"/>
  <c r="AF680" i="1"/>
  <c r="L683" i="1"/>
  <c r="L684" i="1"/>
  <c r="L682" i="1"/>
  <c r="L681" i="1"/>
  <c r="AF679" i="1"/>
  <c r="AA677" i="1"/>
  <c r="X677" i="1"/>
  <c r="U677" i="1"/>
  <c r="R677" i="1"/>
  <c r="L685" i="1" l="1"/>
  <c r="L697" i="1"/>
  <c r="L677" i="1"/>
  <c r="AF684" i="1"/>
  <c r="AF682" i="1"/>
  <c r="AF681" i="1"/>
  <c r="AF683" i="1"/>
  <c r="AF685" i="1"/>
  <c r="R644" i="1"/>
  <c r="AF677" i="1" l="1"/>
  <c r="AA452" i="1" l="1"/>
  <c r="X452" i="1"/>
  <c r="U452" i="1"/>
  <c r="R452" i="1"/>
  <c r="L452" i="1" l="1"/>
  <c r="AF452" i="1" l="1"/>
  <c r="U632" i="1"/>
  <c r="U607" i="1" l="1"/>
  <c r="U608" i="1"/>
  <c r="U609" i="1"/>
  <c r="U611" i="1"/>
  <c r="U613" i="1"/>
  <c r="U614" i="1"/>
  <c r="U615" i="1"/>
  <c r="U448" i="1"/>
  <c r="U617" i="1"/>
  <c r="U618" i="1"/>
  <c r="U619" i="1"/>
  <c r="U620" i="1"/>
  <c r="U449" i="1"/>
  <c r="U622" i="1"/>
  <c r="U623" i="1"/>
  <c r="U624" i="1"/>
  <c r="U625" i="1"/>
  <c r="U626" i="1"/>
  <c r="U627" i="1"/>
  <c r="U628" i="1"/>
  <c r="U629" i="1"/>
  <c r="U630" i="1"/>
  <c r="U631" i="1"/>
  <c r="U633" i="1"/>
  <c r="U634" i="1"/>
  <c r="U635" i="1"/>
  <c r="U453" i="1"/>
  <c r="U637" i="1"/>
  <c r="U450" i="1"/>
  <c r="U454" i="1"/>
  <c r="U610" i="1"/>
  <c r="U616" i="1"/>
  <c r="U642" i="1"/>
  <c r="U643" i="1"/>
  <c r="U638" i="1"/>
  <c r="U645" i="1"/>
  <c r="U646" i="1"/>
  <c r="U647" i="1"/>
  <c r="U648" i="1"/>
  <c r="U621" i="1"/>
  <c r="U636" i="1"/>
  <c r="U651" i="1"/>
  <c r="U652" i="1"/>
  <c r="U653" i="1"/>
  <c r="U654" i="1"/>
  <c r="U655" i="1"/>
  <c r="U656" i="1"/>
  <c r="U657" i="1"/>
  <c r="U658" i="1"/>
  <c r="U659" i="1"/>
  <c r="U660" i="1"/>
  <c r="U661" i="1"/>
  <c r="U662" i="1"/>
  <c r="U663" i="1"/>
  <c r="U664" i="1"/>
  <c r="U665" i="1"/>
  <c r="U666" i="1"/>
  <c r="U667" i="1"/>
  <c r="U668" i="1"/>
  <c r="U669" i="1"/>
  <c r="U670" i="1"/>
  <c r="U671" i="1"/>
  <c r="U672" i="1"/>
  <c r="U673" i="1"/>
  <c r="U674" i="1"/>
  <c r="U644" i="1"/>
  <c r="U678" i="1"/>
  <c r="AA433" i="1" l="1"/>
  <c r="X427" i="1"/>
  <c r="X428" i="1"/>
  <c r="X433" i="1"/>
  <c r="X426" i="1"/>
  <c r="R427" i="1"/>
  <c r="R428" i="1"/>
  <c r="R433" i="1"/>
  <c r="R426" i="1"/>
  <c r="X419" i="1"/>
  <c r="X417" i="1"/>
  <c r="X385" i="1"/>
  <c r="X384" i="1"/>
  <c r="X376" i="1"/>
  <c r="X365" i="1"/>
  <c r="R385" i="1"/>
  <c r="R384" i="1"/>
  <c r="R376" i="1"/>
  <c r="R318" i="1"/>
  <c r="R354" i="1"/>
  <c r="R337" i="1"/>
  <c r="R331" i="1"/>
  <c r="R313" i="1"/>
  <c r="R314" i="1"/>
  <c r="AA295" i="1"/>
  <c r="R295" i="1"/>
  <c r="R288" i="1"/>
  <c r="R281" i="1"/>
  <c r="R276" i="1"/>
  <c r="R257" i="1"/>
  <c r="R234" i="1"/>
  <c r="AA216" i="1"/>
  <c r="AA217" i="1"/>
  <c r="R216" i="1"/>
  <c r="R217" i="1"/>
  <c r="AA148" i="1"/>
  <c r="AA149" i="1"/>
  <c r="AA150" i="1"/>
  <c r="R149" i="1"/>
  <c r="R150" i="1"/>
  <c r="R200" i="1"/>
  <c r="AA189" i="1"/>
  <c r="AA192" i="1"/>
  <c r="R189" i="1"/>
  <c r="R192" i="1"/>
  <c r="AA181" i="1"/>
  <c r="R181" i="1"/>
  <c r="R178" i="1"/>
  <c r="R164" i="1"/>
  <c r="R163" i="1"/>
  <c r="R148" i="1"/>
  <c r="R147" i="1"/>
  <c r="R146" i="1"/>
  <c r="AA139" i="1"/>
  <c r="R93" i="1"/>
  <c r="R78" i="1"/>
  <c r="R79" i="1"/>
  <c r="R77" i="1"/>
  <c r="L318" i="1" l="1"/>
  <c r="L217" i="1"/>
  <c r="L181" i="1"/>
  <c r="L150" i="1"/>
  <c r="L149" i="1"/>
  <c r="L192" i="1"/>
  <c r="L189" i="1"/>
  <c r="AA77" i="1"/>
  <c r="AA78" i="1"/>
  <c r="L78" i="1" s="1"/>
  <c r="AA79" i="1"/>
  <c r="L79" i="1" s="1"/>
  <c r="AA92" i="1"/>
  <c r="AA93" i="1"/>
  <c r="AA120" i="1"/>
  <c r="AA121" i="1"/>
  <c r="AA131" i="1"/>
  <c r="AA132" i="1"/>
  <c r="AA146" i="1"/>
  <c r="AA147" i="1"/>
  <c r="AA163" i="1"/>
  <c r="AA164" i="1"/>
  <c r="AA178" i="1"/>
  <c r="AA180" i="1"/>
  <c r="AA188" i="1"/>
  <c r="AA199" i="1"/>
  <c r="AA208" i="1"/>
  <c r="AA215" i="1"/>
  <c r="AA224" i="1"/>
  <c r="AA234" i="1"/>
  <c r="AA235" i="1"/>
  <c r="L235" i="1" s="1"/>
  <c r="L236" i="1"/>
  <c r="AA257" i="1"/>
  <c r="AA259" i="1"/>
  <c r="AA275" i="1"/>
  <c r="AA276" i="1"/>
  <c r="AA281" i="1"/>
  <c r="AA287" i="1"/>
  <c r="AA288" i="1"/>
  <c r="AA293" i="1"/>
  <c r="AA312" i="1"/>
  <c r="AA313" i="1"/>
  <c r="AA314" i="1"/>
  <c r="L314" i="1" s="1"/>
  <c r="AA317" i="1"/>
  <c r="AA329" i="1"/>
  <c r="AA331" i="1"/>
  <c r="AA337" i="1"/>
  <c r="AA346" i="1"/>
  <c r="AA347" i="1"/>
  <c r="AA354" i="1"/>
  <c r="AA364" i="1"/>
  <c r="AA365" i="1"/>
  <c r="AA376" i="1"/>
  <c r="AA384" i="1"/>
  <c r="AA385" i="1"/>
  <c r="AA417" i="1"/>
  <c r="AA419" i="1"/>
  <c r="AA426" i="1"/>
  <c r="AA427" i="1"/>
  <c r="AA428" i="1"/>
  <c r="AA607" i="1"/>
  <c r="AA608" i="1"/>
  <c r="AA609" i="1"/>
  <c r="AA611" i="1"/>
  <c r="AA612" i="1"/>
  <c r="AA613" i="1"/>
  <c r="AA76" i="1"/>
  <c r="AF76" i="1"/>
  <c r="L148" i="1"/>
  <c r="L216" i="1"/>
  <c r="U329" i="1"/>
  <c r="U331" i="1"/>
  <c r="U337" i="1"/>
  <c r="U347" i="1"/>
  <c r="U354" i="1"/>
  <c r="U364" i="1"/>
  <c r="U365" i="1"/>
  <c r="U376" i="1"/>
  <c r="U384" i="1"/>
  <c r="U385" i="1"/>
  <c r="U417" i="1"/>
  <c r="U419" i="1"/>
  <c r="U426" i="1"/>
  <c r="U427" i="1"/>
  <c r="U428" i="1"/>
  <c r="U433" i="1"/>
  <c r="L433" i="1" s="1"/>
  <c r="R76" i="1"/>
  <c r="R63" i="1"/>
  <c r="R64" i="1"/>
  <c r="AA71" i="1"/>
  <c r="AA72" i="1"/>
  <c r="R71" i="1"/>
  <c r="R72" i="1"/>
  <c r="AA47" i="1"/>
  <c r="AA35" i="1"/>
  <c r="R35" i="1"/>
  <c r="AA124" i="1"/>
  <c r="AA28" i="1"/>
  <c r="AA29" i="1"/>
  <c r="L29" i="1" s="1"/>
  <c r="AA27" i="1"/>
  <c r="R124" i="1"/>
  <c r="AA21" i="1"/>
  <c r="AA22" i="1"/>
  <c r="AA20" i="1"/>
  <c r="R21" i="1"/>
  <c r="R22" i="1"/>
  <c r="R6" i="1"/>
  <c r="AA5" i="1"/>
  <c r="AA6" i="1"/>
  <c r="AA7" i="1"/>
  <c r="AA4" i="1"/>
  <c r="R608" i="1"/>
  <c r="AA614" i="1"/>
  <c r="AA615" i="1"/>
  <c r="AA448" i="1"/>
  <c r="AA617" i="1"/>
  <c r="AA618" i="1"/>
  <c r="AA619" i="1"/>
  <c r="AA620" i="1"/>
  <c r="AA449" i="1"/>
  <c r="AA622" i="1"/>
  <c r="AA623" i="1"/>
  <c r="AA624" i="1"/>
  <c r="AA625" i="1"/>
  <c r="AA626" i="1"/>
  <c r="AA627" i="1"/>
  <c r="AA628" i="1"/>
  <c r="AA629" i="1"/>
  <c r="AA630" i="1"/>
  <c r="AA631" i="1"/>
  <c r="AA632" i="1"/>
  <c r="AA633" i="1"/>
  <c r="AA634" i="1"/>
  <c r="AA635" i="1"/>
  <c r="AA453" i="1"/>
  <c r="AA637" i="1"/>
  <c r="AA450" i="1"/>
  <c r="AA454" i="1"/>
  <c r="AA610" i="1"/>
  <c r="AA616" i="1"/>
  <c r="AA642" i="1"/>
  <c r="AA643" i="1"/>
  <c r="AA638" i="1"/>
  <c r="AA645" i="1"/>
  <c r="AA646" i="1"/>
  <c r="AA647" i="1"/>
  <c r="AA648" i="1"/>
  <c r="AA621" i="1"/>
  <c r="AA636" i="1"/>
  <c r="AA651" i="1"/>
  <c r="AA652" i="1"/>
  <c r="AA653" i="1"/>
  <c r="AA654" i="1"/>
  <c r="AA655" i="1"/>
  <c r="AA656" i="1"/>
  <c r="AA657" i="1"/>
  <c r="AA658" i="1"/>
  <c r="AA659" i="1"/>
  <c r="AA660" i="1"/>
  <c r="AA661" i="1"/>
  <c r="AA662" i="1"/>
  <c r="AA663" i="1"/>
  <c r="AA664" i="1"/>
  <c r="AA665" i="1"/>
  <c r="AA666" i="1"/>
  <c r="AA667" i="1"/>
  <c r="AA668" i="1"/>
  <c r="AA669" i="1"/>
  <c r="AA670" i="1"/>
  <c r="AA671" i="1"/>
  <c r="AA672" i="1"/>
  <c r="AA673" i="1"/>
  <c r="AA674" i="1"/>
  <c r="AA644" i="1"/>
  <c r="AA678" i="1"/>
  <c r="X623" i="1"/>
  <c r="X624" i="1"/>
  <c r="X625" i="1"/>
  <c r="X626" i="1"/>
  <c r="X627" i="1"/>
  <c r="X628" i="1"/>
  <c r="X629" i="1"/>
  <c r="X630" i="1"/>
  <c r="X631" i="1"/>
  <c r="X632" i="1"/>
  <c r="X633" i="1"/>
  <c r="X634" i="1"/>
  <c r="X635" i="1"/>
  <c r="X453" i="1"/>
  <c r="X637" i="1"/>
  <c r="X450" i="1"/>
  <c r="X454" i="1"/>
  <c r="X610" i="1"/>
  <c r="X616" i="1"/>
  <c r="X642" i="1"/>
  <c r="X643" i="1"/>
  <c r="X638" i="1"/>
  <c r="X645" i="1"/>
  <c r="X646" i="1"/>
  <c r="X647" i="1"/>
  <c r="X648" i="1"/>
  <c r="X621" i="1"/>
  <c r="X636" i="1"/>
  <c r="X651" i="1"/>
  <c r="X652" i="1"/>
  <c r="X653" i="1"/>
  <c r="X654" i="1"/>
  <c r="X655" i="1"/>
  <c r="X656" i="1"/>
  <c r="X657" i="1"/>
  <c r="X659" i="1"/>
  <c r="X660" i="1"/>
  <c r="X661" i="1"/>
  <c r="X662" i="1"/>
  <c r="X663" i="1"/>
  <c r="X664" i="1"/>
  <c r="X665" i="1"/>
  <c r="X666" i="1"/>
  <c r="X667" i="1"/>
  <c r="X668" i="1"/>
  <c r="X669" i="1"/>
  <c r="X670" i="1"/>
  <c r="X671" i="1"/>
  <c r="X672" i="1"/>
  <c r="X673" i="1"/>
  <c r="X674" i="1"/>
  <c r="X644" i="1"/>
  <c r="X678" i="1"/>
  <c r="X607" i="1"/>
  <c r="X608" i="1"/>
  <c r="X609" i="1"/>
  <c r="X611" i="1"/>
  <c r="X612" i="1"/>
  <c r="X613" i="1"/>
  <c r="X614" i="1"/>
  <c r="X615" i="1"/>
  <c r="X448" i="1"/>
  <c r="X617" i="1"/>
  <c r="X618" i="1"/>
  <c r="X619" i="1"/>
  <c r="X620" i="1"/>
  <c r="X449" i="1"/>
  <c r="X622" i="1"/>
  <c r="R607" i="1"/>
  <c r="R609" i="1"/>
  <c r="R611" i="1"/>
  <c r="R613" i="1"/>
  <c r="R614" i="1"/>
  <c r="R615" i="1"/>
  <c r="R448" i="1"/>
  <c r="R617" i="1"/>
  <c r="R618" i="1"/>
  <c r="R619" i="1"/>
  <c r="R620" i="1"/>
  <c r="R449" i="1"/>
  <c r="R622" i="1"/>
  <c r="R623" i="1"/>
  <c r="R625" i="1"/>
  <c r="R626" i="1"/>
  <c r="R627" i="1"/>
  <c r="R628" i="1"/>
  <c r="R629" i="1"/>
  <c r="R630" i="1"/>
  <c r="R631" i="1"/>
  <c r="R632" i="1"/>
  <c r="R633" i="1"/>
  <c r="R634" i="1"/>
  <c r="R635" i="1"/>
  <c r="R453" i="1"/>
  <c r="R637" i="1"/>
  <c r="R450" i="1"/>
  <c r="R454" i="1"/>
  <c r="R610" i="1"/>
  <c r="R616" i="1"/>
  <c r="R642" i="1"/>
  <c r="R643" i="1"/>
  <c r="R638" i="1"/>
  <c r="R645" i="1"/>
  <c r="R646" i="1"/>
  <c r="R647" i="1"/>
  <c r="R648" i="1"/>
  <c r="R621" i="1"/>
  <c r="R636" i="1"/>
  <c r="R651" i="1"/>
  <c r="R652" i="1"/>
  <c r="R653" i="1"/>
  <c r="R654" i="1"/>
  <c r="R655" i="1"/>
  <c r="R656" i="1"/>
  <c r="R657" i="1"/>
  <c r="R658" i="1"/>
  <c r="R659" i="1"/>
  <c r="R660" i="1"/>
  <c r="R661" i="1"/>
  <c r="R662" i="1"/>
  <c r="R663" i="1"/>
  <c r="R664" i="1"/>
  <c r="R665" i="1"/>
  <c r="R666" i="1"/>
  <c r="R667" i="1"/>
  <c r="R668" i="1"/>
  <c r="R669" i="1"/>
  <c r="R670" i="1"/>
  <c r="R671" i="1"/>
  <c r="R672" i="1"/>
  <c r="R674" i="1"/>
  <c r="R678" i="1"/>
  <c r="R293" i="1"/>
  <c r="R317" i="1"/>
  <c r="X364" i="1"/>
  <c r="AA70" i="1"/>
  <c r="R70" i="1"/>
  <c r="R312" i="1"/>
  <c r="R287" i="1"/>
  <c r="R224" i="1"/>
  <c r="R208" i="1"/>
  <c r="R215" i="1"/>
  <c r="R188" i="1"/>
  <c r="R199" i="1"/>
  <c r="R180" i="1"/>
  <c r="R139" i="1"/>
  <c r="R92" i="1"/>
  <c r="R54" i="1"/>
  <c r="R27" i="1"/>
  <c r="R20" i="1"/>
  <c r="X5" i="1"/>
  <c r="U5" i="1"/>
  <c r="R5" i="1"/>
  <c r="X4" i="1"/>
  <c r="U4" i="1"/>
  <c r="R4" i="1"/>
  <c r="L76" i="1" l="1"/>
  <c r="L28" i="1"/>
  <c r="AF29" i="1"/>
  <c r="L121" i="1"/>
  <c r="AF150" i="1"/>
  <c r="AF149" i="1"/>
  <c r="AF314" i="1"/>
  <c r="L276" i="1"/>
  <c r="AF79" i="1"/>
  <c r="AF192" i="1"/>
  <c r="AF235" i="1"/>
  <c r="AF181" i="1"/>
  <c r="AF78" i="1"/>
  <c r="AF236" i="1"/>
  <c r="AF216" i="1"/>
  <c r="AF189" i="1"/>
  <c r="AF217" i="1"/>
  <c r="AF148" i="1"/>
  <c r="AF318" i="1"/>
  <c r="L644" i="1"/>
  <c r="L164" i="1"/>
  <c r="L385" i="1"/>
  <c r="L124" i="1"/>
  <c r="L5" i="1"/>
  <c r="L672" i="1"/>
  <c r="L668" i="1"/>
  <c r="L664" i="1"/>
  <c r="L660" i="1"/>
  <c r="L656" i="1"/>
  <c r="L651" i="1"/>
  <c r="L647" i="1"/>
  <c r="L643" i="1"/>
  <c r="L454" i="1"/>
  <c r="L635" i="1"/>
  <c r="L631" i="1"/>
  <c r="L627" i="1"/>
  <c r="L623" i="1"/>
  <c r="L619" i="1"/>
  <c r="L615" i="1"/>
  <c r="L611" i="1"/>
  <c r="L427" i="1"/>
  <c r="L288" i="1"/>
  <c r="AD4" i="1"/>
  <c r="L671" i="1"/>
  <c r="L667" i="1"/>
  <c r="L663" i="1"/>
  <c r="L659" i="1"/>
  <c r="L655" i="1"/>
  <c r="L636" i="1"/>
  <c r="L646" i="1"/>
  <c r="L642" i="1"/>
  <c r="L450" i="1"/>
  <c r="L634" i="1"/>
  <c r="L630" i="1"/>
  <c r="L626" i="1"/>
  <c r="L622" i="1"/>
  <c r="L618" i="1"/>
  <c r="L614" i="1"/>
  <c r="L620" i="1"/>
  <c r="L257" i="1"/>
  <c r="L147" i="1"/>
  <c r="AF433" i="1"/>
  <c r="L419" i="1"/>
  <c r="L347" i="1"/>
  <c r="L365" i="1"/>
  <c r="L331" i="1"/>
  <c r="L93" i="1"/>
  <c r="L132" i="1"/>
  <c r="L200" i="1"/>
  <c r="L612" i="1"/>
  <c r="L637" i="1"/>
  <c r="L629" i="1"/>
  <c r="L625" i="1"/>
  <c r="L673" i="1"/>
  <c r="L669" i="1"/>
  <c r="L665" i="1"/>
  <c r="L661" i="1"/>
  <c r="L657" i="1"/>
  <c r="L652" i="1"/>
  <c r="L610" i="1"/>
  <c r="L453" i="1"/>
  <c r="L632" i="1"/>
  <c r="L628" i="1"/>
  <c r="L624" i="1"/>
  <c r="L608" i="1"/>
  <c r="L670" i="1"/>
  <c r="L666" i="1"/>
  <c r="L662" i="1"/>
  <c r="L658" i="1"/>
  <c r="L653" i="1"/>
  <c r="L621" i="1"/>
  <c r="L449" i="1"/>
  <c r="L617" i="1"/>
  <c r="L613" i="1"/>
  <c r="L609" i="1"/>
  <c r="L428" i="1"/>
  <c r="L313" i="1"/>
  <c r="L295" i="1"/>
  <c r="L72" i="1"/>
  <c r="L638" i="1" l="1"/>
  <c r="L178" i="1"/>
  <c r="L384" i="1"/>
  <c r="L64" i="1"/>
  <c r="L616" i="1"/>
  <c r="L648" i="1"/>
  <c r="L678" i="1"/>
  <c r="L674" i="1"/>
  <c r="L607" i="1"/>
  <c r="L163" i="1"/>
  <c r="L364" i="1"/>
  <c r="AF272" i="1"/>
  <c r="L272" i="1"/>
  <c r="L354" i="1"/>
  <c r="L376" i="1"/>
  <c r="AF271" i="1"/>
  <c r="L271" i="1"/>
  <c r="L337" i="1"/>
  <c r="L426" i="1"/>
  <c r="L131" i="1"/>
  <c r="L417" i="1"/>
  <c r="L346" i="1"/>
  <c r="L439" i="1"/>
  <c r="L633" i="1"/>
  <c r="L448" i="1"/>
  <c r="L275" i="1"/>
  <c r="L645" i="1"/>
  <c r="L92" i="1"/>
  <c r="L654" i="1"/>
  <c r="L7" i="1"/>
  <c r="L208" i="1"/>
  <c r="L287" i="1"/>
  <c r="L234" i="1"/>
  <c r="L312" i="1"/>
  <c r="L329" i="1"/>
  <c r="L293" i="1"/>
  <c r="L70" i="1"/>
  <c r="L63" i="1"/>
  <c r="L146" i="1"/>
  <c r="L281" i="1"/>
  <c r="L261" i="1"/>
  <c r="L120" i="1"/>
  <c r="L199" i="1"/>
  <c r="L77" i="1"/>
  <c r="L47" i="1"/>
  <c r="L139" i="1"/>
  <c r="L188" i="1"/>
  <c r="L54" i="1"/>
  <c r="L317" i="1"/>
  <c r="L180" i="1"/>
  <c r="AF22" i="1"/>
  <c r="L22" i="1"/>
  <c r="AF27" i="1"/>
  <c r="L27" i="1"/>
  <c r="L215" i="1"/>
  <c r="AF20" i="1"/>
  <c r="L20" i="1"/>
  <c r="L224" i="1"/>
  <c r="AF35" i="1"/>
  <c r="L35" i="1"/>
  <c r="AF6" i="1"/>
  <c r="L6" i="1"/>
  <c r="AF71" i="1"/>
  <c r="L71" i="1"/>
  <c r="AF21" i="1"/>
  <c r="L21" i="1"/>
  <c r="AF28" i="1"/>
  <c r="AF47" i="1"/>
  <c r="AF7" i="1"/>
  <c r="AF64" i="1"/>
  <c r="AF376" i="1"/>
  <c r="AF317" i="1"/>
  <c r="AF261" i="1"/>
  <c r="AF384" i="1"/>
  <c r="AF72" i="1"/>
  <c r="AF439" i="1"/>
  <c r="AF132" i="1"/>
  <c r="AF281" i="1"/>
  <c r="AF417" i="1"/>
  <c r="AF200" i="1"/>
  <c r="AF419" i="1"/>
  <c r="AF385" i="1"/>
  <c r="AF276" i="1"/>
  <c r="AF295" i="1"/>
  <c r="AF131" i="1"/>
  <c r="AF331" i="1"/>
  <c r="AF365" i="1"/>
  <c r="AF178" i="1"/>
  <c r="AF121" i="1"/>
  <c r="AF288" i="1"/>
  <c r="AF164" i="1"/>
  <c r="AF347" i="1"/>
  <c r="AF313" i="1"/>
  <c r="AF609" i="1"/>
  <c r="AF653" i="1"/>
  <c r="AF666" i="1"/>
  <c r="AF608" i="1"/>
  <c r="AF453" i="1"/>
  <c r="AF652" i="1"/>
  <c r="AF665" i="1"/>
  <c r="AF629" i="1"/>
  <c r="AF426" i="1"/>
  <c r="AF620" i="1"/>
  <c r="AF622" i="1"/>
  <c r="AF654" i="1"/>
  <c r="AF667" i="1"/>
  <c r="AF427" i="1"/>
  <c r="AF611" i="1"/>
  <c r="AF627" i="1"/>
  <c r="AF643" i="1"/>
  <c r="AF656" i="1"/>
  <c r="AF672" i="1"/>
  <c r="AF613" i="1"/>
  <c r="AF670" i="1"/>
  <c r="AF624" i="1"/>
  <c r="AF669" i="1"/>
  <c r="AF637" i="1"/>
  <c r="AF92" i="1"/>
  <c r="AF626" i="1"/>
  <c r="AF642" i="1"/>
  <c r="AF655" i="1"/>
  <c r="AF671" i="1"/>
  <c r="AF615" i="1"/>
  <c r="AF631" i="1"/>
  <c r="AF647" i="1"/>
  <c r="AF660" i="1"/>
  <c r="AF5" i="1"/>
  <c r="AF124" i="1"/>
  <c r="AF644" i="1"/>
  <c r="AF428" i="1"/>
  <c r="AF617" i="1"/>
  <c r="AF645" i="1"/>
  <c r="AF628" i="1"/>
  <c r="AF657" i="1"/>
  <c r="AF673" i="1"/>
  <c r="AF607" i="1"/>
  <c r="AF616" i="1"/>
  <c r="AF257" i="1"/>
  <c r="AF614" i="1"/>
  <c r="AF630" i="1"/>
  <c r="AF646" i="1"/>
  <c r="AF659" i="1"/>
  <c r="AF619" i="1"/>
  <c r="AF635" i="1"/>
  <c r="AF651" i="1"/>
  <c r="AF664" i="1"/>
  <c r="AF449" i="1"/>
  <c r="AF662" i="1"/>
  <c r="AF678" i="1"/>
  <c r="AF632" i="1"/>
  <c r="AF648" i="1"/>
  <c r="AF661" i="1"/>
  <c r="AF625" i="1"/>
  <c r="AF612" i="1"/>
  <c r="AF147" i="1"/>
  <c r="AF448" i="1"/>
  <c r="AF618" i="1"/>
  <c r="AF634" i="1"/>
  <c r="AF636" i="1"/>
  <c r="AF663" i="1"/>
  <c r="AF623" i="1"/>
  <c r="AF454" i="1"/>
  <c r="AF668" i="1"/>
  <c r="AF93" i="1"/>
  <c r="AF674" i="1"/>
  <c r="AF188" i="1"/>
  <c r="AF180" i="1"/>
  <c r="AF77" i="1"/>
  <c r="AF450" i="1"/>
  <c r="AF275" i="1"/>
  <c r="AF287" i="1"/>
  <c r="AF337" i="1"/>
  <c r="AF234" i="1"/>
  <c r="AF215" i="1"/>
  <c r="AF224" i="1"/>
  <c r="AF293" i="1"/>
  <c r="AF354" i="1"/>
  <c r="AF346" i="1"/>
  <c r="AF208" i="1"/>
  <c r="AF364" i="1"/>
  <c r="AF312" i="1"/>
  <c r="AF329" i="1"/>
  <c r="AF163" i="1"/>
  <c r="AF146" i="1"/>
  <c r="AF199" i="1"/>
  <c r="AF139" i="1"/>
  <c r="AF120" i="1"/>
  <c r="AF63" i="1"/>
  <c r="AF638" i="1"/>
  <c r="AF610" i="1"/>
  <c r="AF658" i="1"/>
  <c r="AF621" i="1"/>
  <c r="AF633" i="1"/>
  <c r="AF54" i="1"/>
  <c r="L4" i="1"/>
  <c r="AF70" i="1"/>
  <c r="AF4" i="1"/>
  <c r="XFB4" i="1" l="1"/>
  <c r="AA210" i="1" l="1"/>
  <c r="L210" i="1" l="1"/>
  <c r="AF210" i="1"/>
  <c r="U259" i="1" l="1"/>
  <c r="AF259" i="1" l="1"/>
  <c r="L259" i="1"/>
  <c r="R408" i="1" l="1"/>
  <c r="L408" i="1" l="1"/>
  <c r="AF408" i="1"/>
  <c r="L471" i="1" l="1"/>
  <c r="AF471" i="1"/>
  <c r="AF894" i="1" s="1"/>
  <c r="X471" i="1" l="1"/>
</calcChain>
</file>

<file path=xl/sharedStrings.xml><?xml version="1.0" encoding="utf-8"?>
<sst xmlns="http://schemas.openxmlformats.org/spreadsheetml/2006/main" count="10628" uniqueCount="3314">
  <si>
    <t>Nr. crt.</t>
  </si>
  <si>
    <t>Titlu proiect</t>
  </si>
  <si>
    <t xml:space="preserve">Regiune </t>
  </si>
  <si>
    <t>Localitate</t>
  </si>
  <si>
    <t>Tip beneficiar</t>
  </si>
  <si>
    <t>Total valoare proiect</t>
  </si>
  <si>
    <t>Act aditional NR.</t>
  </si>
  <si>
    <t>Fonduri UE</t>
  </si>
  <si>
    <t>Axă prioritară/ Prioritate de investiţii</t>
  </si>
  <si>
    <t>Valoarea ELIGIBILĂ a proiectului (LEI)</t>
  </si>
  <si>
    <t xml:space="preserve">Finanțare acordată </t>
  </si>
  <si>
    <t>Buget național</t>
  </si>
  <si>
    <t>Contribuția proprie a beneficiarului</t>
  </si>
  <si>
    <t>Stadiu proiect 
(în implementare/ reziliat/ finalizat)</t>
  </si>
  <si>
    <t>Denumire beneficiar</t>
  </si>
  <si>
    <t>Data de începere a proiectului</t>
  </si>
  <si>
    <t>Rezumat proiect</t>
  </si>
  <si>
    <t>Data de finalizare a proiectului</t>
  </si>
  <si>
    <t>Rata de cofinanțare UE</t>
  </si>
  <si>
    <t>Județ</t>
  </si>
  <si>
    <t>Categorie de intervenție</t>
  </si>
  <si>
    <t>Contribuție privată</t>
  </si>
  <si>
    <t>Plăţi către beneficiari (lei)</t>
  </si>
  <si>
    <t>Contribuția națională</t>
  </si>
  <si>
    <t>AT 1/2016</t>
  </si>
  <si>
    <t>123 - Informare și comunicare</t>
  </si>
  <si>
    <t>Sprijin pentru activitățile de publicitate, informare și comunicare ale AM POCA</t>
  </si>
  <si>
    <t xml:space="preserve">Scopul proiectului: Crearea și gestionarea unui sistem eficient de informare, promovare și comunicare a POCA, având ca rezultat un impact pozitiv asupra absorbției fondurilor 
Obiectivele specifice ale proiectului:
- Creșterea interesului față de POCA prin informarea potențialilor beneficiari asupra oportunităților de finanțare prin acest program operaţional
- Creșterea satisfacției beneficiarilor programului operațional față de sprijinul oferit de către AM POCA
- Asigurarea transparenței programului și prezentarea rezultatelor acestuia către grupul țintă
</t>
  </si>
  <si>
    <t xml:space="preserve">121 - Pregătire, punere în aplicare, monitorizare și inspectare
122 - Evaluare și studii
</t>
  </si>
  <si>
    <t>Sprijin pentru consolidarea capacității administrative a AM POCA</t>
  </si>
  <si>
    <t xml:space="preserve">Scopul proiectului: Sprijinirea procesului de implementare a Programului operaţional „Capacitate administrativă”
Obiectivele specifice ale proiectului:
- Consolidarea capacității AM de a gestiona și implementa programul operațional.
- Asigurarea continuității implementării programului operațional. 
</t>
  </si>
  <si>
    <t>121 - Pregătire, punere în aplicare, monitorizare și inspectare</t>
  </si>
  <si>
    <t>Sprijin pentru asigurarea cheltuielilor pentru salariile personalului AM POCA</t>
  </si>
  <si>
    <t xml:space="preserve">Scopul proiectului: Sprijinirea sistemului de remunerare şi motivare a personalului din cadrul AM POCA cu atribuţii în gestionarea instrumentelor structurale.
Obiectivul specific al proiectului: Diminuarea impactului financiar asupra bugetului de stat.
</t>
  </si>
  <si>
    <t>119 - Investiții în capacitatea instituțională și în eficiența administrațiilor și a serviciilor publice la nivel național, regional și local, în perspectiva realizării de reforme, a unei mai bune legiferări și a bunei guvernanțe</t>
  </si>
  <si>
    <t>Elaborarea planului de dezinstituționalizare a copiilor din instituții și asigurarea tranziției îngrijirii acestora în comunitate</t>
  </si>
  <si>
    <t xml:space="preserve">Scopul: Realizarea de proceduri și metodologii comune la nivelul autorităților administrației publice centrale și locale în vederea eficientizării activității acestora în ceea ce privește asigurarea tranziției de la îngrijirea instituțională a copiilor la îngrijirea lor în comunitate.                                                      
Obiective specifice:                                                                                
- Dezvoltarea și întărirea capacității instituționale a direcțiilor generale de asistență socială și protecția  copilului prin crearea și aplicarea unui mecanism unitar de evaluare a nevoilor copiilor aflați în centrele de plasament clasice care urmează să fie închise.
- Dezvoltarea de instrumente pentru clarificarea mandatului, rolurilor și competențelor direcțiilor generale de asistență socială și protecția copilului și serviciilor publice de asistență socială  în ceea ce privește dezvoltarea serviciilor de prevenire a separării copilului de familie, servicii care pe de o parte vor limita intrările în sistemul de protecție specială a copiilor separați temporar sau definitiv de părinți, iar pe de altă parte vor oferi suport familiilor care au în îngrijire copii reintegrați din centre de plasament clasice.
- Îmbunătățirea capacității instituționale a ANPDCA și a direcțiilor generale de asistență socială și protecția copilului în ceea ce privește fundamentarea și planificarea strategică a procesului de dezinstituționalizare la nivel central și local pe baza informațiilor sistematice relevante.
- Dezvoltarea și introducerea unui mecanism de identificare a nevoilor copiilor aflați în situații de risc de separare  și de  elaborare a planurilor de dezvoltare a serviciilor de prevenire a separării copilului de familie la nivelul comunităților, care să răspundă nevoilor identificate, în vederea optimizării procesului decizional orientat către familiile care se ocupă de creșterea și îngrijirea copiilor aflați în risc de separare.
</t>
  </si>
  <si>
    <t>Dezvoltarea capacității Ministerului Educației Naționale de monitorizare și prognoză a evoluției învățământului superior în raport cu piața muncii</t>
  </si>
  <si>
    <t xml:space="preserve">Scopul proiectului: Dezvoltarea capacității administrative a Ministerului Educației Naționale și Cercetării Științifice de a elabora politici bazate pe evidențe, pentru îmbunătățirea ofertelor educaționale ale instituțiilor de învățământ superior, precum și o mai bună corelare a acestora cu nevoile pieței muncii.
Obiectivele specifice ale proiectului:
A) Îmbunătățirea capacității de planificare strategică a Ministerului Educației Naționale și Cercetării Științifice privind elaborarea unor politici și a unor instrumente care să conducă la creșterea anagajării absolvenților pe piața muncii;
B) Îmbunătățirea procesului decizional la nivelul Ministerului Educației Naționale și Cercetării Științifice, de a formula analize și prognoze prin dezvoltarea unor parteneriate și a unui mecanism permanent de consultare MENCS-universități-angajatori, inclusiv dezvoltarea unor instrumente și metodologii privind învățarea aplicată;
C) Îmbunătățirea capacității sistemului de management al sistemului de educație prin dezvoltarea competențelor managerilor din sistemul de învățământ superior; 
D) Dezvoltarea capacității sistemului privind consilierea și orientarea profesională.
</t>
  </si>
  <si>
    <t>Implementarea unui sistem de elaborare de politici publice în domeniul incluziunii sociale la nivelul MMJS</t>
  </si>
  <si>
    <t xml:space="preserve">Scopul: Crearea unui set de instrumente de planificare strategică (hărți privind serviciile sociale, infrastructura aferentă acestora, hărți privind nevoile de infrastructură socială și servicii și metodologii) care să sprijine procesul decizional orientat către cetățean.
Obiectivele specifice:
- asigurarea unei abordări coordonate și fundamentate pe dovezi în elaborarea și implementarea politicilor, programelor, și intervențiilor orientate către persoanele sărace și vulnerabile și către zonele sărace și marginalizate;
- implementarea unui proces decizional la nivelul MMFPSPV, cât și la nivel local, bazat pe o serie de informații obținute în urma unei metodologii riguroase, fundamentate empiric, bazate pe dovezi și date statistice; 
- dezvoltarea și utilizarea unui set de instrumente standard de planificare și furnizare a serviciilor sociale la nivel local în vederea creșterii calității serviciilor publice;
- instruirea unui număr de 450 de persoane, atât de la nivel central, cât și de la nivelul APL-urilor privind elaborarea de politici publice orientate spre cetățean și bazate pe dovezi și cu privire la alte tematici de interes aferente acțiunilor care se vor desfășura în cadrul proiectului.
</t>
  </si>
  <si>
    <t xml:space="preserve">Creșterea capacității administrative a Ministerului pentru Mediul de Afaceri, Comerț și Antreprenoriat de dezvoltare și implementare a sistemului de politici publice bazate pe dovezi </t>
  </si>
  <si>
    <t xml:space="preserve">Scopul proiectului: Optimizarea proceselor decizionale la nivelul MMACA prin consolidarea procesului de fundamentare a politicilor publice.
Obiectivele specifice:
A. Consolidarea procesului de fundamentare a politicilor publice elaborate și implementate de MMACA în vederea eficientizării acțiunilor și inițiativelor orientate către sprijinirea dezvoltării sectorului IMM și îmbunătățirea mediului de afaceri din România;
B. Creșterea transparenței procesului de fundamentare a politicilor publice elaborate și implementate de MMACA și eficientizarea dialogului cu reprezentanții sectorului IMM și ai mediului de afaceri, precum și cu alte categorii de factori relevanți;
C. Îmbunătățirea cunoștințelor și abilităților personalului MMACA pentru susținerea măsurilor/ acțiunilor din cadrul O.S. 1.1.
</t>
  </si>
  <si>
    <t>Cadrul strategic pentru infrastructura educațională și sprijin în planificarea strategică a educației și formării profesionale - INFRAED</t>
  </si>
  <si>
    <t>Scopul: Dezvoltarea și introducerea de strategii, mecanisme,  standarde şi proceduri comune în administrația publică ce optimizează procesele decizionale de alocare a resurselor financiare pentru investițiile în infrastructura  publică de învățământ.                
Obiective specifice:                                                                               
- Optimizarea alocării de resurse financiare și de investiții în infrastructura educațională prin elaborarea unei strategii naționale consultate public, ce asigură decizii informate, bazate pe date concrete rezultate din studii și analize.
- Creșterea capacităţii administraţiei publice de asigurare a transparentei procesului decizional, orientat către cetățean și corelat cu piața muncii, pentru învăţământul profesional şi tehnic
- Creșterea capacității planificare strategică la nivel central și local, de implementare, monitorizare şi evaluare a strategiilor, mecanismelor,  standardelor şi procedurilor  cu privire la educaţia şi formarea profesională şi investițiile în infrastructura de educație.</t>
  </si>
  <si>
    <t>Dezvoltarea capacității instituționale a Ministerului Economiei</t>
  </si>
  <si>
    <t>Scopul proiectului: Consolidarea capacităţii instituţionale a Ministerului Economiei, Comerţului şi Relaţiilor cu Mediul de Afaceri prin dezvoltarea capacităţii de a fundamenta şi implementa politici publice.
Obiectivele specifice ale proiectului:
A) Îmbunătăţirea capacităţii de elaborare (evaluarea impactului), fundamentare, monitorizare şi evaluare a politicilor publice din aria de competenţe a Ministerului Economiei, Comerţului şi Relaţiilor cu Mediul de Afaceri;
B) Dezvoltarea competenţelor angajaţilor Ministerului Economiei, Comerţului şi Relaţiilor cu Mediul de Afaceri în domeniul politicilor publice.</t>
  </si>
  <si>
    <t>Întărirea capacităţii administrative a Ministerului Finanţelor Publice în implementarea măsurilor de sprijin de natura ajutorului de stat</t>
  </si>
  <si>
    <t xml:space="preserve">Scopul proiectului: 
Identificarea măsurilor de îmbunătățire a capacității administrative la nivelul Ministerului Finanțelor Publice în implementarea măsurilor de sprijin de natura ajutorului de stat, în vederea optimizării proceselor decizionale orientate către mediul de afaceri, precum și creșterii calității și performanței în administrația publică, în conformitate cu obiectivele stabilite prin Strategia de consolidare a administrației publice.
Obiectivele specifice ale proiectului:
A. Elaborarea unui studiu de impact realizat asupra măsurilor de natura ajutorului de stat implementate de Ministerul Finanțelor Publice în perioada 2007-2014, în vederea analizării opțiunilor viabile necesare fundamentării deciziilor ce urmează a fi adoptate, cu scopul alocării eficiente a resurselor bugetare în cadrul acestor programe;
B. Dezvoltarea unui sistem informatic de tip “monitoring tool” menit să profesionalizeze modul de coordonare a proceselor legate de evaluarea documentelor și managementul acestora;
C. Elaborarea unui raport cu propuneri și recomandări pentru îmbunătățirea cadrului normativ și metodologic de instituire și acordare a măsurilor de natura ajutorului de stat;
D. Dezvoltarea abilităților și competențelor funcționarilor publici implicați în implementarea măsurilor de natura ajutorului de stat, prin organizarea de seminarii și vizite de lucru.  
</t>
  </si>
  <si>
    <t xml:space="preserve">Consolidarea cadrului pentru creșterea calității serviciilor publice și pentru sprijinirea dezvoltării la nivel local (SPC) </t>
  </si>
  <si>
    <t>Scopul: Dezvoltarea unui set unitar de instrumente pentru consolidarea capacității administrației publice de a presta/furniza în mod eficient și performant servicii publice de calitate pentru cetățeni și mediul de afaceri.                                                                                    Obiective specifice: 
- Asigurarea premiselor pentru fundamentarea soluțiilor referitoare la repartizarea optimă a competențelor între autoritățile administrației publice centrale și locale;
- Asigurarea unei viziuni unitare asupra modului de elaborare, implementare, monitorizare și evaluare a standardelor de calitate și după caz, de cost, pentru serviciile publice descentralizate;
- Dezvoltarea de metode și instrumente pentru monitorizarea și evaluarea capacității administrative a autorităților administrației publice locale.
- Creşterea capacităţii autorităților și instituțiilor de la nivelul administrației publice centrale de a îşi exercita clar și coerent calitatea de coordonator metodologic asupra creării politicilor publice în materia descentralizării.</t>
  </si>
  <si>
    <t xml:space="preserve">Scopul proiectului:  
Eficientizarea cheltuielilor bugetare prin limitarea riscurilor asociate portofoliului de datorie publică guvernamentală. 
Obiectivele specifice ale proiectului:
 A) Dezvoltarea de instrumente/mecanisme pentru eficientizarea procesului de administrare a datoriei publice guvernamentale şi, implicit, a riscurilor şi a cheltuielilor bugetare reprezentând costul datoriei publice guvernamentale.
  Potrivit Hotărârii Guvernului  nr.1470/2007 pentru aprobarea Normelor metodologice de aplicare a Ordonanţei de urgenţă a Guvernului nr.64/2007 privind datoria publică, aprobată cu modificări şi completări prin Legea nr.109/2008, cu modificările ulterioare, pct.3.3.1, în scopul realizării operaţiunilor de administrare a riscurilor aferente portofoliului de datorie publică guvernamentală, Ministerul Finanţelor Publice poate încheia cu instituţii financiare acorduri cadru de tip ISDA Master Derivative Agreement (MDA). În baza acestor acorduri, se vor putea utiliza instrumente financiare derivate în scopul atingerii unei structuri valutare considerate optime pentru portofoliul de datorie publică guvernementală, pentru menţinerea în limite rezonabile a riscurilor financiare (risc valutar, risc de rată de dobândă şi de refinanţare) rezultatul acestor măsuri conducând implicit la limitarea riscurilor cu datoria publică guvernamentală pe termen mediu şi lung.
Prin urmare este esenţială implementarea unui cadru de administrare al riscului prin stabilirea unui management activ al riscurilor asociate portofoliului de datorie publică guvernamentală prin utilizarea instrumentelor financiare derivate pentru acoperirea riscurilor de piaţă şi crearea posibilităţii diminuării costului datoriei prin swap valutar şi swap pe rata de dobândă.
B) Dezvoltarea abilităţilor şi cunoştinţelor personalului implicat în administrarea datoriei publice guvernamentale în vederea utilizării instrumentelor financiare derivate. 
 Pentru implementarea proiectului, Ministerul Finanţelor Publice prin Direcţia Generală Trezorerie şi Datorie Publică (DGTDP) va beneficia de asistentă tehnică din partea Băncii Mondiale pentru a pune în practică politica adecvată şi cadrul operaţional în vederea folosirii instrumentelor financiare derivate.
</t>
  </si>
  <si>
    <t>Secretariatul General al Guvernului - Direcția pentru Strategii Guvernamentale</t>
  </si>
  <si>
    <t xml:space="preserve">Starea Națiunii. Construirea unui instrument inovator pentru fundamentarea politicilor publice </t>
  </si>
  <si>
    <t xml:space="preserve">Scopul proiectului este de a dezvolta și a introduce la nivelul SGG a unui agregator de date statistice multidisciplinare, care va avea ca principal beneficiu fundamentarea riguroasă și obiectivă  a proceselor decizionale și documentelor strategice din cadrul administrației centrale și locale. 
Obiective specifice:
 – Crearea unui sistem coerent de 100 de indicatori relevanți pentru măsurarea nivelului de dezvoltare al României. 
 - Construirea agregatorului de date online Starea Națiunii -  o bază de date online care va integra date statistice colectate începând cu 1990 de diverse instituții (date publice disponibile pentru perioada 1990 – 2015 și ulterior) necesare pentru măsurarea sistemului de indicatori referitor la starea României, utilizabil în fundamentarea deciziilor și pregătirea de politici bazate pe dovezi, compatibil și cu capacitate de integrare în platforma online „Tabloul de bord la centrul Guvernului”, proiect implementat de către Cancelaria Primului Ministru și aflat deja în dezvoltare. 
 – Generarea periodică de date sociologice privind percepția publică (barometre de opinie) cu referire la o varietate de aspecte, precum: piața muncii, mediul de afaceri, industrie, agricultură și dezvoltare rurală, infrastructură de transport și de mediu, sănătate, calitatea vieții, mediul înconjurător etc. și integrarea acestora în agregatorul de date online Starea Națiunii.  
 - Întărirea capacităţii instituţionale a Solicitantului, care are rol de analist decizional, cu privire la temele abordate în cadrul OS 1, 2 și 3. 
 - Implementarea unui program de formare în utilizarea agregatorului de date online Starea Națiunii și a rezultatelor de cercetare, adresat personalului din administrația locală și centrală ca viitori utilizatori ai instrumentului inovator realizat în cadrul proiectului. 
</t>
  </si>
  <si>
    <t>Ministerul Sănătății</t>
  </si>
  <si>
    <t>Îmbunatăţirea capacităţii de planificare strategică şi management al Programelor Naţionale de Sănătate Publică (PNSP) finanțate de  Ministerul Sănătăţii</t>
  </si>
  <si>
    <t xml:space="preserve">Scopul proiectului: Creșterea performanţei în implementarea Programelor Naţionale de Sănătate Publică (PNSP) la nivel central şi local prin îmbunătăţirea capacităţii Ministerului Sănătății și a structurilor sale în ceea ce privește planificarea şi managementul la nivel central, regional şi judeţean.  
Obiectivele specifice ale proiectului:
A. Introducerea unor instrumente și mecanisme unitare de management a programelor naționale de sanatate în scopul creșterii capacității administrative a Ministerului Sănătății;
B. Actualizarea cadrului legal existent ca urmare a introducerii noilor instrumente și mecanisme de management a programelor nationale;
C. Realizarea unei analize de impact ex-post a programelor naționale de sănătate;
D. Îmbunătățirea cunoștintelor și abilităților personalului care gestionează programele naționale de sănătate.
</t>
  </si>
  <si>
    <t>Creșterea capacității Ministerului Transporturilor de a realiza planificări strategice și a administra Master Planul General de Transport al României</t>
  </si>
  <si>
    <t xml:space="preserve">Scopul proiectului este reprezentat de creșterea capacității Ministerului Transporturilor de a realiza planificări strategice și a administra Master Planului General de Transport al României, pentru a întări sistemul de politici în sectorul de transport bazat pe dovezi.
Obiectivele specifice ale proiectului:
A. Creșterea pe termen mediu și lung a capacității MT în vederea utilizării, actualizării și interogării Modelului Național de Transport
B. Îmbunătățirea cadrului procedural privind realizarea evaluării proiectelor și a analizei cost beneficiu în sectorul de transport
</t>
  </si>
  <si>
    <t>Monitorizarea și evaluarea strategiilor condiționalități ex-ante în educație și îmbunătățirea procesului decizional prin monitorizarea performanței instituționale la nivel central și local</t>
  </si>
  <si>
    <t>Imbunătățirea normelor, procedurilor și mecanismelor necesare Ministerului Comunicațiilor și Societatii Informaționale în vederea continuării dezvoltării sectorului de comerț electronic (ECOM)</t>
  </si>
  <si>
    <t xml:space="preserve">Scopul:  Stimularea dezvoltării eficiente și sigure a sistemului de comerţ electronic prin îmbunătățirea capacitații administrative a Ministerului pentru Societatea Informațională responsabil cu coordonarea și îndeplinirea liniilor strategice de dezvoltare a comerțului electronic prevăzute în Strategia Națională privind Agenda Digitală pentru România 2020.
Obiective specifice:
- Creșterea calității reglementărilor în domeniul comerțului electronic prin realizarea unei analize pertinente a cadrului normativ existent și formularea unor propuneri  de îmbunătățire a acestuia. 
- Îmbunătățirea mecanismelor de coordonare și colaborare ale Ministerului pentru Societatea Informațională în vederea implementării eficiente și eficace a liniilor de acțiune în domeniul comerțului electronic prevăzute în Strategia Națională privind Agenda Digitală pentru România 2020 
</t>
  </si>
  <si>
    <t>Elaborarea ghidurilor necesare îmbunătățirii capacității administrative a autorităților pentru protecția mediului în scopul derulării unitare a procedurii de evaluare a impactului asupra mediului (EGEIA)</t>
  </si>
  <si>
    <t xml:space="preserve">Scopul: Îmbunățățirea capacității administrative a autorităților pentru protecția mediului în scopul derulării unitare a procedurii de evaluare a impactului asupra mediului.
Obiective specifice:
-asigurarea calității și evaluării coerente a rapoartelor privind impactul asupra mediului (RIM), prin elaborarea unor ghiduri metodologice EIA necesare autorităților de mediu, a unei broșuri, precum și diseminarea acestor ghiduri către grupuri țintă, altele decât autorități de mediu;
- asigurarea monitorizării aplicării unitare și coerente a ghidurilor metodologice la nivelul autorităților de mediu, prin realizarea unui studiu privind evaluarea ex ante a impactului aplicării ghidurilor;
- dobândirea cunoștințelor și abilităților îmbunătățite, în vederea creșterii calității analizei documentațiilor necesare derulării procedurii de evaluare a impactului asupra mediului și a conținutului RIM, prin instruirea personalului din autoritățile de mediu.
</t>
  </si>
  <si>
    <t>Stabilirea cadrului de dezvoltare a instrumentelor de e-guvernare (EGOV)</t>
  </si>
  <si>
    <t xml:space="preserve">Scopul: Dezvoltarea capacităţii instituţionale a autorităților publice publice în vederea dezvoltării instrumentelor de e–guvernare pentru cetățeni si mediul de afaceri precum și asigurarea viziunii și a direcțiilor de acțiune din domeniul e –guvernării.
Obiective specifice:
- Reducerea fragmentării şi gruparea serviciilor publice electronice sub forma conceptului de evenimente de viaţă, conform obiectivelor stabilite în Agenda Digitală pentru România;
- Asigurarea cadrului legislativ, instituţional, procedural şi operaţional pentru utilizarea instrumentelor de e-guvernare.
</t>
  </si>
  <si>
    <t>Dezvoltarea capacității administrative a Ministerului Mediului de a implementa politica în domeniul managementului deșeurilor și al siturilor contaminate - C.A.D.S</t>
  </si>
  <si>
    <t xml:space="preserve">Scopul proiectului: întărirea capacității administrative a Ministerului  Mediului, Apelor și Pădurilor de a dezvolta și implementa politica de gestionare a deșeurilor și siturilor contaminate, prin dezvoltarea: 
• documentelor de planificare prevăzute prin Directiva cadru privind deșeurile nr. 2008/98/CE, transpuse în legislația națională specifică;
• metodologiilor privind investigarea și evaluarea poluării și remedierea solului și subsolului, precum și documentelor necesare pentru punerea în aplicare a regulilor şi a surselor de finanţare stabilite/identificate pentru aplicarea principiului „poluatorul plăteşte”.
Obiectivele specifice ale proiectului:
- Elaborarea de documente strategice în domeniul managementului deșeurilor, respectiv a PNGD (include Planul Național de Prevenire a Generării de Deșeuri ca parte separată și un Raport privind colectarea și analiza datelor necesare în vederea realizării PNGD), la care se adaugă evaluarea strategică de mediu (SEA pentru propunerea de PNGD);
- Elaborarea metodologiei și conținutului raportului geologic de investigare și evaluare a poluării solului și subsolului, criteriile și indicatorii de evaluare a poluării mediului geologic, a metodologiei de refacere a mediului geologic al siturilor contaminate, precum și a criteriilor clare de intervenție pentru acțiunile de remediere (criterii de prioritizare a intervenţiei asupra siturilor contaminate);
- Elaborarea metodologiei privind regulile şi sursele de finanţare stabilite/identificate pentru aplicarea principiului „poluatorul plăteşte”, dar și pentru  stabilirea datei până la care statul este responsabil pentru poluarea solului, subsolului şi a apei subterane, pentru stabilirea procentului de acoperire de către stat a costurilor privind remedierea siturilor contaminate, respectiv pentru decontarea activităţilor de remediere a siturilor contaminate;
- Elaborarea de ghiduri de bune practici pentru autorităţile publice locale vor viza următoarele aspecte: prevenirea generării deșeurilor, colectarea și reciclarea deșeurilor; tratarea și eliminarea deșeurilor; gestionarea datelor și modul de introducere a datelor;
- Dezvoltarea cadrului metodologic pentru elaborarea Planurilor Județene de Gestionare a Deșeurilor, constând în  revizuirea / elaborarea metodologiei-cadru și etapizarea elaborării PJGD pe baza unei analize privind stadiul implementării/ monitorizării/ evaluării acestora;
- Realizarea unor campanii de conștientizare și instruire cu privire la metodologia pentru elaborarea Planurilor Județene de Gestionare a Deșeurilor și etapizarea elaborării PJGD și la documentele necesare pentru punerea în aplicare a  metodologiilor privind investigarea, evaluarea și remedierea poluării solului și subsolului, orientate către administraţia centrală şi echipele de management a proiectelor de management integrat al deșeurilor și siturilor contaminate; autoritățile publice centrale; autorităţile administraţiei publice locale; companiile în domeniul gestionării deşeurilor autorizate pentru colectare, tratare, reciclare, precum și organizarea unor vizite de studiu pentru a beneficia de exemple europene de bune practici în domeniul gestionării deșeurilor și a siturilor contaminate.
</t>
  </si>
  <si>
    <t>Dezvoltarea capacității administrative a Ministerului Mediului de a implementa politica în domeniul biodiversității</t>
  </si>
  <si>
    <t xml:space="preserve">Scopul: Întărirea capacității administrative a Ministerului  Mediului, Apelor și Pădurilor prin dezvoltarea de sisteme și standarde care să optimizeze procesul de politici publice în domeniul protecției biodiversității, în acord cu SCAP.
Obiective specifice:
- dezvoltarea unor metode necesare pentru îmbunătățirea procesului decizional la nivelul Ministerului Mediului, Apelor și Pădurilor, al Agenției Naționale pentru Protecția Mediului și al  autorităților publice locale pentur protecția mediului de a implementa politicile publice în domeniul biodiversității, constând în dezvoltarea de metodologii și proceduri de evaluare și aprobare a planurilor de management pentru ariile naturale protejate;
 – elaborarea unor studii care să fundamenteze politici publice în domeniul ecosistemelor degradate în acord cu obiectivele Strategiei UE în domeniul biodiversității pentru 2020 și să fundamenteze programe de investiții pentru refacerea ecosistemelor degradate din afara ariilor naturale protejate;
 – realizarea unor studii de fundamentare și revizuire a Strategiei Naţionale şi Planului de Acţiune pentru Conservarea Biodiversităţii 2013 – 2020 (SNPACB) în acord cu ultimele evoluții la nivel european și cu Strategia UE în domeniul biodiversității pentru 2020.
</t>
  </si>
  <si>
    <t xml:space="preserve">Secretariatul General al Guvernului </t>
  </si>
  <si>
    <t>Dezvoltarea capacității de management strategic prin operaționalizarea, la nivelul Centrului Guvernului, a unei structuri tip Strategy Unit (SU)</t>
  </si>
  <si>
    <t xml:space="preserve">Scopul: Îmbunătățirea performanțelor Guvernului în elaborarea documentelor strategice, creșterea  capacității de programare strategică (bugetare pe programe) și dezvoltarea unui sistem de management strategic integrat, prin operaționalizarea unei structuri tip Strategy Unit, la nivelul Centrului Guvernului, capabil să ghideze acest proces, să măsoare impactul documentelor programatice în realizarea obiectivelor strategice, precum și  să semnaleze ministerelor de linie cazurile în care strategiile lor nu reușesc să atingă obiectivele naționale.
Obiectivele specifice ale proiectului:
- crearea cadrului necesar pentru  dezvoltarea unui sistem de management strategic
 integrat la nivel național – operaționalizarea Unității de Strategie (Strategy Unit);
- crearea de metode şi proceduri unificate pentru dezvoltarea strategiilor din ministerele de linie; 
- susținerea ministerelor de linie în dezvoltarea de strategii sectoriale eficiente, care să dirijeze sau să coordoneze dezvoltarea de strategii inter-sectoriale de importanță și de interes național, și asigurarea coordonării acestora cu documentele strategice de nivel superior (Programul de Guvernare, PNR și AP)
- dezvoltarea funcției de evaluare prin: 
a) monitorizarea calităţii documentelor strategice,
b) monitorizarea implementării documentelor strategice sectoriale, 
c) semnalarea oricărei deficienţe, iniţierea evaluărilor de strategie, propunerea de soluții în cazul în care sunt detectate probleme și măsurarea impactului documentelor programatice în realizarea obiectivelor strategice.
</t>
  </si>
  <si>
    <t>Secretariatul General al Guvernului</t>
  </si>
  <si>
    <t>Îmbunătățirea capacității CNCISCAP de a coordona implementarea Strategiei pentru Consolidarea Administrației Publice 2014 - 2020</t>
  </si>
  <si>
    <t>Scopul: Dezvoltarea unui mecanism comun de coordonare inter-instituțională și monitorizare a implementării acțiunilor cuprinse în Strategia pentru Consolidarea Administrației Publice 2014-2020, bazat pe instrumente moderne, unitare, interactive și participative.     
Obiective specifice: 
- Îmbunătățirea coordonării interinstituționale între SGG-CPM și MDRAP, pe de o parte și celelalte instituții responsabile pentru implementarea SCAP 2014-2020, așa cum sunt ele definite în HG 909/2014, pe de altă parte.                                                                              - Creșterea capacității reprezentanților instituțiilor implicate cu privire la metodele moderne de colectare, procesare și raportare a informațiilor / datelor utilizate în monitorizarea implementării SCAP 2014-2020, precum și la comunicarea publică.
- Îmbunătățirea comunicării și cooperării între administrația publică și societatea civilă în vederea implementării eficiente a SCAP 2014-2020.</t>
  </si>
  <si>
    <t>Dezvoltarea capacității administrației publice centrale de a realiza studii de impact</t>
  </si>
  <si>
    <t xml:space="preserve">Scopul proiectului este acela de a crește gradual capacitatea administrativă și expertiza în cadrul instituțiilor administrației publice centrale care elaborează, monitorizează și evaluează politici publice și reglementări cu privire la metodologia de fundamentare a acestora.
Obiective specifice:
- Sprijinirea unui număr de 5 instituții ale administrației publice centrale în realizarea a 5 studii de impact care să susțină fundamentarea unor acțiuni ale Guvernului, documente de politici publice sau reglementări.
- Creșterea nivelului de instruire a specialiștilor din administrația publică implicați în elaborarea studiilor de impact cu privire la metodologia specifică de realizare a acestora, precum și cu privire la alte tehnici și practici în domeniu aplicate la nivel european.
- Consolidarea cadrului instituțional în domeniul evaluării preliminare a impactului și îmbunătățirea coordonării inter și intra-instituționale la nivelul Guvernului în acest domeniu. 
</t>
  </si>
  <si>
    <t>Operaționalizarea unui sistem de management pentru implementarea Planului Anual de Lucru al Guvernului (PALG)</t>
  </si>
  <si>
    <t>Scopul: Scopul proiectului vizează îmbunătățirea performanțelor Guvernului și optimizarea procesului decizional la nivel guvernamental prin crearea unui sistem de management al priorităților legislative care să permită ierarhizarea clară și urmărirea realizării acestora. 
Obiectivele specifice: 
- crearea şi operaţionalizarea cadrului necesar pentru  dezvoltarea unui sistem de management integrat la nivel național al priorităților legislative;
- asigurarea unui nivel mai mare de predictibilitate cu privire la planificarea în avans a şedinţelor guvernului precum și consolidarea responsabilităţii ministerelor cu privire la îndeplinirea priorităţilor Guvernului;   
- susținerea ministerelor de linie în implementarea unui mediu decizional strategic, previzibil şi predictibil, prin creșterea accentului asupra actelor normative prioritare/planificate în detrimentul actelor normative ad-hoc şi asigurarea concordanţei dintre documentele planificate de ministere și  incluse in PALG si cele care ajung, in final, pe agenda ședinței de guvern; - asigurarea funcţiei de control şi monitorizare în timp real a procesului de guvernare şi elaborare acte normative, sprijinind astfel semnalarea imediată a întârzierilor şi deficienţelor în ceea ce priveşte calendarul de elaborare şi aprobare acte normative</t>
  </si>
  <si>
    <t>Extinderea sistemului de planificare strategică la nivelul ministerelor de resort</t>
  </si>
  <si>
    <t xml:space="preserve">Scopul proiectului: este de a contribui la îmbunătățirea procesului decizional și la creșterea calității cheltuielilor publice prin extinderea sistemului de planificare strategică existent la 10 ministere de resort.
Obiectivele specifice ale proiectului:
1. Elaborarea și actualizarea a 10 Planuri Strategice Instituționale (PSI) în baza noii metodologii de planificare strategică realizată în 2014-2015 prin intermediul proiectului „Monitorizarea și Evaluarea Procesului Decizional”, proiect finanțat printr-un Grant nerambursabil oferit de Banca Mondială și pregătirea unui proiecte de hotărâre de guvern cu privire la metodologie;
2. Implementarea unui sistem de monitorizare a implementării PSI pentru cele 10 ministere, bazat pe o aplicație IT dezvoltată prin intermediul proiectului „Monitorizarea și Evaluarea Procesului Decizional”, proiect finanțat printr-un Grant nerambursabil oferit de Banca Mondială;
3. Formarea personalului de la nivelul Cancelariei Primului-ministru și din cele 10 ministere de resort în domeniul planificării strategice și în utilizarea aplicației IT de monitorizare a PSI;
4. Implementarea unui sistem de identificare rapidă și păstrare a documentelor existente la nivelul CCR, pentru a sprijini procesul de fundamentare a realizării PSI-urilor la nivelul celor 10 ministere.
</t>
  </si>
  <si>
    <t>Agenția Națională de Administrare Fiscală</t>
  </si>
  <si>
    <t>Îmbunătățirea capacității procesului decizional la nivelul sectorului financiar din Romania – TREZOR</t>
  </si>
  <si>
    <t xml:space="preserve">Scopul proiectului: Optimizarea procesului decizional prin implementarea unui sistem electronic centralizat de plăți, dezvoltat și introdus la nivelul tuturor unităților de trezorerie ale statului și diversificarea modalităților de efectuare a operațiunilor de încasări și plăți aflate la dispoziția clienților trezoreriei
Obiectivele specifice ale proiectului:
A) Centralizarea sistemului electronic de plăți al trezoreriei statului și reducerea perioadelor de decontare a instrumentelor de plată utilizate în relație cu Trezoreria Statului;
B) Diversificarea modalităților de realizare a operațiunilor de plăți efectuate de către clienții cu conturi deschise la unitățile trezoreriei statului prin dezvoltarea unei platforme de internet banking;
C) Diversificarea modalităților de realizare a operațiunilor de încasări prin implementarea unui sistem de plată prin intermediul cardurilor de plată a impozitelor și taxelor;  
D) Obținerea de informaţii agregate şi în timp real cu privire la operaţiunile de încasări şi plăţi care să fundamenteze aplicarea sistemului de politici;
E) Instruirea angajaţilor de la nivelul aparatului central al Ministerului Finanţelor Publice şi Agenţiei Naţionale de Administrare, precum şi din cadrul unităţilor teritoriale ale trezoreriei statului în utilizarea sistemelor informatice dezvoltate în cadrul proiectului.
</t>
  </si>
  <si>
    <t>Evaluarea riscurilor de dezastre la nivel național (RO-RISK)</t>
  </si>
  <si>
    <t xml:space="preserve">Scopul: Proiectul vizează realizarea unei prime evaluări a riscurilor de dezastre la nivel naţional, sub aspectul impactului asupra siguranţei cetăţenilor, precum şi cel social, economic şi de mediu, pe baza unor instrumente şi a unui cadru metodologic unitare. Rezultatele proiectului vor  putea fundamenta deciziile strategice care să vizeze reducerea riscurilor de dezastre şi, implicit, creşterea siguranţei cetăţeanului şi a mediului de afaceri.
Obiectivele specifice sunt:
- Dezvoltarea instrumentelor necesare (metodologie unitară de evaluare a riscurilor, portal GiS etc.) în procesul de evaluare a riscurilor la nivel naţional;
- Efectuarea unei prime evaluări pentru 10 riscuri specifice treiroriului României, cu indicarea impactului social, economic şi de mediu;
- Pregătirea autorităţilor cu atribuţii în managementul riscurilor pentru utilizarea instrumentelor de evaluare a riscurilor la nivel naţional în vederea fundamentării deciziilor strategice pentru reducerea riscului de dezastre
</t>
  </si>
  <si>
    <t>Consolidarea implementării standardelor de control intern managerial la nivel central şi local</t>
  </si>
  <si>
    <t xml:space="preserve">Scopul proiectului: creşterea capacităţii administrative la nivelul autorităţilor publice centrale şi locale prin dinamizarea dezvoltarea, implementarea sistemului de control intern managerial (SCIM), inclusiv îmbunătăţirea competenţelor personalului în desfăşurarea activităţilor specifice SCIM. 
Obiectivele specifice ale proiectuluit:
A) Identificarea problemelor specifice activităţilor de control intern managerial impuse de legislatia în vigoare;
B) Elaborarea, dezvoltarea şi implementarea unor instrumente de lucru aferente unui management organizaţional eficient;
C) Dezvoltarea/creșterea competenţelor de management organizaţional ale personalului SGG şi Curţii de Conturi, Ministerelor şi Autorităţilor publice locale selectate în proiect, cu atribuţii în domeniile standardelor de management, prin formarea a 300 de persoane pe tematica SCIM şi certificarea ANC  a minim 90% dintre acestea;
D) Creşterea gradului de utilizare a standardelor de management care compun SCIM  în administrația publică, în vederea optimizării şi cooperării între instituţiile publice centrale şi Secretariatul General al Guvernului - Direcţia de control intern managerial şi relaţii interinstituţionale (DCIMRI), prin crearea Platformei IT.
</t>
  </si>
  <si>
    <t>Guvernare transparentă, deschisă și participativă – standartizare, armonizare, dialog îmbunătățit</t>
  </si>
  <si>
    <t xml:space="preserve">Scopul proiectului: Creșterea gradului de transparență a actului de guvernare la nivel central și local 
Obiectivele specifice ale proiectului:
A. Creșterea capacității instituțiilor publice de a asigura părților interesate un nivel ridicat de acces  la informații de interes public
B. Îmbunătățirea gradului de participare publică și de armonizare a procesului de consultare pentru asigurarea transparenței decizionale 
</t>
  </si>
  <si>
    <t>Creșterea calității și a numărului de seturi de date deschise publicate de instituțiile publice</t>
  </si>
  <si>
    <t>Scopul proiectului vizează promovarea și creșterea transparenţei în administrație şi a gradului de comunicare cu cetăţenii prin îmbunătățirea modalităților și mijloacelor de publicare a datelor deschise gestionate de autoritățile și instituțiile publice.
Obiectivele specifice ale proiectului:
A) îmbunătățirea metodologiei de publicare a datelor deschise de către autoritățile și instituțiile publice prin dezvoltarea de standarde și mecanisme în domeniu;
B) dezvoltarea și implementarea unui instrument digital de vizualizare pentru diseminarea seturilor de date deschise gestionate de autoritățile și instituțiile publice;
C) dezvoltarea și implementarea unor cursuri de formare, materiale suport și materiale suplimentare privind managementul datelor deschise, destinate personalului autorităților și instituțiilor publice centrale și locale.</t>
  </si>
  <si>
    <t>Ministerul Public - Parchetul de pe lângă Înalta Curte de Casație și Justiție</t>
  </si>
  <si>
    <t xml:space="preserve">Întărirea capacității Ministerului Public de punere în aplicare a noilor prevederi ale codurilor penale în domeniul audierilor  </t>
  </si>
  <si>
    <t xml:space="preserve">Obiectiv general: Întărirea capacității Ministerului Public în ceea ce privește audierile realizate conform prevederilor noilor coduri prin crearea unui sistem IT performant ce va fi utilizat în această materie
Obiective specifice:
A. Dezvoltarea unui sistem IT pentru realizarea audierilor persoanelor și identificarea persoanelor și obiectelor (art. 110 al. 5 Noului Cod de procedură penală – NCpp, art. 111 alin. 4 NCpp, art. 123 al. 2 NCpp, art. 129 al. 4 NCpp, art. 134 alin. 6 NCpp, art. 135 alin. 3 NCpp ) </t>
  </si>
  <si>
    <t>Întărirea capacității Ministerului Public de punere în executare a unor procedee probatorii vizând perchezițiile informatice</t>
  </si>
  <si>
    <t xml:space="preserve">Obiectiv general: Întărirea capacității Ministerului Public în aria percheziţiilor informatice, în acord cu prevederile noilor coduri, prin introducerea unui set unitar de metodologii de lucru, formarea profesională specializată a personalului şi dotarea cu echipamente şi aplicaţii informatice
Obiective specifice:
A. Elaborarea și introducerea, la nivelul Ministerului Public, a unui set unitar de metodologii de lucru privind punerea în executare a perchezițiilor informatice ori a constatărilor tehnico-științifice care au ca obiect date informatice de interes în urmărirea penală
B. Consolidarea capacității instituționale la nivelul Ministerului Public prin achiziționarea unor echipamente informatice (hardware), licenţe informatice (software - în aria efectuării percheziţiilor informatice, a constatărilor tehnico-ştiinţifice specifice şi a analizei informaţiilor) și formarea profesională specializată a personalului 
</t>
  </si>
  <si>
    <t>Ministerul Justiției</t>
  </si>
  <si>
    <t>Dezvoltarea și implementarea unui sistem integrat de management strategic la nivelul sistemului judiciar - SIMS</t>
  </si>
  <si>
    <t xml:space="preserve">Obiectivul general al proiectului: eficientizarea justiției și de consolidare instituțională a sistemului judiciar prin dezvoltarea unui sistem integrat de management strategic la nivelul sistemului judiciar.
Obiectivele specifice ale proiectului:
A.Utilizarea eficientă și eficace a resurselor de care dispune sistemul judiciar, prin asigurarea cu personal instruit la nivel decizional și tehnic, atribuții instituționale clar definite în domeniul managementului și planificării strategice, structuri specializate în management organizațional, suport informatic pentru facilitarea procesului decizional, metodologii unitare.
B. Fundamentarea, la nivelul managementului strategic integrat al sistemului judiciar, a deciziei privind modalitatea de implementare a măsurii de adaptare și optimizare a sistemului electronic de management al cauzelor ECRIS, prin intermediul unui document de analiză la nivel macro, conținând elementele și caracteristicile tehnice, infrastructura hardware și costurile necesare pentru dezvoltarea noului sistem electronic de management al cauzelor ECRIS - instrument de management integrat, atât operațional, cât și strategic de care vor beneficia instituțiile sistemului judiciar și care va permite adoptarea de decizii cheie pentru administrarea sistemului.
</t>
  </si>
  <si>
    <t>Consolidarea capacității administrative a MJ prin dezvoltarea unei platforme de gestiune a proceselor de lucru (GPL) și a aplicațiilor aferente</t>
  </si>
  <si>
    <t>Obiectivul general: Consolidare a capacității instituționale a Ministerului Justiției prin modernizarea și eficientizarea proceselor de lucru și fluxurilor aferente atât la nivel intern cât și la nivel extern.                    
Obiectiv specific al proiectului: 
A. Dezvoltarea și implementarea la nivelul Ministerului Justiției a unei platforme moderne de gestiune a proceselor de lucru (GPL) și a aplicațiilor aferente.</t>
  </si>
  <si>
    <t>Agenția Națională pentru Achiziții Publice</t>
  </si>
  <si>
    <t xml:space="preserve">Creșterea capacității administrative a ANAP și a instituțiilor publice responsabile  pentru  implementarea Strategiei naționale în domeniul achiziții publice </t>
  </si>
  <si>
    <t xml:space="preserve">Scopul proiectului: Creșterea capacității administrative a ANAP și a instituțiilor publice responsabile  în  implementarea Strategiei naționale în domeniul achiziții publice, în vederea îmbunătățirii sistemului de achiziții publice din România
Obiective specifice: 
A. Consolidarea capacității administrative a ANAP, pentru îndeplinirea funcțiilor sale în concordanță cu Strategia națională în domeniul achizițiilor publice, asigurându-se corelarea sistemelor de monitorizare și verificare.
B. Cooperarea între autoritățile contractante pentru a asigura agregarea cererii, în vederea eficientizării procesului de achiziție publică și utilizării fondurilor publice.
C. Consolidarea cunoștințelor pentru asigurarea unei abordări unitare la nivelul personalului implicat în sistemul de  achiziții publice
</t>
  </si>
  <si>
    <t>IP1/2015</t>
  </si>
  <si>
    <t>Îmbunătățirea politicilor publice în învățământul superior și creșterea calității reglementărilor prin actualizarea standardelor de calitate -QAFIN</t>
  </si>
  <si>
    <t xml:space="preserve">Scopul proiectului: Realizarea și punerea în aplicare a politicilor publice bazate pe dovezi, respectiv corelarea planificării strategice cu bugetarea pe programe, în domeniul finanțării instituțiilor de învățământ superior, prin creșterea calității reglementărilor cu privire la evaluarea calității în învățământul superior și la clasificarea și ierarhizarea instituțiilor de învățământ superior, respectiv a programelor de studii, și prin îmbunătățirea capacității administrative a MEN și ARACIS, prin adaptarea structurilor, optimizarea proceselor și pregătirea resurselor umane, cu folosirea unor mecanisme transparente de consultări publice, care asigură participarea la decizie a cetățenilor, și aplicarea unor standarde de calitate europene. 
Obiective specifice: 
A. Optimizarea planificării strategice și a bugetării pe programe
B. Implementarea metodologiei și ghidurilor de clasificare și ierarhizare a instituțiilor de învățământ superior, respectiv a programelor de studii, bazată pe seturi clare și transparente de indicatori și date;
C. Îmbunătățirea capacității administrative a MEN și ARACIS la nivel de sistem, prin dezvoltarea de instrumente manageriale privind organizarea și funcționarea internă, proceduri de uz intern, manuale, ghiduri de bună practică, și prin formarea personalului propriu, precum și cel din instituțiile de învățământ superior, pentru implementarea instrumentelor elaborate și în ceea ce privește practicile europene în domeniu.  
</t>
  </si>
  <si>
    <t>IP3/2016</t>
  </si>
  <si>
    <t>Creșterea performanței activității vamale pentru facilitarea comerțului legitim</t>
  </si>
  <si>
    <t xml:space="preserve">Obiectiv general: Consolidarea capacității A.N.A.F. în ceea ce privește optimizarea serviciilor publice electronice oferite operatorilor economici și colaborarea cu autoritățile vamale din statele membre al Uniunii Europene.
Obiectivele specifice ale proiectului:
A. Dezvoltarea și implementarea unui instrument securizat de acces direct la sistemele europene de informații în domeniul vamal atât pentru mediul de afaceri, cât și pentru personalul vamal 
B. Realizarea schimbului electronic de informații pentru simplificarea formalităților vamale de import și export derulate de mediul de afaceri 
C. Alinierea sistemelor de import și export la cerințele de date comunitare pentru aplicarea unitară a cerințelor Codului vamal al Uniunii
D. Implementarea semnăturii electronice pentru operațiunile vamale de import-export 
E. Îmbunătățirea cunoștințelor și abilităților personalului din cadrul  A.N.A.F. în domeniul managementului identității utilizatorilor, schimbului electronic de informații și semnăturii electronice în vederea administrării și utilizării sistemelor electronice dezvoltate în cadrul proiectului 
</t>
  </si>
  <si>
    <t xml:space="preserve">Facilitarea formalităţilor vamale în contextul Codului vamal al Uniunii Europene </t>
  </si>
  <si>
    <t xml:space="preserve">Obiectivul general: Consolidarea capacității Agenției Naționale de Administrare Fiscală de eficientizare a proceselor decizionale orientate către mediul de afaceri și de exercitare a unui control vamal adecvat, prin dezvoltarea și introducerea de sisteme și standarde comune în conformitate cu cerințele Codului vamal al Uniunii.
Obiectivele specifice ale proiectului:
A. Reducerea poverii administrative prin elaborarea de norme metodologice şi proceduri pentru standardizarea proceselor vamale şi simplificarea formalitătilor vamale, conducând astfel la eficientizarea activităţii vamale. 
B. Dezvoltarea capacității administrative, prin introducerea unor proceduri simplificate privind gestionarea electronică a deciziilor vamale. 
C. Optimizarea capacităţii administrative de control al dovezilor de origine ca urmare a gestionării electronice a exportatorilor înregistraţi. 
D. Consolidarea capacității administrative în domeniul vamal prin creşterea gradului de conformare la legislaţia vamală în domeniul informaţiilor tarifare obligatorii şi eficientizarea analizei de risc prin efectuarea supravegherii la standardele unionale. 
E. Creșterea capacității administrative în domeniul vamal prin gestionarea uniformă şi controlul eficient al documentelor care însoţesc declaraţiile vamale prin Ghişeul unic. 
F. Îmbunătățirea cunoștințelor și abilităților angajaţilor de la nivelul Agenţiei Naţionale de Administrare Fiscală prin instruirea acestora în domeniul gestionării deciziilor vamale, al informaţiilor tarifare obligatorii, al verificării originii mărfurilor şi al controlului de conformitate și pentru administrarea şi utilizarea noilor sisteme/componente dezvoltate în cadrul proiectului.
</t>
  </si>
  <si>
    <t>Consolidarea capacității administrative a Ministerului Sănătății și a unităților aflate în subordonare, coordonare și sub autoritate prin implementarea unitară a Sistemului de Management al Calității SR EN ISO 9001:2015</t>
  </si>
  <si>
    <t xml:space="preserve">Obiectiv general: Consolidarea capacității administrative a Ministerului Sănătății și a unităților aflate în subordonare, coordonare și sub autoritate prin implementarea unitară a Sistemului de Management al Calității bazat pe standardul SR EN IS0 9001:2015
Obiectivele specifice ale proiectului:
A. Implementarea unor sisteme unitare de management al calității și performanței implementate în autorități și instituții publice centrale; 
B. Realizarea instrumente de implementare unitară a Sistemului de Management al Calității SR EN ISO 9001:2015;
C.  Certificarea Sistemului de Management al Calității SR EN ISO 9001:2015 implementat în autorități și instituții publice centrale;
D. Imbunatatirea cunoștințelor şi abilităţilor personalului din carul Ministerului Sanatatii si unitatilor subordonate. Va fi instruit atât personalul de execuție pentru sistemul de management al calității cât și personalul de conducere pentru îmbunătățirea abilităților și competențelor în domeniul managementului calității.
</t>
  </si>
  <si>
    <t>Ministerul Afacerilor Interne</t>
  </si>
  <si>
    <t xml:space="preserve">Management performant și unitar la nivelul Ministerului Afacerilor Interne pentru serviciile de urgență </t>
  </si>
  <si>
    <t xml:space="preserve">Obiectiv general: Crearea şi dezvoltarea unui cadru unitar pentru managementul performant la nivelul structurilor operative şi de coordonare cu atribuții privind gestionarea și intervenția în cazul situațiilor de urgență și a urgențelor medicale.
Obiectivele specifice ale proiectului:
A.Creșterea performanței organizaționale prin implementarea Instrumentului de auto-evaluare a modului de funcţionare a instituțiilor administrației publice (CAF) și a sistemului de management integrat Balanced Scorecard (BSC) in Ministerul Afacerilor Interne pe domeniul situațiilor de urgență. 
B. Creșterea eficienței serviciilor oferite de structurile din domeniul situațiilor de urgență prin implementarea și certificarea SR EN ISO 9001:2015 în MAI 
C. Creșterea capacitații personalului de a implementa sisteme și instrumente unitare de management al calității și performanței prin pregătirea specifică a unui număr de 432 persoane din cadrul MAI.
</t>
  </si>
  <si>
    <t>Implementarea și dezvoltarea de sisteme și standarde comune pentru optimizarea proceselor decizionale în domeniul mediului</t>
  </si>
  <si>
    <t xml:space="preserve">Obiectiv general: Consolidarea capacității instituționale a Ministerului Mediului și a structurilor aflate în subordinea și sub autoritatea acestuia prin îmbunătățirea managementului proceselor și activităților organizaționale și implementarea instrumentelor de management al calității CAF și SR EN ISO 9001:2015 în vederea eficientizării administrației publice.
Obiectivele specifice ale proiectului:
A. Elaborarea revizuirea și implementarea de proceduri unitare pentru managementul calității în conformitate cu SR EN ISO 9001:2015 la nivelul departamentelor din cadrul Ministerului Mediului și al structurilor aflate în subordinea și sub autoritatea sa, respectiv Agentia Nationala Pentru Protectia Mediului (ANPM), Administratia Nationala de Meteorologie (ANM), Garda Nationala de Mediu (GNM), Administratia Rezervatiei Biosferei „Delta Dunarii” (ARBDD).
B. Implementarea CAF ca instrument al managementului calității complementar cu SR EN ISO 9001:2015.
C. Creșterea capacității administrației publice de a gestiona în mod eficient resursele existente și de a contribui la realizarea obiectivelor propuse la nivelul Ministerului Mediului.
D. Dezvoltarea și evaluarea competențelor profesionale ale personalului în vederea coordonării instituționale și eficientizarea procesului decizional la standarde înalte. coordonarea și conducerea activităților într-un mod planificat și sistematic conform principiilor managementului calității. 
E. Desfășurarea de activități de promovare a sistemelor/instrumentelor de management al calității în vederea acordării de sprijin pentru MM și structurile aflate în subordinea și sub autoritatea ministerului.
</t>
  </si>
  <si>
    <t>Agenția Națională de Administrare a Bunurilor Indisponibilizate</t>
  </si>
  <si>
    <t>IP4/2016</t>
  </si>
  <si>
    <t>Consolidarea și eficientizarea sistemului național de recuperare a creanțelor provenite din infracțiuni</t>
  </si>
  <si>
    <t xml:space="preserve">Obiectivul general: creșterea gradului de recuperare a creanțelor provenite din infracțiuni 
Obiectiv specific al proiectului:
A. Consolidarea capacității Agenției Națională de Administrare a Bunurilor Indisponibilizate în vederea îndeplinirii eficiente și performante a misiunii instituționale prin dezvoltarea de instrumente operaționale și strategice, precum și investirea în capitalul uman.
</t>
  </si>
  <si>
    <t>IP6/2016</t>
  </si>
  <si>
    <t>Dezvoltarea unui sistem de management unitar al resurselor umane din administrația publică</t>
  </si>
  <si>
    <t xml:space="preserve">Obiectivul general: Dezvoltarea sistemului de management strategic integrat al resurselor umane astfel încât acestea să poată asigura suportul necesar unei administrații publice moderne, performante, inclusive și inovative.
Obiectivele specifice ale proiectului:
A.Dezvoltarea unor soluții fundamentate și durabile a căror aplicare să contribuie la îmbunătățirea managementului resurselor umane din România;
B. Diminuarea discrepanțelor existente în aplicarea politicilor de resurse umane, atât între diferitele categorii ale acestora, cât și între instituții publice;
C. Dezvoltarea unor mecanisme moderne și inovative de management al resurselor umane care să sprijine procesul de elaborare, implementare și evaluare a politicilor publice în domeniu;
D. Dezvoltarea unui sistem de cadre de competență corelat cu un sistem obiectiv și incluziv de recrutare și de evaluare a performanțelor individuale în concordanță cu indicatorii de performanță și politicile de salarizare pentru administrația publică;
E. Contribuție la asigurarea unui management unitar al carierei în funcția publică prin extinderea Sistemului informatic integrat de management al funcțiilor publice și al funcționarilor publici;
F. Îmbunătățirea aplicării legislației în domeniul salarizării unitare a personalului din administrația publică;
G. Îmbunătățirea coordonării și comunicării între instituțiile publice care au atribuții în domeniul managementului resurselor umane din administrația publică.
</t>
  </si>
  <si>
    <t>IP7/2017</t>
  </si>
  <si>
    <t xml:space="preserve">Consolidarea sistemelor de integritate - cea mai 
bună strategie de prevenire a corupției în administrația publică
</t>
  </si>
  <si>
    <t xml:space="preserve">Consolidarea capacității administrative a secretariatului tehnic al Strategiei Naționale Anticorupție 2016-2020 de a sprijini implementarea măsurilor anticorupție  </t>
  </si>
  <si>
    <t>Obiectivul general al proiectului îl reprezintă sprijinirea instituțiilor și autorităților din administrația publică, în realizarea celor trei obiective generale ale Strategiei Naționale Anticorupție: prevenire – combatere – educație.
Obiectivele specifice ale proiectului: 
A. Creșterea capacității administrative a instituţiilor publice de la nivel central de a preveni și a reduce corupția
B. Creșterea gradului de conștientizare a corupției în rândul cetățenilor și al personalului din instituțiile și autoritățile publice
C. Creșterea gradului de educaţie anticorupţie la nivelul personalului din autorităţile şi instituţiile publice de la nivel central.</t>
  </si>
  <si>
    <t>Agenția Națională a Funcționarilor Publici</t>
  </si>
  <si>
    <t>ETICA - Eficiență, Transparență și Interes pentru Conduita din Administrație</t>
  </si>
  <si>
    <t xml:space="preserve">Obiectivul general al proiectului:
Dezvoltarea capacității autorităților și instituțiilor publice de a promova valori precum cinste, probitate, onestitate, în special prin creşterea transparenţei, a gradului de cunoaştere şi înţelegere a standardelor etice, a eficienței aplicării instrumentelor specifice şi printr-o cultură a responsabilităţii
Obiectivele specifice ale proiectului:
A. Sprijin pentru fundamentarea deciziilor de actualizare a cadrului general pentru definirea, facilitarea aplicării și monitorizarea conformității cu normele de conduită
B. O mai bună valorificare a potențialului utilizării tehnologiilor IT în activitatea consilierilor de etică, inclusiv prin actualizarea instrumentelor existente
C. Elaborarea și inițierea implementării unei strategii de comunicare în legătură cu standardele etice și obligațiile privind conduita din administrație, pe o perioadă de 3-4 ani 
D. Un sistem coerent de abordare a cerințelor privind dezvoltarea de cunoștințe, competențe și abilități în legătură cu standardele etice și aplicarea lor ulterioară, în activitățile curente
</t>
  </si>
  <si>
    <t xml:space="preserve"> Proiect cu acoperire națională</t>
  </si>
  <si>
    <t>Bucuresti</t>
  </si>
  <si>
    <t>APC</t>
  </si>
  <si>
    <t>Valoarea eligibilă a proiectului</t>
  </si>
  <si>
    <t>AP3/  /3.1</t>
  </si>
  <si>
    <t>AP3/  /3.2</t>
  </si>
  <si>
    <t>Cod apel</t>
  </si>
  <si>
    <t>AP1/11i /1.1</t>
  </si>
  <si>
    <t>AP1/11i /1.4</t>
  </si>
  <si>
    <t xml:space="preserve">AP1/11i /1.3 </t>
  </si>
  <si>
    <t xml:space="preserve">AP1/11i /1.2 </t>
  </si>
  <si>
    <t>IP2/2015</t>
  </si>
  <si>
    <t>IP5/2016</t>
  </si>
  <si>
    <t>regiune mai dezvoltată</t>
  </si>
  <si>
    <t>regiune mai puțin dezvoltată</t>
  </si>
  <si>
    <t>n.a</t>
  </si>
  <si>
    <t>AA5/ 27.11.2017</t>
  </si>
  <si>
    <t>AA3/ 12.10.2017</t>
  </si>
  <si>
    <t>AA6/ 21.11.2017</t>
  </si>
  <si>
    <t>AA2 /14.09.2017</t>
  </si>
  <si>
    <t>Denumire parteneri</t>
  </si>
  <si>
    <t xml:space="preserve">1. Curtea de Apel București
2. Tribunalul București
3. Consiliul Superior al Magistraturii
4. Parchetul de pe lângă Înalta Curte de Casație și Justiție (Ministerul Public)
5. Direcția Națională Anticorupție
6. Direcția de Investigare a Infracțiunilor de Criminalitate Organizată și Terorism
7. Inspecția Judiciară
8.  Direcția Națională de Probațiune
</t>
  </si>
  <si>
    <t>1. I.N.C.E.</t>
  </si>
  <si>
    <t>1. ASE</t>
  </si>
  <si>
    <t xml:space="preserve">1. Ministerul Mediului Apelor și Pădurilor 
2. Institutul Naţional de Cercetare-Dezvoltare pentru Pedologie, Agrochimie și Protecţia Mediului – ICPA Bucureşti 
3. Institutul Naţional de Cercetare-Dezvoltare în Silvicultură “Marin Drăcea” 
4. Universitatea Tehnica de Constructii Bucuresti 
5. Institutul Naţional de Cercetare - Dezvoltare în Construcţii, Urbanism și Dezvoltare Teritorială Durabilă „URBAN-INCERC” 
6. Institutul Naţional de Cercetare-Dezvoltare pentru Fizica Pământului 
7. Institutul de Geografie 
8. Universitatea Babeş-Bolyai 
9. Agenţia Nucleară și pentru Deşeuri Radioactive 
10. Institutul Naţional de Sănătate Publică 
11. Autoritatea Naţională Sanitară Veterinară și pentru Siguranţa Alimentelor 
12. Institutul de Sociologie 
13. Institutul de Prognoză Economică
</t>
  </si>
  <si>
    <t>1. INCE</t>
  </si>
  <si>
    <t>1. Academia Română</t>
  </si>
  <si>
    <t>1. UEFISCDI
2. INCSMPS</t>
  </si>
  <si>
    <t>1. Scoala Națională de Studii Politice</t>
  </si>
  <si>
    <t>1. Curtea de conturi
2. Academia Română</t>
  </si>
  <si>
    <t>2. Agenția Română de Asigurare a Calității in Învățământul Superior</t>
  </si>
  <si>
    <t>1. Ministerul Public - Parchetul de pe lângă Înalta Curte de Casație și Justiție</t>
  </si>
  <si>
    <t>1. Secretariatul General al Guvernului</t>
  </si>
  <si>
    <t>1. Agenția Națională a Funcționarilor Publici</t>
  </si>
  <si>
    <t>1. Ministerul Finanțelor Publice</t>
  </si>
  <si>
    <t xml:space="preserve">1. Ministerul Afacerilor Interne
Direcţia Generală Anticorupţie
</t>
  </si>
  <si>
    <t>AA6/ 04.01.2018</t>
  </si>
  <si>
    <t>AA7/25.01.2018</t>
  </si>
  <si>
    <t>APL</t>
  </si>
  <si>
    <t>Calitate și performanță în administrația publică - Primăria municipiului Tecuci</t>
  </si>
  <si>
    <t>Consolidarea capacității instituționale a Primăriei Municipiului Turda prin implementarea sistemului de management al calității</t>
  </si>
  <si>
    <t>Calitate și performanță: strategie de management la Consiliul Județean Vaslui</t>
  </si>
  <si>
    <t>Consiliul Județean Vaslui</t>
  </si>
  <si>
    <t xml:space="preserve">Scopul proiectului: Consolidarea capacitătii administrative a (UAT) a Municipiul Tecuci, judetul Galati, din regiunea mai putin dezvoltată Sud-Est, pentru sustinerea unui management calitativ si performant prin implementarea si utilizarea a doua sisteme unitare de managenent al calitătii CAF si ISO, aplicabile administratiei locale, în concordantă cu ”Planul de actiuni pentru implementarea etapizată a managementului calitătii în autorităti si institutii publice 2016-2020”.
Obiective specifice:
OS 1. Implementarea si utilizarea instrumentului de auto-evaluare de tip CAF (Cadrul comun de autoevaluare a modului de functionare a institutiilor publice) la nivelul UAT Municipiul Tecuci pentru sustinerea schimbării in vederea obtinerii de performantă, de îmbunătăţire a modului de realizare a activităţilor şi de prestare a serviciilor publice.
OS 2. Implementarea si certificarea sistemului de management al calitătii ISO 9001 în UAT Municipiul Tecuci pentru o administratie publică locală consolidată si eficientă si îmbunătătirea serviciilor publice furnizate. Pentru a-si îmbunătăti procesul de management al calitatii la nivelul întregii organizatii, institutia va implementa noul standard de management al calitătii ISO 9001.
OS 3. Dezvoltarea/cresterea abilitătilor si certificarea unui număr de 120 de persoane din toate nivelurile ierarhice din cadrul unitătii adminsitrativ teritoriale, UAT Municipiul Tecuci.
Formarea/instruirea specifică in vederea implementarii sistemului/instrumentului de management al calitătii se va realiza ca parte a procesului de implementare al celor două sisteme.
</t>
  </si>
  <si>
    <t xml:space="preserve">Scopul proiectului: Creșterea capacității instituționale a Municipiului Turda prin introducerea sistemului de management al performanței și calității ISO 9001:2015 în cadrul UAT Municipiul Turda în vederea optimizării proceselor orientate către beneficiari, în concordanță cu Strategia pentru consolidarea administrației publice 2014-2020.
Obictivele specifice ale proiectului:
OS 1: Crearea și operaționalizarea cadrului instituțional necesar pentru implementarea sistemului de management al performantei și calității ISO 9001:2015
OS 2: Implementarea și menținerea unui sistem de evaluare a calității prestațiilor bazat pe indicatori de performanță și management adecvați 
OS 3:  Modernizarea infrastructurii și a instrumentelor de lucru în scopul eficientizării modului de derulare a activităților confom noului standard implementat
OS 4:  Creșterea nivelului de pregătire, cunoștințe și abilități ale personalului din cadrul Primăriei Municipiului Turda în domeniul managementului calității și performanței instituționale 
OS 5:  Dobândirea și menținerea calității de entitate certificată ISO 9001:2015
</t>
  </si>
  <si>
    <t>Scopul proiectului: Creșterea capacității instituționale a Municipiului Turda prin introducerea sistemului de management al performanței și calității ISO 9001:2015 în cadrul UAT Municipiul Turda în vederea optimizării proceselor orientate către beneficiari, în concordanță cu Strategia pentru consolidarea administrației publice 2014-2020.
Obictivele specifice:
OS 1: Crearea și operaționalizarea cadrului instituțional necesar pentru implementarea sistemului de management al performantei și calității ISO 9001:2015
OS 2: Implementarea și menținerea unui sistem de evaluare a calității prestațiilor bazat pe indicatori de performanță și management adecvați 
OS 3:  Modernizarea infrastructurii și a instrumentelor de lucru în scopul eficientizării modului de derulare a activităților confom noului standard implementat
OS 4:  Creșterea nivelului de pregătire, cunoștințe și abilități ale personalului din cadrul Primăriei Municipiului Turda în domeniul managementului calității și performanței instituționale 
OS 5:  Dobândirea și menținerea calității de entitate certificată ISO 9001:2015</t>
  </si>
  <si>
    <t>Cluj</t>
  </si>
  <si>
    <t>Turda</t>
  </si>
  <si>
    <t>Tecuci</t>
  </si>
  <si>
    <t>Vaslui</t>
  </si>
  <si>
    <t>Galați</t>
  </si>
  <si>
    <t>APT_SMC – Administrație Publică eficienTă prin Sistem de Management al Calității</t>
  </si>
  <si>
    <t>Judeţul Dâmbovița</t>
  </si>
  <si>
    <t>Dâmbovița</t>
  </si>
  <si>
    <t>ISO 9001:2015  - Dovada calității în activitatea Consiliului Județean Mureș</t>
  </si>
  <si>
    <t>Judeţul Mureş</t>
  </si>
  <si>
    <t xml:space="preserve">Obiectiv general: este eficientizarea activităţii Consiliului Judeţean Mureş prin implementarea în activitatea curentă a unui instrument de management al calităţii recunoscut internaţional pentru furnizarea de servicii publice, care să vină în aşteptarea beneficiarilor.
Obiectivele specifice ale proiectului sunt:
1. Introducerea  la nivelul Consiliului Judeţean Mureş a sistemului de management al calităţii ISO 9001:2015 
2. Dezvoltarea abilităţilor şi cunoştinţelor  personalului de conducere şi execuţie din aparatul de specialitate al Consiliului Judeţean Mureş, pentru înţelegerea, aplicarea, dezvoltarea şi menţinerea sistemului de management, conform cerinţelor standardului.
3. Dezvoltarea unui sistem informatic care să eficientizeze legătura între responsabilii cu managementul calităţii din cadrul fiecărei structuri organizatorice a Consiliului Judeţean Mureş
</t>
  </si>
  <si>
    <t>Târgu Mureș</t>
  </si>
  <si>
    <t>Mureș</t>
  </si>
  <si>
    <t>AA2/ 13.12.2017</t>
  </si>
  <si>
    <t>Municipiul Râmnicu Sărat</t>
  </si>
  <si>
    <t>Servicii publice de calitate oferite de administrația publică locală a Municipiului Râmnicu Sărat</t>
  </si>
  <si>
    <t>Performanță în serviciile de administrație publică locală ale Municipiului Pitești</t>
  </si>
  <si>
    <t xml:space="preserve">Obiectivul general al proiectului îl constituie consolidarea capacității administrative a Unității administrativ teritoriale (UAT) Municipiul Râmnicu Sărat, județul Buzău, din regiunea mai puțin dezvoltată Sud-Est, pentru susținerea unui management performant și calitativ prin implementarea și utilizarea a două sisteme unitare de managenent al calității CAF și ISO, aplicabile administrației locale, în concordanță cu ”Planul de acțiuni pentru implementarea etapizată a managementului calității în autorități și instituții publice 2016-2020”.
OS 1. Implementarea și utilizarea instrumentului de auto-evaluare de tip CAF la nivelul UAT Municipiul Râmnicu Sărat pentru sprijinirea schimbării pentru performanță, îmbunătăţirea modului de realizare a activităţilor şi de prestare a serviciilor publice.
OS 2. Implementarea și recertificarea sistemului de management al calității ISO 9001 în UAT Municipiul Râmnicu Sărat pentru o administrație publică locală consolidată și eficientă și îmbunătățirea serviciilor publice furnizate.
OS 3. Dezvoltarea/creșterea abilităților și certificarea unui număr de 80 de persoane din toate nivelurile ierarhice din cadrul aparatului propriu de specialitate al primarului municipiului Râmnicu Sărat pe teme specifice în scopul implementării unui management al calității și performanței și utilizarea managementului calității.
</t>
  </si>
  <si>
    <t>Argeș</t>
  </si>
  <si>
    <t>Târgoviste</t>
  </si>
  <si>
    <t>Pitești</t>
  </si>
  <si>
    <t xml:space="preserve">Obiectiv general: introducerea de sisteme si standarde comune în Primăria Muncipiului Pitești ce optimizează procesele orientate către beneficiari în concordanță cu SCAP, în vederea îmbunătățirii managementului performanței și a calității serviciilor oferite.
Obiectivele specifice ale proiectului sunt:
1. Creșterea capacității Primăriei Municipiului Pitești prin implementarea unui sistem de management al performanței și calității corelat cu Planul de acțiune pentru prioritizarea și etapizarea implementării managementului calității. 
2. Imbunătățirea    competențelor personalului de conducere si execuție din Primăria Municipiului Pitești
</t>
  </si>
  <si>
    <t>Optimizarea proceselor orientate către cetăţeni prin implementarea Instrumentului CAF la nivelul Primăriei Municipiului Bistriţa</t>
  </si>
  <si>
    <t>Municipiul Bistriţa</t>
  </si>
  <si>
    <t>Consolidarea capacității administrative a Municipiului Băilești</t>
  </si>
  <si>
    <t>Municipiul Băilești</t>
  </si>
  <si>
    <t>Obiectivul general: Dezvoltarea capacității administrative a Unității administrativ teritoriale (UAT) Municipiul Băilești, județul Dolj prin susținerea unui management public performant bazat pe utilizarea sistemelor ISO și intrumentului CAF în cadrul administrației locale și pe perfecționarea personalului angajat și a aleșilor în domeniu managementului calității, în concordanță cu Strategia pentru consolidarea administrației publice 2014-2020 și Planul de acțiuni pentru implementarea etapizată a managementului calității în autorități și instituții publice 2016-2020.                                                                     OS1. Implementarea și utilizarea instrumentului de auto-evaluare de tip CAF (Cadrul comun de autoevaluare a modului de funcționare a instituțiilor publice) la nivelul UAT Municipiul Băilești pentru consolidarea serviciilor oferite beneficiarilor.  
OS2. Implementarea și certificarea sistemului de management al calității ISO 9001 în UAT Municipiul Băilești pentru o administrație publică eficientă, transparentă și adaptată nevoilor comunității locale.
OS3. Dezvoltarea cunoștiințelor și abilităților unui număr de 120 de persoane de la nivelul UAT Municipiul Băilești în vederea sprijinirii măsurilor vizate de un management al calității și performanței dezvoltate.</t>
  </si>
  <si>
    <t>Bailești</t>
  </si>
  <si>
    <t>Management performant în administrația publică din municipiul Vulcan</t>
  </si>
  <si>
    <t>Municipiul Vulcan</t>
  </si>
  <si>
    <t>Îmbunătățirea managementului calității în Municipiul Sebeș</t>
  </si>
  <si>
    <t>Municipiul Sebeș</t>
  </si>
  <si>
    <t xml:space="preserve">Obiectivul general: Consolidarea capacității administrative a Unității administrativ teritoriale (UAT) Municipiul Vulcan, județul Hunedoara pentru susținerea unui management performant prin introducerea  și utilizarea sistemelor ISO și intrumentului CAF aplicabile administrației locale, în concordanță cu ”Planul de acțiuni pentru implementarea etapizată a managementului calității în autorități și instituții publice 2016-2020”.                      OS1. Implementarea și utilizarea instrumentului de auto-evaluare de tip CAF (Cadrul comun de autoevaluare a modului de funcționare a instituțiilor publice) la nivelul UAT Municipiul Vulcan pentru creșterea performanței în administrația publică locală și îmbunătățirea serviciilor publice pentru comunitate.
OS2. Implementarea și certificarea sistemului de management al calității ISO 9001 în UAT Municipiul Vulcan pentru o administrație publică eficientă, transparent și adaptată nevoilor comunității locale.
OS3. Dezvoltarea cunoștiințelor și abilităților unui număr de 120 de persoane de la nivelul UAT Municipiul Vulcan în vederea utilizării unui management al calității și performaței la nivelul autorității publice locale.
</t>
  </si>
  <si>
    <t>Vulcan</t>
  </si>
  <si>
    <t>Sebeș</t>
  </si>
  <si>
    <t>Gheorgheni</t>
  </si>
  <si>
    <t>Bistrița-Năsăud</t>
  </si>
  <si>
    <t xml:space="preserve">Dolj </t>
  </si>
  <si>
    <t xml:space="preserve">Hunedoara </t>
  </si>
  <si>
    <t xml:space="preserve">Alba </t>
  </si>
  <si>
    <t>Harghita</t>
  </si>
  <si>
    <t>Performanța în administrația publică din Municipiul Săcele - P.A.P.S.</t>
  </si>
  <si>
    <t>Municipiul Săcele</t>
  </si>
  <si>
    <t>Obiectivul general al proiectului il constituie implementarea si certificarea sistemului unitar de management al calitatii ISO 9001:2015,
aplicabil administratiei publice locale, inclusiv formarea specifica a personalului contractual si a functionarilor publici din cadrul Unitatii
Administrativ-Teritoriale Municipiul Sacele, in vederea cresterii performantei actului administrativ.                                                                                                  OS1. Implementarea si certificarea sistemului de management al calitatii ISO 9001:2015 la nivelul Unitatii Administrativ-Teritoriale
Municipiul Sacele in vederea optimizarii proceselor orientate catre beneficiari. Acest obiectiv specific se va realiza pornind de la:
- analiza modului de functionare a organizatiei publice, de la procese/activitati la rezultatele obtinute,
- definirea masurilor concrete de imbunatatire,
- revizuirea operatiilor, proceselor si activitatilor, elaborarea procedurilor de sistem in concordanta cu cerintele Ordinului nr.
400/2015
- implementarea de masuri corective si actiuni inovative care vor asigura cresterea calitatii actului administrativ si a satisfactiei
cetatenilor si mediului exterior (ONG-uri, agenti economici, institutii publice si alte organizatii).
OS2. Promovarea performantei in administratia publica locala, prin perfectionarea unui numar de 100 de angajati contractuali si
functionari publici din cadrul Unitatii Administrativ-Teritoriale Municipiul Sacele in 7 domenii si anume: Managementul calitatii si al
performantei in administratia publica, Control managerial intern, Management si planificare strategica, Comunicare institutionala,
Instruirea responsabililor de procese pentru cunoasterea cerintelor standardului ISO 9001:2015, Auditor intern pentru sistemul de
management al calitatii si Politici publice locale (fundamentare, elaborare, implementare, monitorizare si evaluare a deciziilor la
nivelul administratiei publice locale).
OS3. Imbunatatirea cunostintelor si abilitatilor profesionale ale personalului din aparatul de specialitate al Unitatii Administrativ-
Teritoriale Municipiul Sacele prin participarea la 10 sesiuni de formare personalizate si anume: Managementul calitatii si al
performantei in administratia publica - 1 sesiune/37 participanti, Control managerial intern - 1 sesiune/12 participanti, Management si
planificare strategica - 1 sesiune/17 participanti, Comunicare institutionala - 3 sesiuni/61 participanti, Instruirea responsabililor de
procese pentru cunoasterea cerintelor standardului ISO 9001:2015 - 2 sesiuni/41 participanti, Auditor intern pentru sistemul de
management al calitatii - 1 sesiune/4 participanti si Politici publice locale (fundamentare, elaborare, implementare, monitorizare si
evaluare a deciziilor la nivelul administratiei publice locale) - 1 sesiune/27 participanti.</t>
  </si>
  <si>
    <t>Brașov</t>
  </si>
  <si>
    <t>Săcele</t>
  </si>
  <si>
    <t>Planificare strategică și management al performanței la nivelul Municipiului Arad prin instrumentul Balanced Scorecard – Tablou de Bord Echilibrat</t>
  </si>
  <si>
    <t>Municipiul Arad</t>
  </si>
  <si>
    <t>Arad</t>
  </si>
  <si>
    <t>Gorj</t>
  </si>
  <si>
    <t>Tg. Jiu</t>
  </si>
  <si>
    <t>OPTIMIZAREA PERFORMANȚEI SISTEMELOR INTERNE MANAGERIALE</t>
  </si>
  <si>
    <t xml:space="preserve">Optimizarea și eficientizarea proceselor orientate către cetățeni, în concordanță cu Strategia pentru Consolidarea Administrației Publice, prin introducerea sistemelor comune de calitate și performanță, în cadrul Consiliului Județean Gorj și a 4 instituții subordonate.
Obiectiv specific 1 Implementarea unui sistem unitar de management al calității și performanței (în  conformitate cu Planul de acțiune pentru prioritizarea și etapizarea implementării managementului calității) la nivelul Consiliului Județean Gorj și a 4 instituții subordonate;
Obiectiv specific 2 Dezvoltarea abilităților unui număr de 55 participanți din cadrul Consiliului Județean Gorj și 4 instituții publice subordonate în domeniile: implementării sistemelor de management al calității (CAF, ISO), control managerial intern.
</t>
  </si>
  <si>
    <t>Implementarea cadrului comun de auto-evaluare - garanția unei administrații eficiente în slujba cetățeanului</t>
  </si>
  <si>
    <t>Implementarea unui sistem de management al performanței și calității în Primăria municipiului Huși, județul Vaslui</t>
  </si>
  <si>
    <t>Sistem de management al performanței și calității în cadrul Primăriei Municipiului Vaslui SMC-BSC</t>
  </si>
  <si>
    <t>Consiliul Județean Ialomița</t>
  </si>
  <si>
    <t>Obiectivul general al proiectului îl reprezintă optimizarea proceselor orientate către beneficiari în concordanță cu SCAP prin introducerea sistemului C.A.F. si instruirea personalului la nivelul Consiliului Judetean Ialomita în scopul implementarii unitare a managementului calităţii şi performantei în administraţia publică locală.
Obiectiv specific 1: Îmbunătăţirea managementului calităţii în Consiliul Judeţan Ialomiţa prin introducerea standardului CAF într-un interval de 16 luni. 
Obiectiv specific 2: Creşterea capacităţii personalului din Consiliului Judeţean Ialomiţa de a implementa sistemul C.A.F., prin realizarea instruirilor pentru minim 20 persoane, a schimbului de experienţă pentru 15 persoane şi a campaniilor de promovare la scară largă cu privire la beneficiile intoducerii sistemului C.A.F.
Obiectiv specific 3: Dezvoltarea şi perfecţionarea cunoştinţelor şi a abilităţilor în domeniul dezvoltării durabile şi a egalităţii de şanse pentru minim  30 persoane din Consiliului Judeţean Ialomiţa iîntr-un interval de 2 luni, cu scopul aplicării acestor concepte în organizaţie pentru un management al calităţii mai bun.</t>
  </si>
  <si>
    <t>Ialomița</t>
  </si>
  <si>
    <t>Slobozia</t>
  </si>
  <si>
    <t>Huși</t>
  </si>
  <si>
    <t>Obiectivul general al proiectului este reprezentat de implementarea unor sisteme integrate de management al calitătii și performanței în vederea optimizării proceselor decizionale și de sprijin a cetătenilor, susținut de o dezvoltare a abilitătilor personalului de la nivelul solicitantului.
OS.1 Elaborarea, dezvoltarea, implementarea și menținerea unui Sistem de Management al Calității în conformitate cu prevederile Standardului ISO 9001:2015 care să conducă la creșterea calității, eficienței și a transparenței serviciilor oferite precum și dezvoltarea unui proces de monitorizare și de evaluare a impactului net al serviciilor oferite.
OS.2 Elaborarea, dezvoltarea și implementarea unor sisteme de management al performanței în baza Balance ScoreCard.
OS.3 Dezvoltarea abilităților specifice ale personalului public în domeniul managementului calității în vederea elaborării, implementării și menținerii unor sisteme de management al calității și performanței la nivelul Municipiului Huşi astfel încât să se mențină la standarde europene calitatea serviciilor acordate. 
OS.4 Dezvoltarea de noi abilități ale personalului în vederea optimizării proceselor decizionale orientate către cetățeni.</t>
  </si>
  <si>
    <t>Obiectivul general al proiectului constă în implementarea unor sisteme integrate de management al calități și performanței pentru optimizarea proceselor decizionale și de sprijin a cetăţenilor, și dezvoltarea abilităților personalului de la nivelul solicitantului.
OS.1 Elaborarea, dezvoltarea, implementarea și menținerea unui Sistem de Management al Calității în conformitate cu prevederile Standardului ISO 9001:2015 care să conducă la creșterea calității, eficienței și a transparenței serviciilor oferite precum și dezvoltarea unui proces de monitorizare și de evaluare a impactului net al serviciilor oferite.
OS.2 Elaborarea, dezvoltarea și implementarea unor sisteme de management al performanței în baza Balance Score Card.
OS.3 Dezvoltarea abilităților specifice ale personalului public în domeniul managementului calității în vederea elaborării, implementării și menținerii unor sisteme de management al calității și performanței la nivelul Municipiului Vaslui astfel încât să se mențină la standarde europene calitatea serviciilor acordate. 
OS.4 Dezvoltarea de noi abilități ale personalului în vederea optimizării proceselor decizionale orientate către cetățeni.</t>
  </si>
  <si>
    <t>Imbunătățirea procesului de management în cadrul UAT Municipiul Drobeta Turnu Severin</t>
  </si>
  <si>
    <t>UAT Municipiul Drobeta Turnu Severin</t>
  </si>
  <si>
    <t>Drobeta Turnu Severin</t>
  </si>
  <si>
    <t>Mehedinți</t>
  </si>
  <si>
    <t>JUDEȚUL GORJ</t>
  </si>
  <si>
    <t>CALITATE = EFICIENTA = PERFORMANTA</t>
  </si>
  <si>
    <t>Asigurarea managementului performantei si calitatii in Municipiul Ploiesti</t>
  </si>
  <si>
    <t xml:space="preserve">Asociatia "PartNET – Parteneriat pentru Dezvoltare Durabila" </t>
  </si>
  <si>
    <t xml:space="preserve">Obiectivul general al proiectului il constituie introducerea/extinderea de sisteme, instrumente si procese de managementul calitatii si performantei, precum ISO 9001:2015 si CAF, la nivelul Municipiului Ploiesti, a serviciilor descentralizate si subordonate, prin imbunatatirea durabila a eficacitatii managementului la nivel local, prin furnizarea unor inalte standarde de cunostinte si expertiza pentru functionarii publici din cadrul Primariei. 
Obiectivele specifice ale proiectului:
OS 1: Extinderea sistemului de management al calitatii ISO 9001:2015 la nivelul Municipiului Ploiesti, serviciilor descentralizate si subordonate
OS 2: Introducerea si implementarea unui sistem de management al calitatii si performantei CAF la nivelul Municipiului Ploiesti, serviciilor descentralizate si subordonate
OS 3: Dezvoltarea abilitatilor si cunostintelor a 50 de persoane din personalul Municipiului Ploiesti, serviciilor descentralizate si subordonate, pentru asigurarea managementului calitatii si performantei la nivel local
</t>
  </si>
  <si>
    <t>Prahova</t>
  </si>
  <si>
    <t>Ploiesti</t>
  </si>
  <si>
    <t>Calitate, competență, performanță în Consiliul Județean Cluj</t>
  </si>
  <si>
    <t>UAT CLUJ</t>
  </si>
  <si>
    <t xml:space="preserve">Obiectivul general al proiectului îl reprezinta implementarea unui sistem de management al calității (ISO) care sa genereze performanta la nivelul Unității Administrativ-Teritoriale Județul Cluj, în relația cu cetățeanul.
Obiectivele specifice ale proiectului:
OS 1: Dezvoltarea noului sistem de calitate ISO 9001:2015 la nivelul tuturor structurilor din cadrul Unității Administrativ Teritoriale
Județul Cluj
OS2: Dezvoltarea abilitaților personalului din cadrul Unității Administrativ-Teritoriale Județul Cluj în domeniile auditor calitate si control managerial intern.
</t>
  </si>
  <si>
    <t xml:space="preserve">Obiectivul general al proiectului consta asadar in imbunatatirea procesului de management al calitatii UAT Municipiul Drobeta Turnu
Severin. Acest obiectiv vine in sprijinul atingerii obiectivului specific al axei 2 si anume acela al sustinerii unui management performant la
nivelul autoritatilor si institutiilor publice locale prin introducerea de sisteme si standarde comune in adminsitratia publica locala                          Obiectivele specifice ale proiectului sunt:
OS1: dezvoltarea capacitatii manageriale in maxim 16 luni prin utilizarea de metode, tehnici si proceduri caracteristice unui
management public modern, bazat pe performanta.
OS2: profesionalizarea activitatilor desfasurate in cadrul UAT Municipiul Drobeta Turnu Severin in 16 luni prin dezvoltarea
capacitatii personalului de conducere si de executie, functionari publici si contractuali, indiferent de varsta, sex, etnie.
OS3: schimbarea valorilor si modului de actiune prin transfer direct in cadrul celor doua vizete de studiu in institutii publice europene
dar si celor doua vizite de studiu in tara in maxim 16 luni.
</t>
  </si>
  <si>
    <t>DEZVOLTAREA UNUI MANAGEMENT PERFORMANT ÎN CADRUL PRIMĂRIEI SECTOR 4 BUCUREȘTI PRIN OPTIMIZAREA PROCESELOR ORIENTATE CĂTRE BENEFICIARI ȘI PREGĂTIREA RESURSELOR UMANE</t>
  </si>
  <si>
    <t>București</t>
  </si>
  <si>
    <t>Sistem de management integrat la standarde europene pentru administrația județului Brașov</t>
  </si>
  <si>
    <t>Brasov</t>
  </si>
  <si>
    <t xml:space="preserve">Obiectivul general: Dezvoltarea unui management performant la nivelul Primăriei Sector 4 București, în vederea creșterii calității, eficienței, transparenței și integrității serviciilor publice oferite cetățenilor, instituţiilor administraţiei publice centrale şi locale, operatorilor economici privaţi şi organismelor neguvernamentale cu care relaţionează în spiritul dezvoltării durabile, egalităţii de şanse, prin actualizarea și recertificarea standardului ISO 9001/2015.                                                                                                                                          
OS.1. Îmbunătățirea furnizării serviciilor publice la nivelul Primăriei Sector 4 prin reevaluarea, actualizarea și menținerea permanentă a Standardului de Calitate;
OS.2. Optimizarea proceselor orientate către beneficiarii serviciilor publice, în urma analizei realizate, prin implementarea unui instrument managerial și Integrarea procedurală cu Sistemul de Control Intern/Managerial din cadrul primăriei, în sensul adoptării unor proceduri unitare care să le completeze pe cele existente.
OS.3. Dezvoltarea cunoștințelor și abilităților profesionale grupului țintă prin participarea la cursuri de formare și instruire pe teme specifice.
OS.4. Creșterea transparenței actului public prin organizarea unor acțiuni de diseminare a rezultatelor proiectului, cuprinzând și module de dezvoltare durabilă și egalitate de șanse.
</t>
  </si>
  <si>
    <t xml:space="preserve">Obiectivul general: Îmbunatatirea procesului de furnizare a serviciilor oferite de administratia publica locala din judetul Brasov - în special CJ Brasov - prin introducerea si utilizarea de instrumente de management al calității performantei în administrația publica – CAF si ISO.
Obiectivele specifice ale proiectului:
OS1: Îmbunătățirea managementului calității în instituia Consiliul Județean Brasov prin introducerea si utilizarea a doua instrumente de management al calității si performantei - ISO si CAF - în concordanta cu Planul de acțiuni pentru implementarea etapizata a managementului calității în autoritari si instituii publice 2016-2020 si SCAP
2. OS2: Dezvoltarea de abilitai specifice privind planificarea strategica si bugetara, politici publice locale, fundamentare, elaborare, implementare, monitorizare si evaluare a deciziilor la nivelul administrației publice locale din județul Brasov prin instruirea a 38 de persoane din aparatul de specialitate al Consiliului Județean Brasov
3. OS3: Cresterea gradului de informare si constientizare a personalului, din administrația publica locala a județului Brasov – din cadrul CJ Brasov, consilieri județeni, reprezentanți ai instituțiilor din subordinea CJBV, reprezentanți ai UAT-urilor din judet si reprezentanți ai ADDJB, cu privire la importanta si beneficiile utilizarii de instrumente de management al performantei si calității în administrația publica – ISO si CAF
</t>
  </si>
  <si>
    <t>Implementarea unui sistem de management performant pentru îmbunătățirea proceselor interne și creșterea calității serviciilor Primăriei Municipiului Caracal</t>
  </si>
  <si>
    <t>Municipiul Caracal</t>
  </si>
  <si>
    <t>Olt</t>
  </si>
  <si>
    <t>Caracal</t>
  </si>
  <si>
    <t>CP 2/2017 (MySMIS: POCA/111/1/1)</t>
  </si>
  <si>
    <t>CONSILIUL NAȚIONAL AL INTREPRINDERILOR PRIVATE MICI ȘI MIJLOCII DIN ROMÂNIA</t>
  </si>
  <si>
    <t>Proiect cu acoperire națională</t>
  </si>
  <si>
    <t>Sectorul 1</t>
  </si>
  <si>
    <t>ONG</t>
  </si>
  <si>
    <t>AA5 /08.03.2018</t>
  </si>
  <si>
    <t>CP4 more /2017</t>
  </si>
  <si>
    <t>CP4 less /2017</t>
  </si>
  <si>
    <t>Management performant la nivelul Primăriei Mangalia</t>
  </si>
  <si>
    <t>Municipiul Mangalia</t>
  </si>
  <si>
    <t>Constanța</t>
  </si>
  <si>
    <t>Mangalia</t>
  </si>
  <si>
    <t>CETATE.Caransebeş, Eficient şi Tânăr prin Administrare Transparentă şi Economică</t>
  </si>
  <si>
    <t>Asociația Română pentru Transparență</t>
  </si>
  <si>
    <t xml:space="preserve">Obiectiv general - Implementarea unui sistem de management al calităţii unitar şi eficient, prin standardizarea proceselor de lucru, elaborarea de instrumente specifice de lucru, certificarea ISO 9001:2015 şi dezvoltarea abilităţilor personalului din cadrul Primăriei Municipiului Caransebeş, în scopul optimizării proceselor orientate către beneficiari şi dezvoltării capacităţii instituţionale.                                                                                                                                                                                                                                                                                                                                                                                                                                                                                                                 OS1. Standardizarea proceselor de lucru la nivelul Primăriei Municipiului Caransebeş, pe baza modelelor de bună practică şi a lecţiilor învăţate prin networking, precum şi corelarea cu standardele ISO 9001:2015, în vederea optimizării proceselor orientate către beneficiari în concordanţă cu SCAP.
OS2.Îmbunătăţirea cunoştinţelor şi abilităţilor a 40 de persoane, reprezentând personalul din cadrul Primăriei Municipiului Caransebeş privind implementarea, respectarea şi actualizarea continuă a standardelor de management al calităţii, prin sesiunile de formare profesională, în vederea sprijinirii introducerii sistemului de management al calităţii unitar şi eficient.
OS3. Creşterea gradului de informare şi conştientizare a cetăţenilor cu privire la îmbunătăţirile pe care Primăria Municipiului Caransebeş le face pentru dezvoltarea capacităţii instituţionale cu efecte pozitive pentru serviciile/procesele puse la dispoziţia beneficiarilor.
</t>
  </si>
  <si>
    <t>Caraș-Severin</t>
  </si>
  <si>
    <t>Caransebeș</t>
  </si>
  <si>
    <t>Municipiul Bacău</t>
  </si>
  <si>
    <t>Asociatia PartNET – Parteneriat pentru Dezvoltare Durabila</t>
  </si>
  <si>
    <t xml:space="preserve">Obiectivul general al proiectului il constituie introducerea/extinderea de sisteme, instrumente si procese de managementul calitatii si performantei, precum ISO 9001:2015 si CAF, la nivelul Municipiului Bacau, a serviciilor descentralizate si subordonate, prin imbunatatirea durabila a eficacitatii managementului la nivel local, prin furnizarea unor inalte standarde de cunostinte si expertiza pentru functionarii publici din cadrul Primariei. Pregatirea corespunzatoare a grupului tinta va sprjini activitatile de dezvoltare si de sustinere a unui management performant, prin dezvoltarea practicilor de management si prin consolidarea unei capacitati sustinute de formare pentru administratia publica din Municipiul Bacau.
Proiectul isi propune sa raspunda nevoilor identificate in cadrul Primariei prin actualizarea sistemului de management al Primariei, in vederea alinierii sale la standardele si exigentele europene, precum si crearea unei administratii publice moderne. 
</t>
  </si>
  <si>
    <t>Bacău</t>
  </si>
  <si>
    <t xml:space="preserve">Obiectivul general al proiectului este îmbunătățirea performanței organizaționale prin implementarea Instrumentului de auto-evaluare a modului de funcţionare a instituțiilor administrației publice –CAF- în administrația publică pentru instituţia Consiliul Județean Sălaj. 
Obiectivele specifice ale proiectulu sunt:
1. Creșterea eficienței serviciilor oferite de către administrația publică prin formarea/instruirea a 50 de angajați de la nivelul Consiliui Județean Sălaj care vor urma programe de formare/instruire certificate în domeniul CAF; 
2. Creşterea capacităţii personalului de a contribui la auto-evaluare prin implicarea acestuia în identificarea domeniilor deficitare unde trebuie să se intervină, precum şi în propunerea de soluţii concrete pentru îmbunătăţirea/eficientizarea activităţii în domeniile respective.
3. Dezvoltarea instrumentelor de comunicare internă şi informare precum şi a instrumentelor şi procedurilor CAF în vederea îmbunătăţirii continue a modului de funcţionare a organizaţiei şi a serviciilor furnizate de aceasta şi realizarea planului de îmbunătăţiri a proceselor organizaţionale în urma aplicării instrumentelor de autoevaluare.
</t>
  </si>
  <si>
    <t>Sisteme de management performant pentru Consiliul Județean Sălaj</t>
  </si>
  <si>
    <t>Municipiul Zalău</t>
  </si>
  <si>
    <t>na</t>
  </si>
  <si>
    <t>Zalău</t>
  </si>
  <si>
    <t>Consiliul Județean Sălaj</t>
  </si>
  <si>
    <t>NA</t>
  </si>
  <si>
    <t>Sălaj</t>
  </si>
  <si>
    <t xml:space="preserve">Obiectivul general al proiectului constă în Îmbunătătirea performantei organizationale la nivelul UAT Municipiul Zalău prin implementarea instrumentului de auto-evaluare a modului de funcţionare a institutiilor administratiei publice, CAF, la nivelul Primăriei Municipiului Zalău/PMZ și structurilor subordonate Consiliului Local Zalău (Poliției Locale Zalău și Direcției de Asistență Socială Comunitară Zalău/DASC).
Obiectivele specifice ale proiectulu sunt:
1. Dezvoltarea capacitații personalului de a implementa si imbunatati un instrument unitar de management al calitătii și performantei cu scop de crestere a eficientei serviciilor oferite de către administratia publică prin instruirea unui număr de 109 angajați de la nivelul Primăria Municipiului Zalău/PMZ si structurilor subordonate Consiliului Local (Politia Locală Zalău si Directia de Asistenta Sociala Comunitara Zalău/DASC) care vor urma programe de formare/instruire în domenii specifice;
2. Asigurarea vizibilității și promovarea proiectului și a finanțatorului;
3. Promovarea principiilor orizontale.
</t>
  </si>
  <si>
    <t>Alba Iulia ISO Smart</t>
  </si>
  <si>
    <t>Alba Iulia</t>
  </si>
  <si>
    <t>ALBA</t>
  </si>
  <si>
    <t>Creșterea capacității Federației naționale a sindicatelor muncii și protecției sociale și a membrilor acesteia în formularea de politici publice alternative în domeniul protecției muncii</t>
  </si>
  <si>
    <t>BUCUREȘTI</t>
  </si>
  <si>
    <t>Cultura alternativă</t>
  </si>
  <si>
    <t>ASOCIATIA CULTURALA "FLOWER POWER"</t>
  </si>
  <si>
    <t xml:space="preserve">Obiectivul general al proiectului reprezinta consolidarea capacitații ONG-urilor si a actorilor relevanți din domeniul cultural de a iniția, promova, implementa si monitoriza politici publice adaptate contextului cultural actual din România în vederea îmbunatațirii si sincronizarii acestuia cu mediul cultural european si internațional.
Obiectivul Specific nr. 1 - Monitorizarea si evaluarea politicilor publice existente din domeniul cultural si a gradului de aplicabilitate a acestora în România în vederea realizarii de propuneri de politici publice alternative care sa conduca la sincronizarea mediului cultural, național cu cel european si internațional.
2. Obiectivul Specific nr. 2 - Capacitarea ONG – urilor si a actorilor relevanți din domeniul cultural românesc în inițierea, elaborarea, promovarea si implementarea de politici publice alternative prin realizarea de activitați de formare a 20 de membri ai Asociației Culturale "Flower Power" si derularea de acțiuni de consultare cu actori relevanți la nivel național, în vederea cresterii gradului de implicare a acestora în procesele decizionale.
3. Obiectivul Specific nr. 3 - Formularea unei propuneri alternative la politicile publice bazata pe problemele reale identificate prin intermediul evaluarilor realizate care sa conduca la îmbunatațirea Statutului Artistului si sincronizarea mediului cultural românesc cu cel european si internațional.
4. Obiectivul Specific nr. 4 - Promovarea propunerii alternative la politicile publice dezvoltata în vederea adoptarii/aprobarii acestora de catre Guvern si a implementarii acesteia în sistemul cultural național.
</t>
  </si>
  <si>
    <t>Asistență socială unitară și eficientă în serviciile pentru protecția copilului</t>
  </si>
  <si>
    <t>FUNDATIA PENTRU DEZVOLTAREA SERVICIILOR SOCIALE</t>
  </si>
  <si>
    <t xml:space="preserve">Consolidarea interventiei asistentului social prin crearea unui set unic de metode, proceduri, tehnici si instrumente de lucru pentru serviciile sociale destinate protectiei copilului, ca propunere alternativa la politicile publice initiate de Guvern in domeniul protectiei copilului
1. Dezvoltarea ca politica alternativa a unui set unic de metode, proceduri, tehnici si instrumente de lucru pentru serviciile sociale destinate protectiei copilului, prin implicarea ONG-urilor si partenerilor sociali
2. Formarea a 75 de specialisti - asistent sociali din ONG-uri si parteneri sociali instruiti pentru dezvoltarea cunostintelor si abilitatilor in vederea formularii si promovarii de propuneri alternative la politicile publice initiate de Guvern in domeniul serviciilor sociale
destinate protectiei copilului
3. Promovarea politicii publice alternative ca masura de eficientizare a serviciilor sociale din domeniul protectiei si promovarii drepturilor copilului
</t>
  </si>
  <si>
    <t>RADiS - Reforma Administrativă prin Dialog Social”</t>
  </si>
  <si>
    <t>Asociația pentru Reformă în Administrație și Transparență Decizională</t>
  </si>
  <si>
    <t>Federația Sindicală a Statisticienilor din România</t>
  </si>
  <si>
    <t>Politici publice pentru Educație (EDUPOL)</t>
  </si>
  <si>
    <t>Asociația Centrul Syene pentru Educație</t>
  </si>
  <si>
    <t>Asociația pentru Promovarea Economiei Cunoașterii</t>
  </si>
  <si>
    <t xml:space="preserve"> O societate civila implicata in sistemul de sanatate si protectie sociala</t>
  </si>
  <si>
    <t>FEDERAȚIA UNIUNEA NAȚIONALĂ A ORGANIZAȚIILOR PERSOANELOR AFECTATE DE HIV/SIDA (UNOPA)</t>
  </si>
  <si>
    <t>NOSTRA - Noi standarde comune în administrația publică centrală din domeniul sănătății sexuale și reproductive</t>
  </si>
  <si>
    <t>Asociația Medicilor Rezidenți</t>
  </si>
  <si>
    <t>Asociatia ACCEPT</t>
  </si>
  <si>
    <t>ONG21. Participarea ONG-urilor la politica de Educație pentru dezvoltarea durabilă</t>
  </si>
  <si>
    <t>Asociatia REPER21</t>
  </si>
  <si>
    <t>Fundatia pentru Dezvoltarea Societatii Civile </t>
  </si>
  <si>
    <t>Cresterea capacitatii societatii civile din Romania de a promova politici publice in sistemul de sanatate si al protectiei sociale
Pe perioada proiectului aplicantul si-a dezvoltat competente in aria formularii si promovarii de propuneri alternative la politicile publice, initiate de autoritati, in domeniul sanatatii si al protectiei sociale.
Pe perioada proiectului a fost operationalizata o retea de asociatii de pacienti si parteneri sociali care monitorizeaza politicile publice initiate de autoritati in domeniul sanatatii si al protectiei sociale, in directia evaluarii si elaborarii de propuneri alternative 
Pe perioada proiectului aplicantul a fost sprijinit pentru elaborarea de propuneri alternative politicilor publice initiate de autoritati in sensul rezolvarii de probleme specifice domeniului lui de activitate.</t>
  </si>
  <si>
    <t>Sisteme de management performant pentru Primăria Cluj-Napoca</t>
  </si>
  <si>
    <t>Obiectivul general al proiectului: Îmbunătătirea performantei organizationale prin implementarea instrumentului de auto-evaluare a modului de funcţionare a institutiilor administratiei publice, CAF,  la nivelul Primăriei Municipiului CLUJ-NAPOCA/PRIMARIA CLUJ-NAPOCA, Politia Locala, structurilor subordonate Consiliului Local CLUJ-NAPOCA (Direcției de Asistență Socială Comunitară CLUJ-NAPOCA/DASM) și imbunatatirea  sistemului de asigurare a calitatii în Primăria Municipiului CLUJ-NAPOCA
Obiectivele specifice ale proiectului:
1. Dezvoltarea capacitații personalului de a implementa sisteme și instrumente unitare de management al calitătii şi al performantei cu scop de crestere a eficientei serviciilor oferite de către administratia publică prin instruirea/perfectionarea competentelor a unui număr de 50 de angajați de la nivelul Primăria Municipiului CLUJ-NAPOCA, Politia Locala si structurilor subordonate Consiliului Local (DASM CLUJ-NAPOCA) care vor urma programe de formare certificate/ateliere de instruire în domenii specifice;
2. Îmbunătătirea instrumentelor de comunicare internă-externă și informare, inclusiv în format electronic, pentru îmbunătătirea capacitătilor manageriale, dezvoltare unui networking la nivelul UAT CLUJ-NAPOCA;
3. Asigurarea vizibilității și promovarea proiectului și a finanțatorului;
4. Promovarea principiilor orizontale.</t>
  </si>
  <si>
    <t>PRO-PACT - Promovarea ONGurilor și partenerilor sociali prin advocacy, capacitare și training</t>
  </si>
  <si>
    <t>Centrul de Dezvoltare Socială T&amp;CO</t>
  </si>
  <si>
    <t>Giurgiu</t>
  </si>
  <si>
    <t>Sisteme si standarde comune- procese optimizate în cadrul Primariei Municipiului
Giurgiu</t>
  </si>
  <si>
    <t>Municipiul Giurgiu</t>
  </si>
  <si>
    <t>Obiectivul General
O administratie publica mai performanta in tara noastra, prin implementarea de sisteme de management moderne, orientate spre cetatean si functionari publici mai bine pregatiti si eficienti care sa presteze servicii publice de calitate.                                                                                                                                                                                         Obiectivele specifice ale proiectului
 OS1 – Implementarea unui sistem de management al performantei in administratia publica orientat spre cetateni in concordanta cu SCAP (CAF)
OS2 – Organizarea unui schimb de experienta cu institutii/organisme publice internationale
OS3 – Participarea unui numar de 40 de membri ai grupului tinta la sesiuni de pregatire in domenii de interes pentru
cresterea calitatii resurselor umane din administratie si prestarea de servicii publice de calitate</t>
  </si>
  <si>
    <t>Etica – eficiență, transparență și intiminate în cariera din admninistrație</t>
  </si>
  <si>
    <t>Blocul Național Sindical</t>
  </si>
  <si>
    <t>Un dialog social european prin imbunatatirea si actualizarea Legii Dialogului Social din Romania</t>
  </si>
  <si>
    <t>Federația Sindicatelor din Industria Alimentară</t>
  </si>
  <si>
    <t>Obiectivul general:  Modificarea legislatiei dialogului social in vederea optimizarii dialogului tripartit si imbunatarii conditiilor de munca ale angajatilor din România.
OS1 - Realizarea unei imagini de ansamblu asupra implementarii legislatiei dislogului social prin intermediul unei cercetari/studiu in randul reprezentantilor autoritatilor publice, patronatelor si sindicatelor
OS2 - Dezvoltarea competentelor si insusirea unui „know how’ specific pentru 60 reprezentanti ai sindicatelor si autoritatilor publice in vederea consolidarii abilitatilor de negociere cu reprezentantii autoritatilor locale si patronatelor.
OS3 - Sintetizarea unor propuneri de modificari ale legislatiei dialogului social in cadrul unei mese rotunde (conferinte) bazata pe principiul dezbaterii publice.
OS4 - Realizarea unei alternative viabile la actuala lege a dialogului social in cadrul unei prupuneri legislative concrete.
OS 5 - Dezvoltarea unui sistem de cooperare institutionala bazat pe instrumente de dialog, monitorizare si evaluare permanenta.</t>
  </si>
  <si>
    <t>nstrumente de sistematizare a legislației, de monitorizare și de evaluare în administrația public</t>
  </si>
  <si>
    <t>Obiectiv: Creșterea calității activităților și proceselor derulate de către autoritățile administrației publice și a actelor administrative emise de către acestea, prin dezvoltarea și aplicarea de instrumente de sistematizare a legislației, de monitorizare și evaluare în administrația publică.
OS1:
Codificarea legislației prin sistematizarea soluțiilor legale disparate privind procedura administrativă existente în legislația actuală, precum și reglementarea unor situații juridice noi semnalate de practica administrativă prin fundamentarea și elaborarea proiectului Codului de procedură administrativă. 
OS2:
Dezvoltarea de instrumente/mecanisme de monitorizare și evaluarea a impactului implementării măsurilor cuprinse în „Planul integrat pentru simplificarea procedurilor administrative aplicabile cetățenilor” și în „Planul de acțiuni pentru implementarea etapizată a managementului calității în autorități și instituții publice 2016-2020” prin care să fie sprijinit procesul de implementare a planurilor de acțiuni, precum și procesele decizionale ulterioare în domeniul simplificării procedurilor administrative aplicabile cetățenilor și implementării sistemelor de management al calității în administrația publică, derulate de către instituțiile și autoritățile publice.</t>
  </si>
  <si>
    <t>Municipiul Brăila</t>
  </si>
  <si>
    <t>Sprijinirea Municipiului Brăila pentru introducerea managementului calității</t>
  </si>
  <si>
    <t>ASOCIATIA "Partnet - Parteneriat Pentru Dezvoltare Durabilă"</t>
  </si>
  <si>
    <t xml:space="preserve">Obiectivul general al proiectului il constituie introducerea de sisteme, instrumente si procese de managementul calitatii si performantei, precum ISO 9001:2015 si CAF, la nivelul Municipiului Braila, a serviciilor descentralizate si subordonate, prin imbunatatirea durabila a eficacitatii managementului la nivel local, prin furnizarea unor inalte standarde de cunostinte si expertiza pentru functionarii publici din cadrul Primariei. 
OS 1: Introducerea si implementarea unui sistem de management al calitatii ISO 9001:2015 la nivelul Municipiului Braila, serviciilor descentralizate si subordonate
OS 2: Introducerea si implementarea unui sistem de management al calitatii si performantei CAF la nivelul Municipiului Braila, serviciilor descentralizate si subordonate
OS 3: Dezvoltarea abilitatilor si cunostintelor a 56 de persoane din personalul Municipiului Braila, serviciilor descentralizate si subordonate, pentru asigurarea managementului calitatii si performantei la nivel local
</t>
  </si>
  <si>
    <t>Asociația "C4C Communication for Community"</t>
  </si>
  <si>
    <t>„Acces la educație incluzivă de calitate pentru copiii CES cu deficiențe auditive și vizuale (EDU-CES)”,</t>
  </si>
  <si>
    <t>PRO Dezvoltare - ONGuri PRO-active în politicile publice vizând dezvoltarea economică și socială</t>
  </si>
  <si>
    <t>ALBA IULIA</t>
  </si>
  <si>
    <t>Obiectiv general - Cresterea capacitatii de dezvoltare strategica si implicare a organizatiilor neguvernamentale, care activeaza in domeniul
dezvoltarii economice si sociale, atat in regiunea mai dezvoltata (B-Il), cat si in regiunile mai putin dezvoltate (Centru si Sud-Est), in a
formula si promova propuneri alternative cu impact national, la politicile publice in aria cheie ocupare&amp;antreprenoriat/economie sociala si a
coopera cu autoritati/institutii publice, pentru optimizarea proceselor decizionale orientate catre cetateni, in concordanta cu SCAP.
Obiectivele specifice ale proiectului
1. O1. Dezvoltarea abilitatilor si competentelor practice a cel putin 60 reprezentanti ai ONGurilor cu focus pe dezvoltarea economica
si sociala, in a-si reprezenta interesele, in a interveni profesional in dialogul social si procesul decizional, pe diferite nivele
ierarhice, in aria cheie ocupare&amp; antreprenoriat/economie sociala.
2. O2. Facilitarea dezvoltarii de actiuni de formulare si promovare a unei propuneri alternative la politicile publice, cu impact national,
in aria cheie vizata, de catre ONGuri cu focus pe dezvoltarea economica si sociala, in parteneriat cu autoritati/institutii publice,
prin oferirea de suport integrat.</t>
  </si>
  <si>
    <t>Municipiul Turnu Măgurele</t>
  </si>
  <si>
    <t>Administrație publică locală eficientă, transparentă și orientată către cetățean în municipiul Turnu Măgurel</t>
  </si>
  <si>
    <t>Obiectivul General
O administratie publica mai performanta in tara noastra, prin implementarea de sisteme de management moderne, orientate spre cetatean si functionari publici mai bine pregatiti si eficienti care sa presteze servicii publice de calitate.                                                                                                                                                                                  Obiectivele specifice ale proiectului
 OS1 – Implementarea unui sistem de management al performantei in administratia publica orientat spre cetateni in concordanta cu SCAP (1 sistem ISO9001)
OS2 – Organizarea unui schimb de experienta cu institutii/organisme publice internationale (1 schimb de experienta)
OS3 – Participarea unui numar de 60 de membri ai grupului tinta la sesiuni de pregatire in domenii de interes pentrucresterea calitatii resurselor umane din administratie si prestarea de servicii publice de calitate (60 membri GT participanti la cursuride formare)</t>
  </si>
  <si>
    <t>Teleorman</t>
  </si>
  <si>
    <t>Asociația Centrul Regional de Voluntariat</t>
  </si>
  <si>
    <t>1. Asociaţia Tinerilor cu Iniţiativă din Zona Olteniei - Atizo
2.Asociatia Consilierilor Romani</t>
  </si>
  <si>
    <t>ONG-uri, actori relevanți în societatea civilă</t>
  </si>
  <si>
    <t>Craiova</t>
  </si>
  <si>
    <t>n.a.</t>
  </si>
  <si>
    <t>Politici alternative in economia sociala</t>
  </si>
  <si>
    <t>UNIUNEA GENERALA A INDUSTRIASILOR DIN ROMANIA UGIR 1903 FILIALA DOLJ</t>
  </si>
  <si>
    <t>Iași</t>
  </si>
  <si>
    <t>Turnu Magurele</t>
  </si>
  <si>
    <t>PRAHOVA</t>
  </si>
  <si>
    <t>Cod MySMIS</t>
  </si>
  <si>
    <t>1.MFE</t>
  </si>
  <si>
    <t>Asociaţia Consultanţilor și Experţilor în Economie Socială România</t>
  </si>
  <si>
    <t>Consolidarea capacitatii ONG-urilor si a autoritatilor publice de a elabora si transmite propuneri
alternative la politicile publice din domeniul asistentei sociale in vederea reglementarii normelor de functionare si definirii regimului juridic al Structurilor Comunitare Consultative</t>
  </si>
  <si>
    <t>FUNDATIA WORLD VISION ROMANIA</t>
  </si>
  <si>
    <t>Fundația Județeană pentru Tineret Timiș</t>
  </si>
  <si>
    <t>Universitatea de Vest Timișoara</t>
  </si>
  <si>
    <t>Obiectiv general al proiectulu: Formularea si promovarea de propuneri alternative la politicile publice initiate de Guvern in domeniul tineretului, la nivel national, prin
facilitarea dialogului social si civic intre diversi actori ai societati (organizatii neguvernamentale, parteneri sociali, personal din autoritatile si
institutiile publice locale, regionale si nationale, cetateni).
Obs.1. Identificarea la nivelul organizatiilor nonguvernamentale, partenerilor sociali, a autoritatilor si institutiilor publice la nivel
national, a mecanismului si modalitatilor de adoptare a deciziilor, investigarea criteriilor de luare a deciziei la nivel local, regional,
national in domeniul tineretului, in scopul dezvoltarii si introducerii de sisteme si standarde comune in domeniul politicilor publice
de tineret.
Obs.2. Cresterea capacitatii a 150 actori implicati in domeniul tineretului (reprezentanti ai ONG-urilor, reprezentanti ai structurilor
asociative ale autoritatilor administratiei publice locale, reprezentanti ai partenerilor sociali, de a initia activitati participative si de a
se implica in procesul de elaborare a politicilor publice si in luarea deciziilor legate de serviciile pentru tineret prin instruiri,
participari la sedintele in care se adopta politicile si bugetele in domeniul tineretului, participari la dezbateri publice, retele tematice
locale si nationale.
Obs.3. Dezvoltarea responsabilitatii civice in randul a 150 de reprezentanti ai organizatiilor nonguvernamentale si reprezentanti ai
partenerilor sociali, prin realizarea unor initiative la nivel comunitar (flashmoburi, photovoice), in vederea promovarii egalitatii de
sanse si nediscriminarii in randul tinerilor, precum si a dezvoltarii durabile.</t>
  </si>
  <si>
    <t>Creșterea eficienței intervențiilor atât la nivelul MMJS, cât și a structurilor aflate în coordonarea MMJS</t>
  </si>
  <si>
    <t>IP8/2017 (MySMIS:
POCA/129/1/1)</t>
  </si>
  <si>
    <t>Agentia Nationala pentru Plati si Parteneri Inspectie Sociala</t>
  </si>
  <si>
    <t xml:space="preserve">Obiectivul general al proiectului este :
Optimizarea procesului decizional al MMJS astfel încât acesta sa fie orientat catre cetateni si salariati prin aplicarea cadrului comun de autoevaluare a modului de functionare, elaborarea si implementarea de proceduri de sistem, operationale, precum si initierea de masuri de simplificare a unor proceduri de lucru si a unor politici publice .
Obiective specifice:
OS 1 - Evaluarea sistemului de management existent si dezvoltarea cadrului comun de autoevaluare (CAF) la nivelul MMJS.
OS 2 -Realizarea unui sistem de indicatori de incluziune sociala si un set de proceduri de lucru elaborat pentru implementarea VMI si a celorlalte beneficii sociale.
OS 3 - Dezvoltarea unui sistem de monitorizare si evaluare a documentelor strategice aflate în coordonarea MMJS
OS 4 - Cresterea abilitatilor personalului din cadrul MMJS si ANPIS pentru elaborarea de proceduri simplificate, politici publice si seturi de indicatori prin participarea la instruire
</t>
  </si>
  <si>
    <t>Sistematizarea legislației din domeniul amenajării teritoriului, urbanismului și construcțiilor și consolidarea capacității administrative a structurilor de specialitate din instituțiile publice centrale cu responsabilități în domeniu</t>
  </si>
  <si>
    <t xml:space="preserve">Obiectivul general al proiectului este creşterea calităţii cadrului legislativ  și metodologic cu incidenţă asupra mediului de afaceri şi asupra cetăţenilor prin sistematizarea legislației din domeniul amenajării teritoriului, urbanismului şi construcţiilor şi prin consolidarea capacității administrative a structurilor de specialitate din instituțiile publice centrale cu responsabilități în domeniu. 
Obiective specifice:
 Asigurarea cadrului legislativ sistematizat și optimizat prin elaborarea Codului amenajării teritoriului, urbanismului şi construcţiilor;
 Asigurarea unor instrumente metodolgice, operaționale și de informare și comunicare pentru aplicarea legislației modificate;
 Formarea unui aparat administrativ eficient care să se bazeze pe instrumente obiective, cuantificabile şi uşor de monitorizat şi actualizat.
</t>
  </si>
  <si>
    <t>Implementarea unui sistem de management performant pentru imbunatatirea proceselor interne și cresterea calitatii serviciilor Primariei Sectorului 6 Bucureşti</t>
  </si>
  <si>
    <t>Obiectivul general: Implementarea / consolidarea și susținerea unui management performant la nivelul instituției primarului sectorului 6 al municipiului București și al instituțiilor subordonate, realizate prin introducerea de sisteme și standarde comune de management al calității în APL, pentru crearea unei administrații publice moderne, capabilă să faciliteze dezvoltarea socio-economică prin intermediul unor servicii publice competitive.                                                                      OS 1 – Implementarea de sisteme unitare de management al calității aplicabile administrației publice, prin utilizarea instrumentului CAF, inclusiv formarea/ instruirea specifică a personalului Primăriei Sectorului 6 pentru implementarea instrumentului CAF
OS 2 – Consolidarea SMC prin acțiuni de îmbunătățire rezultate în urma evaluării pe baza criteriilor modelului CAF
OS 3 – Dezvoltarea abilităților personalului din cadrul Primăriei Sectorului 6 și al instituțiilor subordonate prin:
• asigurarea formării profesionale a 45 persoane din grupul țintă, pentru implementarea Sistemului de Mangement al Calității, integrarea SMC cu SCIM și monitorizarea acestuia cu ajutorul instrumentului CAF. 
• dezvoltarea unui Ghid de bună practică privind integrarea SMC cu SCIM în cadrul UAT și evaluarea performanțelor SMC pe baza Modelului CAF
OS 4 – Asigurarea unui instrument suport pentru sistemul de management al calității şi performanței prin dezvoltarea și implementarea unui sistem informatic de management al proceselor.
OS 5 – Promovarea standardelor și instrumentelor managementului calității prin organizarea și derularea unei conferințe de informare/ conștientizare privind principiile și instrumentele managementului calității</t>
  </si>
  <si>
    <t>Dezvoltarea de politici și mecanisme în domeniul serviciilor de utilitate publică prin entități asociative de tip intercomunitar și promovarea parteneriatelor public privat pentru o dezvoltare sustenabila a comunităților</t>
  </si>
  <si>
    <t>ASOCIAȚIA DE DEZVOLTARE INTERCOMUNITARĂ "EURONEST" - A.D.I.E.</t>
  </si>
  <si>
    <t xml:space="preserve">Obiectivul general al proiectului îl reprezinta crearea premiselor necesare asigurarii populației cu servicii de calitate, prin îmbunătățirea infrastructurii serviciilor pentru siguranța publică și asistență medicală în situații de urgență.
Obiectivele specifice ale proiectului vizează:
• îmbunătățirea capacitații de răspuns, prin reducerea timpului de intervenție;
• îmbunătățirea capacitații si calității sistemului de intervenție;
• achiziționarea în comun a echipamentelor si furnizarea în comun a serviciului public de intervenție în situații de urgentă pentru populația Regiunii Nord-Est;
• achiziționarea de echipamente specifice atât pentru dezvoltarea bazei operaționale regionale, cât si pentru îmbunătățirea dotării bazelor județene existente, în funcție de specificul zonei si a tipurilor de riscuri;
• creșterea gradului de siguranță a populației din Regiunea Nord-Est și primirea ajutorului de urgentă calificat într-un timp cât mai scurt;
• implementarea principiului de comandă unică în cazul situațiilor de urgentă de amploare și eficientizarea interoperabilității la nivel local, zonal si regional printr-un management integrat al serviciilor de urgență profesioniste.
</t>
  </si>
  <si>
    <t>AA6/ 03.05.2018</t>
  </si>
  <si>
    <t>Sistem integrat de management pentru o societate informațională performantă (SIMSIP)</t>
  </si>
  <si>
    <t>CENTRUL NATIONAL DE RASPUNS LA INCIDENTE DE SECURITATE CIBERNETICA - CERTRO</t>
  </si>
  <si>
    <t>POlitici în turism pentru o dezvoltare durabilă</t>
  </si>
  <si>
    <t>Agenția de Dezvoltare Durabilă a Județului Brașov</t>
  </si>
  <si>
    <t>1. Asociația de Dezvoltare Economică și Regională - A.D.E.R
2. Asociația pentru Promovarea și Dezvoltarea Turismului din Județul Brașov</t>
  </si>
  <si>
    <t>AA7/17.05.2018</t>
  </si>
  <si>
    <t>Calitate și performanță în administrația publică locală a Municipiului Urziceni</t>
  </si>
  <si>
    <t>Urziceni</t>
  </si>
  <si>
    <t>Buna guvernare in domeniul serviciilor sociale</t>
  </si>
  <si>
    <t>ASOCIATIA ASISTENTILOR SOCIALI PROFESIONISTI "PROSOCIAL"</t>
  </si>
  <si>
    <t>Cluj-Napoca</t>
  </si>
  <si>
    <t>Institutul Roman Pentru Educație și Incluziune Sociala</t>
  </si>
  <si>
    <t>Asociația pentru Participare Civică</t>
  </si>
  <si>
    <t>Obiectivul general al proiectului consta in cresterea capacitatii celor doua organizatii partenere de a formula propuneri alternative la politicile publice initiate de Guvern in domeniul tineretului si cel al educatiei pe care sa le inainteze autoritatilor relevante. In acest sens, obiectivul general al proiectului contribuie la atingerea obiectivului specific 1.1 al POCA - de a dezvolta si introduce sisteme si standarde comune in administratia publica ce optimizeaza procesele decizionale orientate catre cetateni si mediul de afaceri – prin sustinerea capacitatii societatii civile de a isi oferi aportul la formularea, monitorizarea si evaluarea politicilor publice nationale. Mai precis, prin consolidarea cunostintelor tehnice si a experientei in randul reprezentantilor celor doua ONGuri direct sprijinite prin operatiunea finantata in ceea ce priveste participarea la decizia publica (fie ca acesta se traduce prin elaborarea de analize, evaluari sau formulari de politici publice alternative), contribuim la intarirea rolului pe care acest sector il are in ciclul politicilor publice si implicit la o mai buna reflectare a
intereselor cetatenilor in reglementarile adoptate. In aceasta maniera, proiectul contribuie in mod direct la atingerea Obiectivului Specific II.1.6 al Strategiei pentru Consolidarea Administratiei Publice 2014-2016, anume dezvoltarea capacitatii societatii civile, mediului academic si altor parteneri sociali relevanti de a sustine si promova reforma administratiei publice.</t>
  </si>
  <si>
    <t>Consolidarea institutionala a sistemului penitenciar romanesc</t>
  </si>
  <si>
    <t>ADMINISTRAȚIA NAȚIONALĂ A PENITENCIARELOR</t>
  </si>
  <si>
    <t>Obiectivul general al proiectului consta în întărirea capacității organizatorice și administrative a sistemului penitenciar prin dezvoltarea unor instrumente manageriale si revizuirea Strategiei de Dezvoltare.   Obiectivele specifice ale proiectului:           1. Revizuirea Strategiei de dezvoltare a sistemului penitenciar din perspectiva Obiectivelor strategice Modernizarea şi dezvoltarea infrastructurii sistemului penitenciar și Dezvoltarea capacității administrative instituționale și interinstituționale prin modernizarea serviciilor informatice și de comunicații                                                                                   2. Revizuirea, elaborarea și implementarea a 2 instrumente necesare asigurării unui management instituțional performant.</t>
  </si>
  <si>
    <t>Întărirea capacității ONG pentru o dezvoltare durabilă prin parteneriat social</t>
  </si>
  <si>
    <t>ALMA RO</t>
  </si>
  <si>
    <t>Asociația Orașelor din România</t>
  </si>
  <si>
    <t>COOL JOBS –propunere alternativa de politici publici pentru prevenirea somajului în rândul tinerilor</t>
  </si>
  <si>
    <t>Federația „Forumul Tinerilor din România”</t>
  </si>
  <si>
    <t>Tinerii au prioritate pe agenda publica!</t>
  </si>
  <si>
    <t>Neamț</t>
  </si>
  <si>
    <t>CENTRUL DE RESURSE ECONOMICE SI EDUCATIE PENTRU DEZVOLTARE - CREED</t>
  </si>
  <si>
    <t>Initiativa Nationala pentru Formularea si Promovarea de Politici Publice Alternative - INAPP</t>
  </si>
  <si>
    <t>Fundația de Caritate și Întrajutorare ANA</t>
  </si>
  <si>
    <t>Suceava</t>
  </si>
  <si>
    <t>1. Blocul Național Sindical Filiala Suceava
2.Filiala Bucovina Suceava a Uniunii Generale a Industriașilor din România (U.G.I.R.)
3. Fundația Umanitară Adam - Mădălin</t>
  </si>
  <si>
    <t>Obiectiv general: Cresterea capacitatii organizatiilor neguvernamentale, sindicale si patronale din Romania de a formula si promova propuneri alternative la politicile publice initiate de Guvern
Obiective specifice:
1. Informarea si constientizarea a 400 de reprezentanti ai ONG-urilor si ai organizatiilor sindicale si patronale din Romania cu privire la formularea si promovarea de politici publice alternative prin crearea si dezvoltarea a unei retele tematice nationale;
2. Cresterea gradului de instruire a 100 de reprezentanti ai ONG-urilor si ai organizatiilor sindicale si patronale din Romania prin dezvoltarea cunostintelor si abilitatilor in domeniul formularii si promovarii de politici publice;
3. Sprijinirea a 60 de reprezentanti ai ONG-urilor si ai organizatiilor sindicale si patronale din Romania in elaborarea a 4 politici publice in domeniile: industrial, societatii civile si democratiei, afacerilor, social si angajarii fortei de munca.
4. Promovarea la nivel national a 4 propuneri alternative de politici publice elaborate de reprezentanti ai ONG-urilor si ai organizatiilor sindicale si patronale din Romania.</t>
  </si>
  <si>
    <t>Coaliția pentru romi: elaborare și monitorizare de politici publice</t>
  </si>
  <si>
    <t>Agenția de Dezvoltare Comunitară ,,ÎMPREUNĂ”</t>
  </si>
  <si>
    <t>Bihor</t>
  </si>
  <si>
    <t>Beiuș</t>
  </si>
  <si>
    <t>Municipiul Beiuș</t>
  </si>
  <si>
    <t>Obiectivul general al proiectului consta in dezvoltarea capacitatii administrative a municipiului Beius, prin implementarea si certificarea sistemului de management al calitatii in conformitate cu prevederile standardului SR EN ISO 9001:2015, fapt ce va determina cresterea calitatii actului administrativ pe termen lung.
Obiectivele specifice ale proiectului sunt:
OS1-Revizuirea si optimizarea fluxurilor interne de lucru in vederea proiectarii corespunzatoare a sistemului de management al calitatii la nivelul Primariei Municipiului Beius
OS2-Implementarea sistemului de management al calitatii in conformitate cu prevederile standardului SR EN ISO 9001:2015 in scopul imbunatatirii calitatii si eficientei serviciilor publice furnizate de catre Municipiul Beius
OS3-Promovarea modernizarii in administratia publica locala din municipiul Beius, prin specializarea personalului din cadrul primariei pe teme specifice managementului calitatii (127 persoane), ceea ce va determina motivarea si mobilizarea acestora in directia inovatiei si in oferirea de servicii publice de calitate.</t>
  </si>
  <si>
    <t>Servicii de calitate în administrația publică locală a municipiului Beiuș asigurate prin introducerea și menținerea sistemului de management al calității ISO 9001</t>
  </si>
  <si>
    <t>Optimizarea procedurilor administrative din cadrul Ministerului pentru Relația cu Parlamentul</t>
  </si>
  <si>
    <t>Academia de Studii Economice</t>
  </si>
  <si>
    <t>Creșterea gradului de pregătire profesională a personalului auxiliar pentru a face față noilor provocări legislative</t>
  </si>
  <si>
    <t>Școala Națională de Grefieri</t>
  </si>
  <si>
    <t>IP9/2017 (MySMIS:
POCA/131/2/3)</t>
  </si>
  <si>
    <t>Fundația Orizont</t>
  </si>
  <si>
    <t>Cresterea si consolidarea capacitatii organizationale a ONG-ului solicitant si a partenerilor sociali cooptati de a formula si promova
propuneri alternative la politicile publice initiate de Guvern in domeniul economiei sociale si antreprenoriatului social.
1. OS.1. Dezvoltarea cunostintelor si abilitatilor a 30 persoane grup tinta din cadrul personalului ONG solicitant de a formula
propuneri alternative la politici publice in domeniul economiei sociale si antreprenoriatului social prin instruire/formare in politici
publice europene si nationale.
Obiectivul se concretizeaza in proiect prin activitatile A2, A3 si A4.
2. OS.2. Dezvoltarea de actiuni de formulare de propuneri alternative la politicile publice initiate de Guvern in domeniul economiei
sociale si antreprenoriatului social prin organizarea a 5 conferinte si ateliere regionale de lucru cu participarea a 140 persoane
grup tinta pentru cresterea capacitatii ONG solicitant si a partenerilor sociali cooptati de a se implica in formularea de propuneri
alternative la politici publice.
Obiectivul se concretizeaza in proiect prin activitatile A2, A4 si A5.
3. OS.3. Elaborarea politicii publice alternative in domeniul economiei sociale si antreprenoriatului social si promovarea acesteia prin
actiuni de lobby si advocacy pentru sustinerea unei economii moderne si competitive.
Obiectivul se concretizeaza in proiect prin activitatile A5 si A6.
4. OS.4. Consolidarea capacitatii organizationale a ONG-ului solicitant prin constituirea si dezvoltarea Retelei nationale a
specialistilor in economie sociala (RNSES) - instrument independent de promovare si monitorizare a politicilor publice in domeniul
economiei sociale si antreprenoriatului social.
Obiectivul se concretizeaza in proiect prin activitatea A6.</t>
  </si>
  <si>
    <t>Institutul National al Magistraturii</t>
  </si>
  <si>
    <t>Justiția 2020: profesionalism și integritate</t>
  </si>
  <si>
    <t>Asociația Română pentr Promovarea Sănătății</t>
  </si>
  <si>
    <t>Obiectiv general - crearea si dezvoltarea unui cadru unitar pentru realizarea unui management performant la nivelul Primariei Mangalia, prin introducerea de sisteme si standarde comune ce optimizeaza procesele orientate catre beneficiari in concordanta cu SCAP Obiectivele specifice ale proiectului.
OS 1 - Performanta organizationala crescuta prin implementarea Instrumentului de auto-evaluare a modului de functionare a
institutiilor administratiei publice (CAF) in cadrul Primariei Mangalia.
OS 2 - Servicii publice eficiente si eficace prin implementarea si certificarea SR EN ISO 9001:2015 in cadrul Primariei Mangalia.
OS 3 - Competente profesionale imbunatatie in domeniul implementarii de sisteme si instrumente unitare de management al
calitatii si performantei prin pregatirea specifica a unui numar de 60 persoane instruite din cadrul Primariei Mangalia.</t>
  </si>
  <si>
    <t>Obiectivul general al proiectului
Optimizarea proceselor orientate catre cetatenii municipiului Târgu Jiu prin introducerea de sisteme si standarde comune în administrația
publica locala.
Obiectivele specifice ale proiectului
 Îmbunatatirea calitatii si eficientei serviciilor pentru cetateni prin :
a. introducerea în institutiile administratiei publice locale a municipiului Târgu Jiu a sistemelor de management al performantei si
calitatii (ISO 9001: 2015 si CAF), corelate cu Planul de actiune în etape implementat în administratia publica locala;
b. dobândirea de cunostinte si abilitati de catre personalul din institutiile administratiei publice locale a municipiului Târgu Jiu.</t>
  </si>
  <si>
    <t>Planificare strategica si managementul performantei la nivelul Primariei Municipiului
Gheorgheni prin instrumentul Balanced Scorecard</t>
  </si>
  <si>
    <t>Obiectivul general: Optimizarea proceselor de managementul performantei la nivel strategic prin introducerea instrumentului de Balanced Scorecard în cadrul Primariei Municipiului Gheorgheni.                                                                                                                                                                                                                          OS1. Elaborarea unui studiu privind situatia actuala a managementului performantei la nivel strategic în cadrul Primariei Municipiului Gheorgheni.
OS2. Introducerea unui instrument de management strategic de tip Balanced Scorecard la nivelul institutiei.
OS3. Dezvoltarea cunostintelor si abilitatilor pentru 32 de persoane în cadrul Primariei Municipiului Gheorgheni în domeniul
managementului performantei.</t>
  </si>
  <si>
    <t>Consolidarea capacitatii administrative a Unitatii administrativ teritoriale (UAT) Municipiul Urziceni, judetul Ialomita, din regiunea mai putin dezvoltata Sud-Est, pentru sustinerea unui management performant si calitativ prin implementarea si utilizarea a doua sisteme unitare de managenent al calitatii CAF si ISO, aplicabile  administratiei locale, în concordanta cu ”Planul de actiuni pentru implementarea etapizata a managementului calitatii în autoritati si institutii publice 2016-2020”.
OS 1. Implementarea si utilizarea instrumentului de auto-evaluare de tip CAF (Cadrul comun de autoevaluare a modului de functionare a institutiilor publice) la nivelul UAT Municipiul Urziceni pentru sprijinirea schimbarii pentru performanta, îmbunatatirea modului de realizare a activitatilor si de prestare a serviciilor publice.
Pentru atingerea acestui obiectiv se va implementa instrumentul CAF (Cadru Comun de autoevaluare a modului de functionare a institutiilor publice) pentru autoevaluarea institutiei publice, prin care angajatii acesteia identifica punctele forte si slabe ale functionarii institutiei publice si propun solutii de imbunatatire a activitatii. Acest instrument este inovativ pentru UAT Municipiul Urziceni si îsi propune sa îmbunatateasca activitatea institutiei.
2. OS 2. Implementarea si recertificarea sistemului de management al calitatii ISO 9001 în UAT Municipiul Urziceni pentru o administratie publica locala consolidata si eficienta si îmbunatatirea serviciilor publice furnizate. Din dorinta de a-si îmbunatati procesul de management al calitatii la nivelul întregii organizatii, institutia va îndeplini acest obiectiv prin implementarea, actualizarea procedurilor pentru fiecare directie/compartiment si trecerea la noul standard de management al calitatii ISO 9001, care a fost implementat in anul 2010 printr-un proiect PODCA derulat de Institutia Prefectului, judetul Ialomita.
3. OS 3. Dezvoltarea/cresterea abilitatilor si certificarea unui numar de 120 de persoane din toate nivelurile ierarhice din cadrul unitatii adminsitrativ teritoriale, UAT Municipiul Urziceni autoritatii locale pe teme specifice în scopul implementarii unui management al calitatii si performantei si utilizarea managementului calitatii.
Formarea/instruirea specifica pentru implementarea sistemului/instrumentului de management al calitatii se va realiza ca parte a procesului de implementare al celor doua sisteme.</t>
  </si>
  <si>
    <t>Cresterea capacitatii CNIPMMR de a formula si sustine politici publice alternative cu privire la activitatea sectorului IMM</t>
  </si>
  <si>
    <t>Obiectivul general al proiectului vizeaza dezvoltarea capacitatii operationale si administrative a Consiliului National al Întreprinderilor
Private Mici si Mijlocii din România (CNIPMMR) de a fundamenta, elabora si sustine politici publice în aria sa de activitate si expertiza,
respectiv reprezentarea unitara si eficace a IMM-urilor si a miscarii patronale din România la nivel national si international si sustinerea
dezvoltarii competitivitatii si performantelor din acest sector. Principalul punct de concentrare în cadrul acestui proiect va fi reprezentat de
o mai buna implementare a utilizarii testului IMM în procesele legislative din România. Ulterior, pe baza experientei dobândite din
implemenarea proiectului, beneficiarul va putea fundamenta, elabora si promova si alte politici publice alternative ce vizeaza sectorul
reprezentat.
Având în vedere numarul mic de initiative legislative testate anterior avizarii, din perspectiva impactului asupra sectorului IMM, consideram
necesara si relevanta o actualizare a metodologiei asociate acestei evaluari de impact si cresterea nivelului de informare asupra acesteia,
atât în rândul institutiilor publice ce pot initia acte legislative cu impact asupra sectorului IMM, cât si în rândul mediului de afaceri si a
reprezentantilor acestuia. Concret, ca urmare a implementarii proiectului, CNIPMMR va formula o propunere îmbunatatita pentru politica
de implementare a testului IMM.
Obiectivele specifice ale proiectului
1. OS1. Sustinerea capacitatii CNIPMMR de a formula alternative de politici publice prin derularea unor activitati de formare
specifice acestui domeniu
În cadrul acestui proiect, se va avea în vedere derularea de actiuni de formare-instruire pentru un numar de 120 de persoane,
reprezentanti ai beneficiarului, scopul acestor actiuni fiind acela de a dezvolta capacitatea acestora de a fundamenta, elabora si
promova propuneri de politici publice, în special în domeniul de activitate al CNIPMMR. La nivelul activitatii CNIPMMR,
principalele actiuni în ceea ce priveste fundamentarea, elaborarea si promovarea de politici publice alternative sunt realizate la
nivelul aparatului executiv central si mai putin la nivelul structurilor afiliate (federatii regionale, de sector, etc.). În acest context,
proiectul va viza reprezentanti ai acestor structuri si va contribui în mod direct la dezvoltarea capacitatii acestora de a realiza
alternative de politici publice în sectorul reprezentat.
2. OS2. Fundamentarea, elaborarea si promovarea unei politici publice alternative cu privire la aplicarea principiului “a gândi întâi la
scara mica”, principiu prevazut în Small Business Act.
În acest sens, în cadrul proiectului va fi realizata o analiza care va viza identificarea modului în care metodologia instituita prin
ordinul nr. 698 din 4 iunie 2014 a fost aplicata si respectata de catre organismele vizate de aceasta reglementare. Rezultatele si
concluziile acestei analize vor fi utilizate în vederea elaborarii politcii publice alternative din domeniul evalurarii impactului
initiativelor legislative asupra activitatii sectorului IMM. Se va avea în vedere cresterea relevantei politicii publice pentru domeniul
de activitate asupra caruia se aplica, precum si preluarea celor mai bune practici din statele membre ale Uniunii Europene.
Ulterior, pe baza feedbackului obtinut din partea actorilor relevanti se va definitiva si promova la nivelul institutiilor publice
relevante politica publica alternativa elaborata de CNIPMMR.</t>
  </si>
  <si>
    <t>OG - Formularea unei politici publice care urmareste reglementarea statutului inspectorului de munca, stabilind cadrul legal si oferind o
alternativa la proiectul de lege initiat de Guvern, dezvoltând astfel un set de masuri unitar, stabil, eficient si impartial.
Obiectivele specifice ale proiectului
1. 1. Cresterea capacitatii Federatiei Nationale a Sindicatelor Muncii si a Protectiei Sociale si a partenerilor acesteia prin consultarea
legislatiei în vigoare si a tuturor actorilor implicati în procesul de organizare si functionare a Inspectiei Muncii în formularea de
politici publice privind inspectia muncii si alte domenii conexe prin intermediul a 16 evenimente si 1 sesiune de instruire.
2. 2. Elaborarea unui set de masuri concrete (politica publica) printr-o abordare integrata, care va duce la cresterea transparentei
actului de elaborare politici publice, proiecte de lege si legi în urma organizarii de actiuni de colectare de date relevante (8
evenimente) si diseminare a rezultatelor (8 evenimente si o conferinta finala).
3. 3. Optimizarea proceselor decizionale orientate catre persoanele încadrate în munca si catre inspectorii de munca, devenind
astfel o actiune colectiva, cu un scop formulat în functie de normele si valorile unei comunitati, care va rezulta într-un statut al
inspectorului de munca, ca parte a politicii publice.</t>
  </si>
  <si>
    <t xml:space="preserve">Obiectivul general al proiectului este: Consolidarea capacitatii ONG-urilor si a altor actori relevanti din domeniul sanatatii sexuale si reproductive de a initia si promova politici publice alternative prin punerea acestora la dispozitia autoritatilor publice centrale pentru îmbunatatirea accesului la servicii de sanatate nediscriminatorii.
Obiective specifice:
OS1 - Cresterea capacitatii a 15 ONG-uri de a formula si promova politici publice alternative în domeniul sanatatii sexuale si reproductive.
OS2 - Dezvoltarea a doua (2) politici publice alternative de catre ONG-urile din domeniul sanatatii sexuale si
reproductive, care sa fie acceptate.
</t>
  </si>
  <si>
    <t>Obiectiv general: consolidarea participarii sectorului ONG la formularea si la promovarea politicilor
guvernamentale din domeniul "Educatiei pentru dezvoltarea durabila" (EDD).
Obiective specifice:
OS1. Dezvoltarea competentelor a 80 de reprezentanti a 80 de ONG-uri pentru a formula si promova eficient, prin activitati de lobby, propuneri alternative de politici publice în domeniul Educatiei pentru dezvoltarea durabila
2. OS2. Cooperarea sistematica între min. 70 de ONG-uri în cadrul unei retele tematice nationale care le stimuleaza contributiile si le coordoneaza participarea la formularea si la promovarea politicilor de Educatie pentru dezvoltarea durabila
3. OS3. Formularea participativa în cadrul retelei de ONG-uri a unei propuneri alternative de politica publica privind Educatia pentru dezvoltarea durabila, în masura sa satisfaca angajamentele nationale si internationale ale Guvernului în acest domeniu
4. OS4. Implicarea a cca. 10 stakeholderi institutionali relevanti si a publicului într-o campanie de lobby si promovare pentru asumare propunerii alternative de politica publica formulata de ONG-uri de catre Ministerul Educatiei si Ministerul Mediului</t>
  </si>
  <si>
    <t>Obiectivul general al proiectului/Scopul proiectului: Cresterea capacitatii ONGurilor si partenerilor sociali din cadrul Pactelor regionale si Parteneriatele judetene pentru ocupare si incluziune sociala de a se implica activ in procesul de formulare a politicilor publice in domeniul ocuparii si incluziunii sociale in cooperare cu autoritatile publice.
Obiectivele specifice ale proiectului
1. 1. Intarirea capacitatii de advocacy a 50 de ONGuri si parteneri sociali din Pactele regionale si parteneriatele judetene pentru ocupare si incluziune sociala de a participa la realizarea politicilor publice de ocupare si incluziune sociala si în procesul de luare a deciziilor în guvernarea locala, regionala si nationala
2. 2. Consolidarea capacitatii institutionale a Pactului regional pentru ocupare si incluziune sociala din regiunea NE la nivel strategic si la nivel de membership
3. 3. Cresterea vizibilitatii si consolidarea rolului Pactelor regionale în domeniul ocuparii si incluziunii sociale la nivelul decidentilor de politici publice relevante</t>
  </si>
  <si>
    <t>Obiectivul general:  Cresterea capacitatii partenerilor sociali de a dezvolta standarde comune pentru optimizarea procesului decizional, alternative la politicile publice existente precum si pentru cresterea calitații procesului de reprezentare al salariaților din administrația publica în vederea orientarii procesului decizional catre cetateni, în conformitate cu prevederile SCAP.
Obiectiv Specific 1 - Cresterea capacitații partenerilor sociali si a calitatii proceselui de reprezentare a intereselor salariatilor din administrația publica în vederea implicarii în optimizarea proceselor decizionale si orientarea proceselor decizionale catre cetateni prin realizarea a 2 sesiuni de instruire de specializare pentru ocupația de delegat sindical de întreprindere la care vor participa 45 de reprezentanti ai partenerilor sociali din 30 de organizatii diferite precum si prin elaborarea unui instrument de monitorizare a drepturilor angajatilor
din administratia publica si a calcularii indicelui drepturilor salariatilor.
Obiectiv Specific 2 - Optimizarea procesului decizional prin dezvoltarea, fundamentarea, promovarea si sustinerea unei alternative la politicile publice existente si a unui ghid de bune practici care vizeaza respectarea dreptului la informare si consultare dar si de a lua parte la stabilirea si ameliorarea condițiilor de munca si a mediului de munca pentru salariații din administrația publica în vederea cresterii calitatii locurilor de munca din administrația publica.</t>
  </si>
  <si>
    <t>Obiectivul general al proiectului/Scopul proiectului
Obiective proiect
Optimizarea proceselor decizionale ce vizeaza serviciile educationale destinate copiilor cu cerinte educationale speciale (CES) prin
cresterea capacitatii de implicare a organizatiilor neguvernamentale de a se implica în actiuni de formulare si promovare de propuneri
alternative la politicile publice initiate de Guvern, prin dezvoltarea de retele si parteneriate între societatea civila si factorii institutionali
relevanti/vizati în vederea derularii de activitati de advocacy, în sprijinul îmbunatatirii accesului la educatie pentru copiii CES cu deficiente
de tip auditiv si vizual, al cresterii calitatii procesului educational adaptat nevoilor acestora, si al asigurarii egalitatii de sanse si
nediscriminarii acestor copii in scoala, în concordanta cu SCAP.
Obiectivele specifice ale proiectului
1. OS1. Dezvoltarea cunostintelor si abilitatilor în domeniul politici publice si advocacy pentru 45 reprezentanti ai organizatiilor
neguvernamentale active in domeniul educatiei si al promovarii drepturilor persoanelor cu dizabilitati
2. OS2. Formularea, promovarea si acceptarea unei propuneri de politica publica având ca obiect îmbunatatirea accesului la
educatie, adaptarea serviciilor educationale la nevoile copiilor CES cu dizabilitati vizuale si auditive si asigurarea egalitatii de
sanse privind accesul acestor copii la servicii educationale de calitate si a nediscriminarii acestora în scoala, în cadrul unui amplu
proces consultativ, cu implicarea factorilor neguvernamentali si guvernamentali cointeresati (120 reprezentanti ONG si 80
reprezentanti institutionali)
3. OS3. Dezvoltarea retelei nationale EDU-CES destinata promovarii accesului la educatie de calitate si fara bariere pentru copii cu
cerinte educationale speciale (CES), creata si utilizata ca instrument de elaborare participativa a propunerii de politica publica
alternativa (100 organizatii neguvernamentale implicate)</t>
  </si>
  <si>
    <t>Obiectivul general al proiectului consta in dezvoltarea si introducerea de politici, sisteme si standarde comune alternative în administratia publica ce optimizeaza procesele decizionale din domeniul orientarii si consilierii cu accent pe consilierea si orientarea in cariera, in concordanta cu SCAP.
Obiective specifice:
1. Cresterea gradului de monitorizare si evaluare a politicilor publice, prin elaborarea unei metodologii si a unui raport de evaluare a politicilor publice care cuprinde si un set de indicatori de monitorizare a acestora, in domeniul consilierii cu accent pe consilierea si orientarea in cariera.
2. Imbunatatirea, stimularea si consolidarea dialogului social si a interactiunii intre ong-uri, sindicate si autoritatile publice abilitate in domeniul orientarii si consilierii, prin organizarea unui numar de 8 workshopuri regionale, in vederea cresterii implicarii acestora in formularea si imbunatatirea politicilor publice din domeniul orientarii si consilierii in cariera.
3. Cresterea capacitatii a 16 ONG-urilor de profil si a unui numar de 8 parteneri sociali, de a se implica în formularea si promovarea de propuneri alternative la politicile publice initiate de Guvern in domeniul competitivitatii economice, prin organizarea de instruiri in politici publice,lobby si advocacy, egalitate de sanse, dezvoltare durabila si responsabilitate sociala.
4. Dezvoltarea capacitatii a 40 de persoane - angajati si voluntari din ONG-uri si sindicate, in formularea de propuneri alternative la politicile publice initiate de Guvern prin instruire specifica.
 5. Sporirea vizibilitatii si promovarea politicii publice alternative la Ordinul de ministru nr. 650/2014 si completat cu Ordinul nr.3070/2015, care cuprindea Metodologia-cadru privind organizarea si functionarea Centrelor de Consiliere si Orientare în Cariera în sistemul de învatamânt superior din România in randul a cel putin 10 autoritati si institutii publice locale si centrale si a cel putin 10.000 cetateni, in vederea constientizarii importantei constituirii de bugete locale prin metoda participativa precum si in vederea adoptarii cadrului legislativ propus, prin intermediul unei campanii de advocacy si a diseminarii materialelor realizate in cadrul proiectului.</t>
  </si>
  <si>
    <t>Obiectivul general al prezentei cereri de finantare il reprezinta capacitarea ONG-urilor si a autoritatilor publice cu scopul de a analiza, evalua, formula si promova propuneri alternative la politicile publice initiate de Guvern. Din aceasta perspectiva, grupul tinta al proiectului va fi instruit pentru a-si dezvolta capacitatea de analiza, corelare si completare a legislatiei in vigoare privind functionarea Structurilor Comunitare Consultative - CCC ( L292/2011, art. 5., lit. nn) ) ca structuri de sprijin in solutionarea nevoilor de servicii sociale ale comunitatii.                                                                                                                                                                                                                OS1. Consolidarea capacitatilor grupului tinta format din 35 reprezentanti ai ONG-urilor, pentru a analiza, evalua si amendapoliticile publice din domeniul asistentei sociale, si dezvoltarea abilitatilor de mobilizare comunitara a acestora, prin livrarea unui program de formare in domeniul schimbarii sociale;
2. OS2. Facilitarea dialogului social si civic si cresterea participarii active la procesul decizional, prin implicarea a 120 reprezentanti ai ONG-urilor si angajati ai institutiilor publice centrale si locale in pilotarea si implementarea unui program integrat de mobilizare comunitara, la nivelul a 16 comunitati selectate in prezenta interventie ; Prin propunerea de proiect de completare si reglementare a regimului juridic al Structurilor Comunitare Consultative, modelul va fi replicat la nivel national si va impacta toate reginile de
dezvoltare, proiectul avand in acest fel un character national.
3. OS3 : Completarea legislatiei in vigoare si definirea regimului juridic cu privire la operationalizarea Structurilor Comunitare Consultative - SCC ( L292/2011, art. 5., lit. nn) ) ca structuri de sprijin în solutionarea nevoilor de servicii sociale ale comunitatii, prin analiza, evaluarea si modificarea normelor de functionare a acestora</t>
  </si>
  <si>
    <t>Obiectivul general al proiectului este cresterea capacitatii administrative a MCSI si CERT-RO pentru sustinerea reformelor institutionale prin implementarea unui sistem unitar de management al calitatii (care sa aiba la baza instrumentul CAF si standardul ISO 9001:2015) si performantei (care sa aiba la baza BSC), precum si a unui sistem care sa cuprinda proceduri si mecanisme pentru coordonare si consultare cu factorii interesati privind implementarea, monitorizarea si evaluarea politicilor si strategiilor pentru care MCSI este responsabil, precum si sistematizarea fondului activ al legislatiei cu incidenta si impact asupra investitiilor în dezvoltarea retelelor de acces la NGN.                                                                Obiectivele specifice ale proiectului
1. Îmbunatatirea managementului proceselor si activitatilor prin implementarea, monitorizarea si evaluarea instrumentului CAF în cadrul celor doua organizatii.
2. Crearea cadrului intern si a mecanismelor pentru îmbunatatirea continuua a activitatii, pentru o mai mare întelegere a
proceselor institutiilor, definirea clara a responsabilitatilor si autoritatilor, utilizarea mai eficienta a resurselor si reducerea costurilor de neconformitate, prin implementarea si monitorizarea standardului ISO 9001:2015 în cadrul celor doua organizatii.
3. Eficientizare organizationala, operationala si individuala prin implementarea si monitorizarea managementului performantei (BSC) în cadrul celor doua organizatii.
4. Îmbunatatirea procesului de coordonare si consultare cu factorii interesati privind implementarea, monitorizarea si
evaluarea politicilor si strategiilor pentru care MCSI este responsabil prin utilizarea unui sistem care sa cuprinda proceduri si mecanisme aferente acestui proces.
5. Cresterea capacitatii personalului din cadrul MCSI si CERT-RO, care implementeaza sistemul de management al calitatii si performantei, în vederea utilizarii si gestionarii eficiente a instrumentelor de management al calitatii, precum si aplicarea unui sistem de politici bazate pe dovezi în MCSI, inclusiv evaluarea ex ante a impactului, prin sesiuni de instruire, formare si diseminare a bunelor practici.
6. Sistematizarea fondului activ al legislatiei cu incidenta si impact asupra investitiilor operatorilor privati în dezvoltarea
retelelor de acces la internet broadband de noua generatie (NGN) prin realizarea unei analize a cadrului normativ si crearea unor mecanisme de coordonare si cooperare.</t>
  </si>
  <si>
    <t>Obiectivul general al proiectului
Cresterea capacitatii ONG-urilor de la nivel national, în special din domeniul turismului, de a formula si promova propuneri alternative la politicile publice privind turismul, initiate de Guvern. Îndeplinirea obiectivului se concentreaza pe cresterea calitatii si eficientei activitatilor/ actiunilor de implicare a ONG-urilor din domeniul turismului în demersul de a formula si promova propuneri alternative la politicile publice initiate de Guvern cu scopul dezvoltarii/ promovarii unui turism sustenabil.
Obiectivele specifice ale proiectului
1. Implicarea ONG-urilor din turism în formularea si promovarea de propuneri alternative la politicile publice initiate de guvern privind problemele cu care se confrunta domeniul turistic.
2. Dezvoltarea de abilitati specifice privind implicarea angajatilor ONG-urilor si a partenerilor sociali in demersul de elaborare si promovare de propuneri alternative la politicile publice initiate de guvern.
3. Cresterea gradului de informare si constientizare a societatii publice privind implicarea comunitatii în viata publica si participarea la procese decizionale</t>
  </si>
  <si>
    <t>OBIECTIVUL GENERAL: Consolidarea capacitatii sectorului neguvernamental în vederea sustinerii dezvoltarii mecanismului national de
incluziune sociala prin elaborarea de politici publice predictibile si fundamentate vizând dezvoltarea capacitatii de planificare,
implementare, monitorizare si evaluare în domeniul serviciilor sociale prin implicarea activa a profesionistilor din structura sectorului
neguvernamental si al autoritatilor publice locale.
1. OS 1 – Întarirea capacitatii institutionale a ONG-urilor pentru elaborarea politicilor publice privind cadrul procedural pentru
identificarea si evaluarea nevoilor sociale individuale, familiale sau de grup pentru prevenirea, combaterea si solutionarea
situatiilor de dificultate
2. OS 2 – Formularea de politica publica în domeniul serviciilor sociale ca element important al dezvoltarii societatii;
3. OS 3 – Cresterea competentelor profesionale ale profesionistilor din structura ONG-urilor cu responsabilitati în domeniul
serviciilor sociale în tematici privind managementului de caz al serviciilor sociale si comunicarea si facilitarea colaborarii cu
persoane din structura administratiei publice locale.
4. OS 4 – Stimularea spiritului de initiativa si favorizarea de actiuni de advocacy pentru sensibilizarea actorilor institutionali de la
nivel local si central cu privire la politica publica propusa.</t>
  </si>
  <si>
    <t>Reducerea birocratiei si simplificarea procedurilor pentru mediul de afaceri si pentru cetateni prin sintetizarea concluziilor analizelor
elaborate pana in prezent de catre Secretariatul General al Guvernului (SGG), si nu numai, prin dezvoltarea de noi instrumente
metodologice de masurare si reducere a birocratiei si pilotarea lor in cadrul a cinci institutii centrale selectate dintre MDRAPFE, MM, MFP,MADR, MMJS, MT, MS, astfel incat sa poata orienta mai bine serviciile publice furnizate catre nevoile cetateanului si mediului de afaceri,precum si sa asigure digitalizarea lor prin intermediul unei interfete tip ghiseu unic. Prin identificarea si solutionarea elementelor birocratice din cadrul proceselor aferente serviciilor publice analizate, activitatile proiectului vor contribui la OS 1.1 si anume la optimizarea proceselor decizionale orientate catre cetateni si mediul de afaceri.
Prezentul proiect continua demersurile realizate de Secretariatul General al Guvernului cu privire la simplificarea procedurilor administrative adresate mediului de afaceri si cetatenilor.</t>
  </si>
  <si>
    <t>Obiectivul general al proiectului: Dezvoltarea capacitatii organizatiilor neguvernamentale de a realiza parteneriate sociale viabile si
durabile cu autoritatile publice locale si de a propune politici publice alternative în beneficiul cetatenilor.
Obiectivul general al proiectului este în concordanta cu Obiectivul tematic 11 din Politica de coeziune 2014 – 2020 (OT 11 Consolidarea
capacitatii institutionale a autoritatilor publice si a partilor interesate si eficienta administratiei publice), abordând provocarea 5 Administratia si guvernarea si provocarea 2 Oamenii si societatea din Acordul de Parteneriat al României, prin actiuni specifice derulate la nivel national: realizarea unei analize diagnostic privind implementarea Legii 350/2005; organizarea a 14 evenimente regionale in vederea dezbaterii propunerilor de modificare/actualizarea a Legii 350/2005; realizarea unei retele de cooperare interinstitutionale ONG-APL si pregatirea a 160 de persoane pentru o administratie eficienta si competitiva.</t>
  </si>
  <si>
    <t>OG: Cresterea gradului de implicare al ONG-urilor si partenerilor sociali în proceselor decizionale ale autoritatilor publice cu atributii în
reglementarea si organizarea consilierii si orientarii profesionale a elevilor, în beneficiul viitorilor absolventi de învatamânt preuniversitar si
mediului de afaceri.
OG raspunde astfel problemelor identificate de parteneri în sectiunea „Justificare” si „Grup tinta”:
a) lipsa unui sistem national coerent de informare, consiliere si orientare profesionala la nivel national/regional/ local, care sa vizeze
formarea profesionala initiala a elevilor;
b) lipsa capacitatii organizatiilor non-guvernamentele si a partenerilor sociali de a propune politici publice alternative in acest domeniu.        Obiectivele specifice ale proiectului
1. OS1. Formularea si promovarea a doua propuneri alternative de politici publice în domeniul consilierii si orientarii profesionale a
elevilor din învatamântul preuniversitar cu implicarea liderului de parteneriat, a partenerului si a structurilor locale ale acestora,
parteneri sociali si ONG-uri, în 16 luni.
Proiectul prevede realizarea unei cercetari cantitative la nivel national privind furnizarea serviciilor de informare, consiliere si
orientare profesionale a elevilor din învatamântul preuniversitar. Concluziile cercetarii vor fi coroborate cu un studiu comparat
România – tari ale UE asupra politicilor publice de dezvoltare a serviciilor de mai sus. Pe aceste informatii se va baza elaborarea
propunerii alternative la politicile publice din educatie initiate de Guvern. La elaborarea / formularea, promovarea ei vor participa
cele liderul, partenerul si alte ONG-uri si parteneri sociali care activeaza în domeniul educatie, tineret, voluntariat, antreprenoriat
ce vor delega 60 de persoane din aparatul propriu pentru proiect. Campania de advocacy se va finaliza cu acceptarea PPP de
catre o autoritate publica centrala relevanta. În plus, prin proiect se va crea si pilota un instrument de dialog social si civic
subsumat temei PPP anterioare.
O2. OS2. Sprijinirea liderului de parteneriat, a partenerului si a structurilor locale ale acestora de a-si îmbunatati capacitatea de
formulare si promovare de propuneri alternative la politicile publice initiate de Guvern prin formarea a 320 de persoane
(reprezentanti ai partenerilor sociali si ONG-urilor).
Proiectul prevede dezvoltarea si livrarea a 2 cursuri „TEHNICI DE ADVOCACY PENTRU IMPUNEREA PROPUNERILOR ONGURILOR
?I PARTENERILOR SOCIALI ÎN CADRUL CONSULTARILOR PUBLICE DE ELABORARE A PROIECTELOR
LEGISLATIVE” si „CONSOLIDAREA DIALOGULUI CIVIC ?I SOCIAL LA NIVEL LOCAL” cu rol în cresterea capacitatii a ONGurilor
si partenerilor sociali care activeaza în domeniile educatie, tineret, voluntariat, antreprenoriat prin instruirea a 320 de reprez
ai acestora. În plus, ONG-urile interesate vor avea acces gratuit la instrumentul de consolidare a dialogului social si civic în
vederea cresterii gradului de implicare al ONG-urilor si partenerilor sociali în proceselor decizionale ale autoritatilor publice cu
atributii în reglementarea si organizarea consilierii si orientarii profesionale a elevilor.
3. OS3. Cresterea gradului de constientizare privind dezvoltarea durabila, egalitatea de sanse si nediscriminarea, respectiv
egalitatea de gen în rândul a 320 de membri ai ONG-urilor si partenerilor sociali implicati în activitati de formare pentru
îmbunatatirea capacitatii de formulare si promovare de propuneri alternative la politicile publice initiate de Guvern timp de 16 luni.
În toate etapele de elaborare, promovare, acceptare, se vor integra, respecta si promova principiile orizontale POCA si se va face
cunoscuta sursa de finantare si oportunitatile oferite de aceasta (FSE prin POCA). Actiunile de instruire, elaborare / promovare /
acceptare PPP, creare si pilotare instrument de consolidare a dialogului social si civic vor integra principiile orizontale urmarite de
POCA crescând astfel capacitatea ONG-urilor participante de a si le însusi si promova. De asemenea, publicitatea finantarii FSE
prin POCA si a oportunitatilor de finantare ONG va creste capacitatea lor de accesare a finantarilor nerambursabile prin informare
clara si pragmatica. În selectia GT si achizitia de bunuri si servicii se vor integra principiile orizontale POCA.</t>
  </si>
  <si>
    <t>Obiectivul general al proiectului consta in dezvoltarea si introducerea de politici, sisteme si standarde comune alternative în administrația publica ce optimizeaza procesele decizionale din domeniul tineretului, cu accent pe ucenicie, in concordanta cu SCAP, pe o perioada de 16 luni.
1. Cresterea gradului de monitorizare si evaluare a politicilor publice, prin elaborarea unei metodologii, a unui raport de evaluare a
politicilor publice in domeniul tineretului, cu accent pe ucenicie.
2. Imbunatatirea, stimularea si consolidarea dialogului social si a interactiunii intre ong-uri, parteneri sociali si autoritatile publice
abilitate, prin organizarea de intalniri lunare in cadrul Centrului de Participare Activa, prin facilitarea accesului a 40 persoane la
Forumul Tinerilor Ucenici, prin lansarea unei platforme online de discutii si prin participarea activa a 150 de persoane la 5
workshopuri, in vederea cresterii implicarii acestora in formularea si imbunatatirea politicilor publice din domeniul tineretului, cu
accent pe ucenicie.
3. Cresterea capacitatii a 40 de ONG-urilor de tineret si a unui 1 partener social care activeaza in domeniul tineretului, de a se
implica în formularea si promovarea de propuneri alternative la politicile publice initiate de Guvern in domeniul tineretului, cu
accent pe ucenicie, prin organizarea de instruiri in politici publice, lobby si advocacy, egalitate de sanse, dezvoltare durabila si
responsabilitate sociala, pe o perioada de 16 luni.
4. Dezvoltarea abilitatilor profesionale a 72 de persoane - angajati si voluntari din ONG-uri si Parteneri Sociali, in formularea de
propuneri alternative la politicile publice initiate de Guvern prin instruire specifica.
5. Optimizarea reglementarilor legislative cu privire la tineri, cu accent pe ucenicie, prin elaborarea si promovarea unei politici publice alternative la Legea 279/2005 privind Ucenicia la locul de munca si prin organizarea unei vizite de studiu in Marea Britanie in vederea valorificarii, multiplicarii si facilitarii transferului de bune practici europene in formularea de politici publice alternative.
6  Sporirea vizibilitatii si promovarea politicii publice alternative la Legea 279/2005 privind Ucenicia la locul de munca in randul a cel putin 10 autoritati publice locale si centrale si a cel putin 20.000 cetateni, in vederea constientizarii importantei uceniciei tinerilor si a unor servicii adecvate, precum si in vederea adoptarii cadrului legislativ propus, prin intermediul unei campanii de advocacy si a diseminarii materialelor realizate in cadrul proiectului.</t>
  </si>
  <si>
    <t>Obiectivul general al proiectului:
Cresterea nivelului de competente profesionale ale personalului propriu SPO din regiunile Sud Muntenia, Nord Est si Sud Est în vederea furnizarii unor servicii de calitate.
Obiectivele specifice:
OBS1: Sa îmbunatatim sistemul de formare profesionala a personalului propriu al SPO în ocupatii corelate cu serviciile furnizate.
OBS2: Sa dezvoltam competente profesionale si sociale pentru personalul SPO necesare unei abordari integratoare a nevoilor specifice ale grupurilor vulnerabile.
OBS3. Sa facilitam preluarea de experiente transnationale care sa contribuie la dezvoltarea competentelor personalului SPO.</t>
  </si>
  <si>
    <t>Obiectivul general al acestui proiect este reprezentat de optimizarea cadrului administrativ de functionare al Ministerului pentru Relatia cu
Parlamentul. Se urmareste eficientizarea coordonarii si comunicarii atât la nivel intra-ministerial cât si în relatia dintre Parlament si Guvern.
Obiectivul general va fi atins prin realizarea obiectivelor specifice enumerate ulterior.
Obiectivele specifice ale proiectului
1. Elaborarea de politici bazate pe dovezi, inclusiv evaluarea ex-ante a impactului la nivelul MRP.
2. Sistematizarea si simplificarea actelor normative la nivelul MRP.
3. Imbunatatirea managementului la nivelul MRP prin intermediul unor cursuri de formare profesioanala.</t>
  </si>
  <si>
    <t>„Cresterea gradului de pregatire profesionala a personalului
auxiliar din cadrul instantelor si parchetelor în vederea îmbunatatirii calitatii serviciilor furnizate la nivelul sistemului judiciar”.
Obiectivele specifice ale proiectului
1. Obiectivul specific al proiectului consta în îmbunatatirea cunostintelor si abilitatilor profesionale la nivelul personalului auxiliar de
specialitate din cadrul instantelor si parchetelor în vederea unificarii jurisprudentei, acesta contribuind la atingerea obiectivului
general al proiectului.
Prin obiectivul general si obiectivul specific, proiectul îsi propune sa contribuie la atingerea atât a obiectivelor asumate prin
Strategia de Dezvoltare a Sistemului Judiciar 2015 - 2020, cât si a obiectivului specific 2.3. al Programului Operational
Capacitate Administrativa 2014 – 2020: Asigurarea unei transparente si integritati sporite la nivelul sistemului judiciar în vederea
îmbunatatirii accesului si a calitatii serviciilor furnizate la nivelul acestuia.</t>
  </si>
  <si>
    <t>Obiectivul general al proiectului consta în cresterea capacitații ONG-urilor si a partenerilor sociali de a formula politici publice alternative în domeniul sanatatii publice care sa duca la optimizarea proceselor decizionale orientate catre cetateni.
Proiectul contribuie la atingerea obiectivului specific 1.1. Dezvoltarea si introducerea de sisteme si standarde comune în administrația publica ce optimizeaza procesele decizionale orientate catre cetateni si mediul de afaceri în concordanta cu SCAP prin introducerea la nivelul Directiilor de Sanatate Publica din cadrul Institului National de Sanatate Publica a unor mecanisme/instrumente care sa vina în sprijinul comunitatilor, factorilor de decizie si practicienilor sa faca alegeri care sa îmbunatateasca sanatatea publica printr-un design comunitar.  Obiectivele specifice ale proiectului
1. ObS1 Dezvoltarea unui set de proceduri, mecanisme, instrumente de optimizare a proceselor decizionale orientate catre cetateni în domeniul sanatatii
2. ObS2 Dezvoltarea capacitatii a minim 20 de ONG-uri de a se implica în formularea si promovarea de propuneri alternative la
politicile publice.
3. ObS3 Formularea si promovarea a 5 alternative la politicile publice initiate de autoritati în domeniul sanatatii</t>
  </si>
  <si>
    <t>CP6 less /2017</t>
  </si>
  <si>
    <t>"Administrație eficientă, servicii de calitate la nivel local"</t>
  </si>
  <si>
    <t>Județul Prahova</t>
  </si>
  <si>
    <t>119 -  Investiții în capacitatea instituțională și în eficiența administrațiilor și a serviciilor publice la nivel național, regional și local, în perspectiva realizării de reforme, a unei mai bune legiferări și a bunei guvernanțe</t>
  </si>
  <si>
    <t>Consolidarea capacității instituționale a Oficiului Național al Registrului Comerțului, a sistemului registrului comerțului și a sistemului de publicitate legală</t>
  </si>
  <si>
    <t>Fundația Corona</t>
  </si>
  <si>
    <t>1. MDRAP</t>
  </si>
  <si>
    <t>Bugetarea pe bază de gen în politicile public</t>
  </si>
  <si>
    <t>FUNDAÞIA "CENTRUL DE MEDIERE SI SECURITATE COMUNITARA" 
AGENTIA NATIONALA PENTRU
EGALITATEA DE SANSE INTRE FEMEI
SI BARBATI</t>
  </si>
  <si>
    <t>DAP Voluntar Dialog, Acțiune și Profesionalism în promovarea de către ONG-uri a voluntariatului în interesul copilului</t>
  </si>
  <si>
    <t>Asociația „Centrul De Resurse și Informare pentru Profesiuni Sociale" C.R.I.P.S.</t>
  </si>
  <si>
    <t>Obiectivul general:
Cresterea capacitatii ONGurilor active in sectorul social- protectia drepturilor copilului si in sectorul educatie de a se implica în formularea si promovarea de propuneri alternative la politicile publice
Nota explicativa: pe tot parcursul cererii de finantare, atunci cand facem referire la „ONGuri”care beneficiaza si sunt implicate in activitatile prezentului proiect avem in vedere urmatoarele categorii de organizatii neguvernamentale :
1.  ONG care asigura furnizarea de servicii sociale pentru copii
2. ONG care asigura formarea personalului din sectorul social - protectia copilului
3.  ONG care se implica in integrarea scolara si sociala a copilului, promovarea drepturilor copilului, asigurarea calitatii serviciilor sociale
4. ONG care reprezinta cadre didactice , respectiv diferite categorii de personalul din institutii publice si servicii sociale care au responsabilitati in promovarea drepturilor copilului (de exemplu FICE, Asociatia Directorilor de DGASPCuri)
Obiectivele specifice:
1. OS1. Cresterea competentelor a 60 de persoane din ONGuri de a se implica in elaborarea si promovarea de politici publice
vizand voluntariatul cu si pentru copii, pana la finalul lunii a 11-a de derulare a proiectului;
Pentru atingerea OS1 avem in vedere, pe langa procesul formativ propriu-zis, o etapa premergatoare de elaborare a unui model
de formare adaptat nevoilor si specificului grupului tinta. In etapa premergatoare cursurilor se asigura elaborarea modelului de
formare „ POLITICI PUBLICE - informare, participare si dialog pentru voluntariat in interesul copilului” si pregatirea formatorilor
locali membri ai echipei de proiect, in cadrul unui atelier de lucru organizat la Bucuresti. In etapa de organizare a cursurilor,
formatorii locali membri ai echipei de proiect (cate doi din fiecare judet) vor aplica modelul de formare in cadrul a trei serii de curs
organizate in judetele Alba, Buzau si Ialomita. Cursurile se organizeaza in beneficiul a 60 de persoane din 30 de ONGuri; prin
procedura de evaluare la final de curs, beneficiarii vor demonstra cresterea competentelor de implicare in elaborarea si
promovarea de politici publice. D.p.d.v al strategiei de actiune, OS1 este in deplin acord cu metodologia de lucru a asociatiei
CRIPS, raspunzand nevoilor personalului din servicii publice si din ONGuri prin elaborare si aplicare de modele de formare cu
preocupari pentru calitatea cursurilor.
OS1 este corelat cu Rezultat proiect 1 si cu activitatea A2.
2. OS2. Imbunatatirea resurselor pedagogice de formare si cresterea competentelor a 8 formatori din reteaua CRIPS, precum si a
altor formatori interesati, pentru a sustine formarea personalului din ONGuri pentru a se implica in elaborarea si promovarea de
politici publice vizand voluntariatul cu si pentru copii, pana la finalul proiectului
Continuand traditia asociatiei CRIPS de a elabora modele de formare usor de replicat de catre formatorii din reteaua de formatori
promovate de CRIPS, denumita „EDUC Trainer”, acest obiectiv specific are in vedere:
a) realizarea unui kit pedagogic „POLITICI PUBLICE - informare, participare si dialog pentru voluntariat in interesul copilului” care
se publica pe site si se difuzeaza, putand fi accesat de toti formatorii interesati; kit-ul contine modelul de formare revizuit in urma
aplicarii in judetele Alba, Buzau si Ialomita si un material video pedagogic elaborat
b) pregatirea a 8 formatori pentru aplicarea kit-ului in formarea personalului din ONGuri (in plus fata de cei 6 formatori locali
pregatiti in A2.1 pentru cursurile organizate in A2.2)
Prin aceasta abordare, care favorizeaza atat definitivarea unui produs cu impact formativ usor de aplicat in viitoare cursuri pentru
personalul ONG (kit pedagogic), pregatirea resurselor umane care aplica produsul (formatorii), precum si punerea kit-ului
pedagogic la dispozitia tuturor formatorilor interesati prin publicare pe web-site-uri ” - se creeaza perspective de diseminare a
rezultatelor si experientei proiectului - contribuind la sustenabilitatea rezultatelor. OS 2 este corelat cu rezultatele proiectului 2 si 3
si pentru indeplinirea sa se va implementa activitatea A3.
3. OS3. Cresterea accesului la informatie si imbunatatirea participarii personalului din ONGuri la dialog social si civic pe tema
voluntariatului cu si pentru copii, in randul a peste 50 de ONGuri pana la finalul proiectului
Obiectivul raspunde unei nevoi de informare si de imbunatatire a dialogului social si civic identificate atat in randul ONGurilor, cat
si al institutiilor publice. Are in vedere realizarea, dezvoltarea si actualizarea unui website cu rol de instrument de dialog social si
civic pe tema promovarii actiunilor de voluntariat cu si pentru copii, precum si crearea si animarea unui grup de dezbateri pe
Facebook.
Obiectivul specific 3 este corelat cu rezultatul 4 si pentru indeplinirea sa va fi implementata activitatea A4.
4. OS4. Formularea si promovarea unei propuneri alternative la politicile publice referitoare la voluntariatul cu si pentru copii avand
in vedere asigurarea unui cadru metodologic bazat pe respectarea si promovarea drepturilor copilului, atat in cazul voluntarului
copil, cat si a copilului beneficiar al actiunilor efectuate de voluntari, pana la finalul proiectului.
Obiectivul vizeaza crearea unui cadru de aplicare a legii voluntariatului cu deplina respectare a drepturilor copilului - in doua
situatii distincte:
a) in situatia specifica a voluntarilor copii, ale caror drepturi trebuie respectate in toate etapele procesului de pregatire si derulare
a interventiei voluntare (recrutare, contractare, formare, supervizare pe parcursul interventiei etc);
b) in situatia specifica a copiilor din grupuri vulnerabile (copii aflati in sistemul de protectie, copii din familii vulnerabile) beneficiari
ai activitatilor de voluntariat. La elaborarea si definitivarea acestor propuneri alternative aferente OS 4 vor contribui ? echipa de
proiect ? reprezentantii ONGurilor participante la proiect - respectiv: a) beneficiari ai cursurilor „POLITICI PUBLICE - informare,
participare si dialog pentru voluntariat in interesul copilului”, b) participanti la grupul consultativ c) participanti la procesul de
consultare prin email ? reprezentanti ai parintilor si ai copiilor voluntari, respectiv ai educatorilor si ai copiilor din sistemul de
protectie care beneficiaza de voluntariat. ? Reprezentanti ai autoritatilor publice centrale si ai altor structuri publice a) participanti
la grupul consultativ b) participanti la procesul de consultare prin email.
OS4 este corelat cu rezultatul de proiect 5 si cu activitatea A5.</t>
  </si>
  <si>
    <t>Abordare integrata a politicilor sociale si
medicale prin formularea de politici publice
alternative de catre societatea civila</t>
  </si>
  <si>
    <t>ASOCIATIA ROMANA ANTI-SIDA</t>
  </si>
  <si>
    <t>ASOCIATIA PENTRU APARAREA DREPTURILOR OMULUI IN ROMANIA - COMITETUL
HELSINKI</t>
  </si>
  <si>
    <t>Medierea-politică publică eficientă în dialogul civic</t>
  </si>
  <si>
    <t>Asociația "Centrul de Mediere si Arbitraj Propact"</t>
  </si>
  <si>
    <t>Universitatea ”Andrei Șaguna”</t>
  </si>
  <si>
    <t>Cresterea capacitatii societatii civile de a formula politici publice alternative pentru sprijinirea
protectiei mediului prin reglementarea aplicabilitatii legilor privind perdelele forestiere – RPR</t>
  </si>
  <si>
    <t>ASOCIATIA "ROMANIA PRINDE RADACINI"</t>
  </si>
  <si>
    <t>Politici publice pentru dezvoltare durabilă</t>
  </si>
  <si>
    <t>Asociația ,,Centrul pentru Politici Publice Durabile Ecopolis”</t>
  </si>
  <si>
    <t>Performanță și calitate în administrația publică locală din municipiul Motru</t>
  </si>
  <si>
    <t>Municipiul Motru</t>
  </si>
  <si>
    <t>Motru</t>
  </si>
  <si>
    <t>Asociația pentru Implicare Socială, Educație și Cultură</t>
  </si>
  <si>
    <t>Asociația “Ai încredere”</t>
  </si>
  <si>
    <t xml:space="preserve">P1: Asociația de Dezvoltare Durabilă a Județului Tulcea 
</t>
  </si>
  <si>
    <t>Tulcea</t>
  </si>
  <si>
    <t xml:space="preserve"> în implementare</t>
  </si>
  <si>
    <t>Dezvoltarea unui sistem unitar de management al calității la nivelul Consiliului Județean Vâlcea și al instituțiilor subordonate</t>
  </si>
  <si>
    <t>Județul Vâlcea</t>
  </si>
  <si>
    <t>Râmnicu Vâlcea</t>
  </si>
  <si>
    <t>Nonformal se poate – Politica publica alternativa pentru inserția tinerilor pe piața muncii</t>
  </si>
  <si>
    <t>Asociatia SE POATE</t>
  </si>
  <si>
    <t>Asociația Umanistă Română</t>
  </si>
  <si>
    <t xml:space="preserve">Ilfov </t>
  </si>
  <si>
    <t>Chiajna</t>
  </si>
  <si>
    <t>Obiectivul general al proiectului este cresterea capacitatii Solicitantului si partenerului de a formula si promova propuneri alternative la politicile publice existente in domeniul educatiei non- formale cu accent pe dezvoltarea competentelor transversale in vederea insertiei sustenabile si eficiente a tinerilor pe piata muncii.
Obiective specifice:
OS1. Formarea unui numar de 20 de reprezentanti din cadrul Solicitantului si Partenerului (organizatii neguvernamentale) in
domeniul elaborarii politicilor publice.
OS2. Formularea si fundamentarea unei politici publice alternative in domeniul educatiei non-formale (conform HG 775/2005 si
modificarilor aduse de HG 523/2016) in cadrul unui proces de consultare cu participarea 112 reprezentanti ai ONGurilor/ partenerilor sociali (56 de organizatii) si a 32 de reprezentanti ai institutiilor/autoritatilor locale si centrale de la nivel national
OS3. Promovarea in randul decidentilor si al stakeholderilor de la nivel central si local a oportunitatii si eficacitatii politicii publice alternative in domeniul educatiei non-formale, elaborata in cadrul proiectului  in vederea acceptarii.</t>
  </si>
  <si>
    <t>Optiuni strategice pentru dezvoltarea durabila a sectorului forestier</t>
  </si>
  <si>
    <t>Asociația Centrul pentru Dezvoltare Durabilă Columna</t>
  </si>
  <si>
    <t>Asociația Administratorilor de Păduri</t>
  </si>
  <si>
    <t>Dolj</t>
  </si>
  <si>
    <t>Etică și integritate la Consiliul Județean Vaslui</t>
  </si>
  <si>
    <t>Cresterea capacitatii de implementare a masurilor de prevenire a coruptiei la nivelul judetului Vaslui (Consiliu judetean si institutiile subordonate)
OS1 Sprijinirea Consiliului Judetean Vaslui pentru aplicarea unitara a normelor de etica, integritate si prevenire a coruptiei prin elaborarea si adoptarea de proceduri operatíonale, ghiduri si instrumente suport, conform SNA 2016-2020.
OS2 Imbunatatirea cunostintelor si competentelor in ceea ce priveste prevenirea coruptiei a a minim 150 de persoane (angajati cu functii de conducere si executie din aparatul de specialitate al Consiliului Judetean Vasluii si institutiilor publice subordonate si alesi locali).</t>
  </si>
  <si>
    <t>Creșterea calității serviciilor publice, îmbunătățirea sistemului de management al calității - Târgu-Mureș</t>
  </si>
  <si>
    <t>Județul Vaslui</t>
  </si>
  <si>
    <t>Municipiul Aiud</t>
  </si>
  <si>
    <t>Performanța si eficiența în administrație prin implementarea unui management competitiv</t>
  </si>
  <si>
    <t>Aiud</t>
  </si>
  <si>
    <t>CP1 less /2017</t>
  </si>
  <si>
    <t>CP1 more /2017</t>
  </si>
  <si>
    <t>Asociația Centrul European pentru Sprijinirea Incluziunii Sociale a Romilor din România (CESIRR)</t>
  </si>
  <si>
    <t>Asociația ASIST</t>
  </si>
  <si>
    <t>Întărirea capacității societății civile de a formula politici publice alternative în domeniul serviciilor sociale prin dezvoltarea unui mecanism de colectare și monitorizare a nevoilor persoanelor vulnerabile</t>
  </si>
  <si>
    <t>Platforma Acţiunilor Comune Transparente - PACT A.Co.R</t>
  </si>
  <si>
    <t>Asociația Comunelor din România</t>
  </si>
  <si>
    <t>Consolidarea și promovarea poziției României ca actor relevant în cadrul proceselor de luare a
deciziilor la nivel european</t>
  </si>
  <si>
    <t>Ministerul Afacerilor Externe</t>
  </si>
  <si>
    <t xml:space="preserve">SECRETARIATUL GENERAL AL GUVERNULUI
ECOLE NATIONALE D’ADMINISTRATION - 
INSTITUTUL EUROPEAN DIN ROMANIA/Compartiment Proiecte - institute, centre sau stațiuni de cercetare-dezvoltare organizate ca instituții publice </t>
  </si>
  <si>
    <t xml:space="preserve">Proiectul își propune consolidarea si promovarea poziției României ca actor relevant în cadrul proceselor de policy making la nivel european. Acesta vizează consolidarea rolului pro-activ al României la nivel european prin dezvoltarea unei politici publice în domeniul afacerilor europene, dezvoltarea unor proceduri de lucru eficiente la nivelul ministerelor, consolidarea capacitații acestora în domeniul afacerilor europene, elaborarea si implementarea unei strategii de comunicare si realizarea unor analize pe tematici de actualitate, prioritare din domeniul afacerilor europene, cu privire la care sa poată fi identificat si fundamentat adecvat interesul național. Modalitatea de gestionare a afacerilor europene, atât în plan interinstituțional, cât si în planul reprezentării intereselor României la nivelul decizional al UE, va fi îmbunătățit în mod semnificativ, având ca rezultat creșterea relevantei si gradului de fundamentare a poziției României în planul decizional al UE, inclusiv prin îmbunătățirea nivelului de reprezentare activa în cadrul procesului de negociere european.
Obiectivele specifice ale proiectului
1. îmbunătățirea participării României la procesul de luare a deciziilor la nivelul UE prin dezvoltarea unei politici publice în domeniul afacerilor europene
2. îmbunătățirea comunicării si colaborării în domeniul afacerilor europene
3. consolidarea capacitații personalului implicat în gestionarea afacerilor europene
</t>
  </si>
  <si>
    <t xml:space="preserve"> Oficiului Național al Registrului Comerțului</t>
  </si>
  <si>
    <t>Dezvoltarea calității serviciilor în administrația publică locală</t>
  </si>
  <si>
    <t>Municipiul Tulcea</t>
  </si>
  <si>
    <t>Asociația Centrul pentru Legislație Nonprofit</t>
  </si>
  <si>
    <t>Îmbunatațirea cadrului juridic privind finanțarea publica a organizațiilor neguvernamentale</t>
  </si>
  <si>
    <t>CP 5/2017 (MySMIS: POCA/130/2/2)</t>
  </si>
  <si>
    <t>Mecanisme eficace de control administrativ si de prevenire a coruptiei</t>
  </si>
  <si>
    <t>SECRETARIATUL GENERAL AL GUVERNULUI</t>
  </si>
  <si>
    <t>MINISTERUL JUSTITIEI</t>
  </si>
  <si>
    <t>Obiectivul general al proiectului este reprezentat de consolidarea mecanismelor de control administrativ si de prevenire a coruptiei in administratia publica centrala.
1. Obiectiv specific 1: Reglementarea organizarii si functionarii Corpului de control al primului-ministru si eficientizarea activitatii. 
2. Obiectiv specific 2: Reglementarea unitara a functiei de control administrativ in cadrul autoritatilor publice centrale.
3. Obiectiv specific 3: Consolidarea sistemului intern de prevenire a coruptiei al Secretariatului General al Guvernului.</t>
  </si>
  <si>
    <t>CP3/2017 (MySMIS: POCA/113/2/3)</t>
  </si>
  <si>
    <t>Asociația "Institutul pentru Politici Publice"</t>
  </si>
  <si>
    <t>INFO-MEDIERE - relație eficientă administrație -cetățean folosind alternativa amiabilă și accesibilă a medierii în soluționarea litigiilor</t>
  </si>
  <si>
    <t xml:space="preserve"> 1. ASOCIATIA MUNICIPIILOR DIN ROMANIA - (A.M.R.),
2.  ASOCIATIA PROFESIONALA A MEDIATORILOR DIN ROMANIA, 
3. Asociatia PRO MEDIEREA</t>
  </si>
  <si>
    <t>ASOCIATIA TELEFONUL COPILULUI</t>
  </si>
  <si>
    <t>Obiectivul general al proiectului - asigurarea unei educații de calitate în învațamântul preuniversitar prin restructurarea curriculumului pentru consiliere si orientare si prin elaborarea, implementarea si monitorizarea de proceduri, instrumente si mecanisme, în vederea asigurarii unui management eficient al situațiilor de criza la nivelul unitaților de învațamânt.</t>
  </si>
  <si>
    <t xml:space="preserve">Creșterea capacitații de înțelegere si a nivelului de conștientizare a cetățenilor dar si a responsabililor din cadrul administrației de la nivelul municipiilor din România, cu privire la soluționarea unui litigiu cu autoritatea publica locala prin folosirea medierii ca metoda alternativa
accesibila si amiabila, degrevând instanțele de judecata.
Obiectivele specifice ale proiectului
1. Creșterea gradului de informare si de sprijinire efectiva a cetățenilor pentru a avea acces la masuri eficiente din punct de vedere al timpului dar si al resurselor implicate în soluționarea litigiilor cu o autoritate publica locala prin difuzarea a unei campanii naționale de informare privind condițiile si avantajele procesului de mediere in plan local (1 spot tv, 500.000 cetățeni care urmăresc campania media, 8 conferințe de presa în fiecare regiune de dezvoltare, 1000 pliante, sondaj de opinie, centru de informare si consiliere pentru cetățeni) concomitent cu derularea unui pachet de acțiuni de conștientizare a tuturor grupurilor ținta vizate, la nivelul tuturor celor 8 regiuni de dezvoltare.
2. Consolidarea capacitații administrației publice municipale pentru a folosi toate pârghiile oferite de cadrul legal în vigoare în
soluționarea unei dispute cu un cetățean, într-o maniera amiabila dar si eficienta, cu un cost de timp si resurse scăzut, prin
organizarea a 8 workshop-uri în fiecare regiune de dezvoltare cu participarea a 206 responsabili ai departamentului juridic din
primarii, proiectând astfel imaginea unei administrații cooperante ci nu conflictuale în relație cu membrii comunității
3. Promovarea înțelegerii asupra metodelor alternative de soluționare a disputelor prin organizarea a 8 acțiuni de informare pentru 160 de mediatori, pentru ca aceștia sa cunoască datele necesare înțelegerii specificului relației dintre administrație si cetățean, degrevându-se, în final, instanțele de dosare ce pot fi soluționate amiabil.
</t>
  </si>
  <si>
    <r>
      <t>Obiectivul general C</t>
    </r>
    <r>
      <rPr>
        <sz val="12"/>
        <rFont val="Calibri"/>
        <family val="2"/>
        <scheme val="minor"/>
      </rPr>
      <t>onsta in sustinerea unui proces de management performant la nivelul Primariei Municipiului Craiova, proces ce va conduce la beneficii
durabile pentru grupul tinta angrenat, precum:
• certificarea sistemului de management al calitatii conform standardului ISO 9001/2015;
• dezvoltarea personala profesionala prin cursuri specializate;
• dezvoltarea abilitatilor individuale in domenii specifice activitatii administratiei publice  Proiectul isi propune 3 obiective specifice care contribuie in mod efectiv la atingerea obiectivului general al proiectului,asigurand o
buna implementare a proiectului,printr-o corelare logica a acestora cu obiectivul general,rezultatele,indicatorii de proiect si activitatile/sub-activitatile proiectului.Primul obiectiv specific (OS1) consta in introducerea de instrumente,procese de management la nivel local si va fi atins prin introducerea unui sistem de management al calitatii si performantei la nivelul Primariei Municipiului Craiova,in concordanta cu Planul de actiuni pentru implementarea etapizata a managementului calitatii in autoritati si institutii publice 2016-2020 – conform standardului ISO 9001/2015.Al doilea obiectiv specific (OS2) consta in organizarea de schimburi de experienta pentru grupul-tinta implicat,echipa proiectului si invitati din cadrul institutiilor publice din judetul Dolj si va
fi atins prin organizarea a 3 workshopuri.Al treilea obiectiv specific (OS3) consta in dezvoltarea abilitatilor personalului de la nivelul Primariei Municipiului Craiova pe teme specifice de interes si va fi atins prin organizarea de cursuri specializate pentru grupul-tinta implicat.Tematica si titlul cursurilor vor fi stabilite in cadrul Analizei Diagnostic si a celor 3 workshop-uri din cadrul Activitatii 3 „Realizarea unei Analize Diagnostic a sistemului de management al calitatii existent in vederea tranzitiei la prevederile standardului SR EN ISO 9001/2015,in concordanta cu Planul de actiuni pentru implementarea etapizata a managementului calitatii in autoritati si institutii publice 2016-2020 si organizarea a 3 workshopuri cu personalul din grupul tinta” si vor reprezenta nevoia de instruire a primariei.</t>
    </r>
  </si>
  <si>
    <t>Dezvoltarea unui management performant în cadrul primăriei municipiului Lugoj prin optimizarea proceselor orientate către beneficiari și pregătirea resurselor umane</t>
  </si>
  <si>
    <t>Timiș</t>
  </si>
  <si>
    <t>Lugoj</t>
  </si>
  <si>
    <t xml:space="preserve">Obiectivul general al proiectului consta in dezvoltarea capacitatii administrative a Municipiului Constanta, prin implementarea si certificarea sistemului de management al calitatii in conformitate cu prevederile standardului SR EN ISO 9001:2015, fapt ce va determina cresterea calitatii actului administrativ pe termen lung.
Obiective specifice:
OS 1 - Revizuirea si optimizarea fluxurilor interne de lucru in vederea proiectarii corespunzatoare a sistemului de management al calitatii la nivelul Primariei Municipiului Constanta
OS2 - Implementarea sistemului de management al calitatii in conformitate cu prevederile standardului SR EN ISO 9001:2015 in scopul imbunatatirii calitatii si eficientei serviciilor publice furnizate de catre Municipiul Constanta
OS3 - Promovarea modernizarii in administratia publica locala din Municipiul Constanta, prin specializarea angajatilor primariei pe teme specifice managementului calitatii (551 persoane), ceea ce va determina motivarea si mobilizarea acestora in directia inovatiei si in oferirea de servicii publice de calitate.
</t>
  </si>
  <si>
    <t>Transparență, etica și integritate</t>
  </si>
  <si>
    <t>Targu Jiu</t>
  </si>
  <si>
    <t>Legislație actualizată pentru un comerț calitativ cu produse agroalimentare</t>
  </si>
  <si>
    <t>Asociația ACDBR</t>
  </si>
  <si>
    <t>EGAL - Dialog civic și advocacy pentru poltici publice sensibile la egalitatea de gen</t>
  </si>
  <si>
    <t>„RENASC – Rețea Națională de promovare a Sănătății reproduCerii prin politici publice integrate”</t>
  </si>
  <si>
    <t>Asociația "Partnet - Parteneriat pentru Dezvoltare Durabilă"</t>
  </si>
  <si>
    <t>INSTITUTUL NATIONAL PENTRU SANATATEA MAMEI SI COPILULUI "ALESSANDRESCU RUSESCU"                                                                ASOCIATIA SAMAS                                            ASOCIATIA MOASELOR INDEPENDENTE</t>
  </si>
  <si>
    <t xml:space="preserve">Obiectivul general al proiectului este cresterea capacitatii a 3 ONG-uri de a formula propuneri la politici publice initiate de Guvern, prin interventii complexe de monitorizare, evaluare, instruire a 80 de persoane, promovare a politicii publice alternative elaborate in domeniul sanatatii reproducerii.
Obiectivele specifice ale proiectului
1. O.S.1: Cresterea capacitatii a 3 ONG-uri de a monitoriza si evalua politicile publice, prin dezvoltarea si utilizarea a 2 instrumente inovative de monitorizare si evaluare in domeniul sanatatii reproducerii.
2. O.S.2: Cresterea capacitatii a 3 ONG-uri de a formula politici publice alternative, prin instruirea a 80 de persoane din grupul tinta - personal din ONG-uri, in domenii de interes si elaborarea unei propuneri alternative la politicile publice in domeniul sanatatii
reproducerii.
3. O.S.3: Promovarea politicii publice alternative elaborate in domeniul sanatatii reproducerii si obtinerea acceptului acesteia.
</t>
  </si>
  <si>
    <t>Asociația Centrul de Suport și Formare pentru Dezvoltarea unei Societăți Echitabile</t>
  </si>
  <si>
    <t>Asociația Centrul de Dezvoltare Curriculară și Studii de Gen: Filia</t>
  </si>
  <si>
    <t>Servicii medicale îmbunătățite calitativ printr-o nouă politică publică privind valorile profesiilor de asistent medical și noașă - POLMED</t>
  </si>
  <si>
    <t>Ordinul Asistenților Medicali Generaliști, Moașelor și Asistenților Medicali din România</t>
  </si>
  <si>
    <t xml:space="preserve">
Obiective proiect
Obiectivul general al proiectului este dezvoltarea unui set de valori fundamentale pentru asistenti medicali si moase, pentru a fi introdus la
nivelul sistemului sanitar, in beneficiul relatiei personal medical-pacient.
Proiectul se aliniaza obiectivului POCA „Dezvoltarea si introducerea de sisteme si standarde comune in administratia publica ce
optimizeaza procesele decizionale orientate catre cetateni si mediul de afaceri in concordanta cu SCAP” prin:
- Introducerea unui set de standarde comune, ce vor asigura o viziune unitara la nivel national pentru toti asistentii medicali si
moase;
- Proiectul va contribui la indeplinirea rolului administratiei publice de a dezvolta servicii publice de calitate, in beneficiul
pacientilor din Romania;
- Promovarea noii politici prin intermediul organizatiei profesionale va asigura implementarea acesteia atat in mediul privat cat si
cel public, cu beneficii atat pentru pacienti –utilizatori ai sistemului de ingrijiri public si/sau privat dar si pentru mediul de afaceri.
Obiectivele specifice ale proiectului
1. OS1: Cresterea capacitatii organizatiei profesionale cu rol de reglementare in profesia de asistent medical de a formula propuneri
de politici publice in sectorul medical in 16 luni
2. OS2: Dezvoltarea unei propuneri de politica publica alternativa ce cuprinde un set de valori fundamentale pentru profesia de
asistent medical si moasa in 16 luni</t>
  </si>
  <si>
    <t>AA5/ 27.06.2018</t>
  </si>
  <si>
    <t xml:space="preserve">Scopul proiectului: optimizarea implementării măsurilor în atingerea țintelor strategice din cadrul celor patru strategii condionalități ex-ante prin dezvoltarea și introducerea unui sistem unitar de monitorizare și evaluare (M&amp;E) precum și realizarea unor studii comparative  ce vor optimiza procesele de luare a deciziilor la nivelul ministerului și va furniza evidențele necesare implementării de politici publice. 
Obiectivele specifice:
- creșterea capacității MEN de implementare a strategiilor educaționale condiționalitate ex-ante prin asigurarea dezvoltării și aplicării unui cadru metodologic de monitorizare și evaluare în vederea atingerii în 2020 a țintelor educaționale estimate
- creșterea capacității MEN de formulare de politici publice sectoriale prin asigurarea unor decizii informate privind dezvoltarea forței de muncă, politicile privind profesorii și cele privind educația timpurie sprijinite prin studii comparative
</t>
  </si>
  <si>
    <t xml:space="preserve">Calitate, Standarde, Performanță - premisele unui management eficient la nivelul Ministerului Dezvoltării Regionale si Administrației Publice </t>
  </si>
  <si>
    <t xml:space="preserve">Scopul proiectului:Consolidarea integrității la nivelul MDRAP, al structurilor din subordinea/sub autoritatea sa precum și la nivelul autorităților administrației publice locale, prin dezvoltarea, promovarea și utilizarea de instrumente specifice prevenirii corupției.
Obiective specifice:
A. Creșterea capacității administrative a MDRAP de a coordona  procesul de monitorizare și evaluare a progreselor  înregistrate în implementarea măsurilor anticorupție la nivelul administrației publice locale.  
B. Creșterea gradului de implementare a măsurilor de prevenire a corupției și a indicatorilor de evaluare la nivelul MDRAP, al structurilor din subordinea / sub autoritatea ministerului și la nivelul autorităților administrației publice locale. 
C. Creșterea gradului de conștientizare a efectelor corupției la nivelul personalului din administrația publică locală. 
D. Îmbunătățirea cunoștințelor și a competențelor personalului din MDRAP, al structurilor din subordinea / sub autoritatea ministerului și la nivelul autorităților administrației publice locale în ceea ce privește prevenirea corupției. 
</t>
  </si>
  <si>
    <t xml:space="preserve">Obiectiv general: Eficientizarea activității MDRAP și a instituțiilor din subordinea/sub autoritatea MDRAP (Agenția Națională pentru Locuințe) prin implementarea de standarde și instrumente ale managementului calității.
Obiective specifice:
A. Implementarea unui sistem de management performant certificat ISO 9001:2015, a unui sistem de management anticorupție ISO 37001:2016 și  a unui sistem de auto-evaluare de tip CAF  la nivelul MDRAP și a instituțiilor din subordinea/ sub autoritatea MDRAP (Agenția Națională pentru Locuințe).
B. Perfecționarea personalului din MDRAP și din structurile din subordinea/ sub autoritatea MDRAP (Agenția Națională pentru Locuințe) prin cursuri de perfecționare în domeniul managementului calității în administrația publică.
</t>
  </si>
  <si>
    <t>Uniunea Naționala a Barourilor din Romania</t>
  </si>
  <si>
    <t>Program de educație și asistență juridică pentru îmbunătățirea accesului cetățenilor la justiție – JUST ACCESS</t>
  </si>
  <si>
    <t xml:space="preserve">FUNDATIA "CENTRUL DE RESURSE JURIDICE", </t>
  </si>
  <si>
    <t xml:space="preserve">Îmbunătățirea accesului cetățenilor la justiție (în special pentru categoriile aparținând grupurilor vulnerabile) prin informare-conștientizare în rândul cetățenilor si prin creșterea calității serviciilor furnizate de către autoritățile centrale si locale ca urmare a promovării formarii continue a avocaților si specialiștilor din domeniul social si a inter-disciplinari tații în abordarea cazurilor.
Obiectivele specifice ale proiectului
1. Obiectiv specific nr. 1: Creșterea accesului la justiție al cetățenilor prin derularea de campanii naționale de informare si educație
juridica în rândul a peste 6000 de tineri (elevi si studenți) pe durata a 10 luni de implementare.
2. Obiectiv specific nr. 2: Îmbunătățirea serviciilor si a asistentei juridice oferite cetățenilor prin formarea a cel puțin 210 de angajai DGASPC si SPAS la nivel național, în vederea alcătuirii de echipe multidisciplinare (avocați, juriști, asistent social, psiholog) care sa răspundă nevoilor cetățenilor cu privire la accesul la justiție, în cel mult 12 luni de la demararea proiectului .
3. Obiectiv specific nr. 3: Îmbunătățirea serviciilor juridice puse la dispoziția cetățenilor, inclusiv a categoriilor vulnerabile prin crearea unor resurse de învățare si formarea a aprox. 1400 de profesioniști din domeniul juridic (avocați si personal din cadrul
administrației publice cu atribuii în legătură cu activitatea sistemului judiciar) pentru implementarea Noilor Coduri fundamentale
(penal, procedura penala, civil, procedura civila).
4. Obiectiv specific nr. 4: Îmbunătățirea cadrului legislativ în vederea creșterii accesului la justiție al categoriilor
defavorizate/grupurilor vulnerabile prin elaborarea de propuneri de modificare în vederea îmbunătățirii asistenței juridice si
accesului la justiție
</t>
  </si>
  <si>
    <t>Calitate și performanță în administrația publică din județul Brăila</t>
  </si>
  <si>
    <t>Priorități publice de control a poluării atmosferice</t>
  </si>
  <si>
    <t>ECOIMPACT - Asociația Română a Evaluatorilor și Auditorilor de Mediu</t>
  </si>
  <si>
    <t>UNIVERSITATEA DE STIINTE AGRICOLE SI MEDICINA VETERINARA A BANATULUI " REGELE MIHAI I AL ROMANIEI " DIN TIMISOARA</t>
  </si>
  <si>
    <t>Obiectivul general al proiectului il reprezinta dezvoltarea de politici publice alternative in domeniul protectiei mediului corelate cu cerintele europene pentru sectorul emisiilor atmosferice antropice si al calitatii aerului in Romania si dosarul de mediu al tarii noastre.Obiectivele specifice ale proiectului sunt urmatoarele:
OS1 – Elaborarea de politici publice alternative in domeniul emisiilor atmosferice antropice si calitatea aerului in Romania.
OS2 – Dezbatere publica asupra politicii elaborate in vederea prezentarii rezultatelor obtinute si a schimbarii comportamentului si atitudinii opiniei publice privind protectia mediului si dezvoltarea durabila.                              OS3 – Includerea obiectivelor politicilor dezvoltate in documente programatice la nivel national.
OS4 – Formarea unui numar de 60 de persoane implicate in utilizarea si diseminarea politicii dezvoltate in cadrul proiectului.</t>
  </si>
  <si>
    <t>Consolidarea integrității, reducerea vulnerabilităților și a riscurilor de corupție</t>
  </si>
  <si>
    <t>Municipiul Buzău</t>
  </si>
  <si>
    <t>Buzău</t>
  </si>
  <si>
    <t>1. AUTORITATEA NAŢIONALĂ DE MANAGEMENT AL CALITĂŢII ÎN SĂNĂTATE
2. ASOCIATIA NATIONALA PENTRU PROTECTIA PACIENTILOR</t>
  </si>
  <si>
    <t>Societatea Academică din România (SAR)</t>
  </si>
  <si>
    <t>OS 1 Consolidatea integritatii, reducerea vulnerabilitatilor si a riscurilor de coruptie in cadrul institutiei prin elaborarea, revizuirea si simplificarea procedurilor administrative in materie de etica si integritate. Atingerea acestui obiectiv in cadrul Activitatii 3 va incepe prin analiza documentelor/procedurilor existente in cadrul UAT-ului, cu scopul de a elabora procedurile administrative necesare, revizuirea unor proceduri interne, mecanisme de aplicare al Planului de integritate, daca este cazul, care sa faciliteze punerea in aplicare a cadrului legal privind etica si integritatea.
OS 2 Cresterea eficientei masurilor preventive anticoruptie prin imbunatatirea/consolidarea capacitatii de autoevaluare periodica, identificarea riscurilor si vulnerabilitatilor la nivelul institutiei publice locale. Obiectivul va fi indeplinit prin implementarea Activitatilor 3 si 4, deoarece la nivelul institutiei se identifica o lipsa a capacitatii proprii de realizare a analizei riscurilor si vulnerabilitatilor la coruptie, de identificare a masurilor preventive anticoruptie si a indicatorilor aferenti, precum si lipsa unui model de procedura de sistem privind colectarea sistematica a datelor necesare autoevaluarii gradului de implementare a masurilor preventive anticoruptie obligatorii.
OS 3 Cresterea gradului de constientizare a publicului si societatii civile cu privire la impactul fenomenului coruptiei, prin derularea unei campanii de informare publica, organizarea de dezbateri in plan local si promovarea bunelor practici anticoruptie. Acest obiectiv specific va fi indeplinit prin Activitatea 5 cu subactivitatile aferente unde vor avea lor dezbateri publice intre autoritatea locala, societatea civila si alte institutii locale. Totodata, se va derula o campanie de constientizare a cetateanului despre efectele coruptiei, prin diseminarea unor materiale informative si promovarea bunelor practici anticoruptie, promovarea eticii si integritatii, folosirea avizierului din cadrul primariei si a paginii de internet.
OS 4 Imbunatatirea cunostintelor si competentelor unui numar de 25 de persoane din cadrul UAT Municipiul Buzau, personal de conducere si executie din primarie privind masurile de prevenire a coruptiei si a standardelor de integritate. Cresterea gradului de educatie anticorutie se va realiza prin implicarea personalului institutiei locale intr-un program de formare profesionala specifica privind conflictul de interese, etica, integritatea, in urma derularii Activitatii 6.</t>
  </si>
  <si>
    <t>Etică și integritate prin prevenirea și combaterea corupției– EtICo</t>
  </si>
  <si>
    <t>Municipiul Pitești</t>
  </si>
  <si>
    <t xml:space="preserve">Obiectivul general al proiectului il reprezinta cresterea nivelului de etica si integritate la nivelul Municipiului Pitesti prin implementarea unor masuri de prevenire a coruptiei.
Obiectivele specifice ale proiectului
1. Cresterea capacitatii administrative a Municipiului Pitesti de a preveni si reduce coruptia
2. Cresterea nivelului de educatie anticoruptie pentru personalul institutiei
3. Combaterea coruptiei prin dezvoltarea capacitatii analitice de a efectua activitati de evaluare a riscurilor
</t>
  </si>
  <si>
    <t>Politici publice alternative pentru dezvoltare locală competitivă</t>
  </si>
  <si>
    <t>Asociația INACO – Inițiativa pentru Competitivitate</t>
  </si>
  <si>
    <t>Dezvoltarea si introducerea de politici, sisteme si standarde comune alternative în administratia publica ce optimizeaza procesele decizionale din domeniul economic cu accent pe modul participativ de elaborare al bugetelor publice, in
concordanta cu SCAP, pe o perioada de 14 lun</t>
  </si>
  <si>
    <t>MaraQuality</t>
  </si>
  <si>
    <t>Județul Maramureș</t>
  </si>
  <si>
    <t>Maramureș</t>
  </si>
  <si>
    <t>Baia Mare</t>
  </si>
  <si>
    <t>ASOCIAȚIA PENTRU DEZVOLTARE DURABILĂ SLATINA</t>
  </si>
  <si>
    <t>AA4/ 30.01.2018
AA5/03.07.2018 prel 6 luni</t>
  </si>
  <si>
    <t>Standarde si politici sustenabile in lucrul cu tinerii din Romania</t>
  </si>
  <si>
    <t>Federatia Young Men's Christian Associations</t>
  </si>
  <si>
    <t>1. Asociatia Young Initiative                                   2. Asociatia Centrul pentru Dezvoltare Comunitara Durabila</t>
  </si>
  <si>
    <t xml:space="preserve">Obiectivul general al proiectului este creşterea capacităţii ONG-urilor de a formula, monitoriza şi evalua politici publice în domeniul lucrului
cu tinerii, atât prin propunerea unor standarde de calitate în lucrul cu tinerii, cât şi prin instruirea membrilor, personalului şi voluntarilor organizaţiilor de tineret în vederea participării active la dezvoltarea şi îmbunătăţirea politicilor de tineret.
</t>
  </si>
  <si>
    <t>Măsuri pentru prevenirea corupției în administrația publică locală a Municipiului Deva din județul Hunedoara</t>
  </si>
  <si>
    <t>Municipiul Deva</t>
  </si>
  <si>
    <t>Hunedoara</t>
  </si>
  <si>
    <t>Deva</t>
  </si>
  <si>
    <t>Politici publice alternative pentru îmbunătățirea cadrului de organizare și funcționare a învățământului preuniversitar particular (EDU-PART)</t>
  </si>
  <si>
    <t>Asociația Centrul pentru Integritate</t>
  </si>
  <si>
    <t>Ministerul Educatiei Nationale</t>
  </si>
  <si>
    <t>Certificarea activităților Consiliului Județean Argeș și dezvoltarea abilităților personalului, în concordanță cu prevederile SCAP</t>
  </si>
  <si>
    <t>Județul Argeș</t>
  </si>
  <si>
    <t>ALT-POL - Capacitarea uniunilor sindicale
din domeniul sanitar de a formula politici
publice alternative</t>
  </si>
  <si>
    <t>UNIUNEA SINDICALA "SANITAS" BUCURESTI</t>
  </si>
  <si>
    <t>Obiectivul POCA 1.1 vizeaza dezvoltarea si introducerea de sisteme si standarde comune in administratia publica ce optimizeaza procesele decizionale orientate catre cetateni si mediul de afaceri in concordanta cu Strategia pentru Consolidarea Administratiei Publice 2014-2020 (SCAP). In acest sens, obiectivul general al proiectului este de crestere a capacitatii sindicatelor din domeniul sanitar/socio profesional de a participa activ, a sustine si promova reforma in sanatate din Romania, printr-o serie de interventii integrate care sa vizeze grup tinta din regiunile de dezvoltare Bucuresti Ilfov si Centru si prin care sa se obtina capacitarea institutiilor vizate pentru formularea si
promovarea alternativelor la politicile publice initiate de Guvern.
Obiectivele specifice ale proiectului
1. OS 1 Cresterea calitatii procesului decizional prin capacitarea a doi parteneri sociali din domeniul sanitar si o organizatie non
guvernamentala relevanta printr-o serie de interventii integrate care cuprind formare profesionala specifica (8 serii a cate 12,
respectiv 16 participanti), evenimente de instruire la nivel national (3 scoli de vara) si masuri suplimentare de crestere a capacitatii
partenerilor sociali de a formula politici publice alternative (1 instrument de monitorizare, 1 studiu al evolutiei reformei in sanatate,
1 ABC sindical, 1 strategie de advocacy, etc.).
2. OS 2 Cresterea gradului de implicare a partenerilor sociali in procesul decizional la nivel local si central prin imbunatatirea
capacitatii de a promova si de a se angaja in procese reale de reforma in domeniul sanitar/socio profesional prin
formarea/informarea/instruirea a 120 de reprezentanti sindicali.
3. OS 3 Reducerea disparitatilor dintre regiunile de dezvoltare are Romaniei, prin implicarea intr-un ciclu integrat de activitati a unui
grup tinta total de 120 de persoane care sa provina din regiunile Bucuresti Ilfov si Centru, tinand cont de faptul ca Acordul de
parteneriat cu Romania pentru perioada 2014-2020 subliniaza diferente notabile in ceea ce priveste gradul de dezvoltare a
acestor doua zone de dezvoltare.
Conform cu originalul semnat in data de 2018.06.07 08:27:47 EEST de catre 2014.mysmis.ro
Generat pentru Mihaela Nicolae
4. OS 4 Cresterea capacitatii institutionale de coordonare intre politicile elaborate in domeniile sanitar si socio profesional prin
elaborarea unui instrument independent sub forma unui raport civic bilunar in scopul de a monitoriza/evalua progresul/impactul
politicilor publice relevante pentru reforma in sanatate.
5. OS 5 Dezvoltarea capacitatii de formulare a alternativelor la politicile publice prin suport acordat pentru intelegerea conceptului de
advocacy prin dezvoltarea unui parteneriat operational intre parterii sociali, mediul academic si alti factori relevanti, elaborarea
unei strategii de advocacy relevanta la nivel national in randul partenerilor sociali din domeniul sanitar/socio profesional si
organizarea unei campaniii de advocacy, cu implicarea organizatiilor sindicale la nivel national.
6. OS 6 Cresterea capacitatii partenerilor sociali din domeniile sanitar si socio profesional prin sprijinirea acestora in dezvoltarea
tehnica/administrativa (achizitionare website, dotare cu laptopuri si multifunctionala, etc.)</t>
  </si>
  <si>
    <t>1.SINDICATUL SANITAS COVASNA
2. FUNDATIA EUROACCES</t>
  </si>
  <si>
    <t>Asociatia Centrul de Resurse APOLLO</t>
  </si>
  <si>
    <t>Cresterea capacitatii PTIR de a formula politici publice alternative in domeniul debirocratizarii si
simplificarii procedurilor aplicabile mediului de afaceri</t>
  </si>
  <si>
    <t>ASOCIATIA "PATRONATUL TINERILOR INTREPRINZATORI DIN ROMANIA"</t>
  </si>
  <si>
    <t>Obiectivul general al proiectului este reprezentat de cresterea capacitatii Patronatului Tinerilor Intreprinzatori din Romania de a elabora,
fundamenta si sustine politici publice in domeniul sau de activitate, pentru a sprijini dezvoltarea competitivitatii sectorului IMM si pentru a
facilita adaptarea administratiei publice din Romania la nevoile reale ale mediului de afaceri. Elementul central al proiectului este
debirocratizarea si simplificarea procedurilor aplicabile mediului de afaceri, prin reducerea sarcinilor administrative impuse acestuia, cu
accent pe obtinerea autorizatiei de functionare a IMM-urilor, a avizelor si a acordurilor aferente</t>
  </si>
  <si>
    <t>Cresterea implicarii ONG-urilor si partenerilor sociali in promovarea politicilor pulbice alternative
pentru copiii cu TSA (ONGPP)</t>
  </si>
  <si>
    <t>ASOCIATIA HELP AUTISM</t>
  </si>
  <si>
    <t>Galati</t>
  </si>
  <si>
    <t xml:space="preserve">Asociația Transparență pentru Integritate   </t>
  </si>
  <si>
    <t>Transparență, etică și integritate prin parteneriat social</t>
  </si>
  <si>
    <t>Obiectivul general al proiectului: 
Implementarea unui sistem management performant la nivelul UAT Municipiul Caracal, structurat pe baza cerințelor standardului internațional ISO 9001:2015 și susținut prin dezvoltarea sistemului informatic al instituției.
OS 1 – Dezvoltarea, implementarea și certificarea unui sistem de management al calității, ce
optimizează procesele orientate către beneficiari în concordanță cu SCAP.
OS 2 – Asigurarea unui instrument suport pentru SMC prin dezvoltarea sistemului informatic al instituției.
OS 3 – Dezvoltarea abilităților personalului din cadrul Primăriei Municipiului Caracal și al instituțiilor subordonate Primăriei Caracal prin:
• asigurarea formării profesionale a 10 persoane din cadrul primăriei Municipiului Caracal pentru proiectarea, implementarea și funcționarea Sistemului de management al calității și în domeniul Auditului intern al SMC;
• asigurarea formării profesionale al personalului de conducere al primăriei Municpiului Caracal (10 persoane) în domeniul Management Strategic;
• asigurarea formării profesionale a 45 persoane din grupul țintă, pentru implementarea Sistemului de Mangement al Calității și integrarea SMC cu SCIM. 
• dezvoltarea unui Ghid de bună practică privind integrarea SMC cu SCIM în cadrul UAT și evaluarea performanțelor SMC pe baza Modelului CAF
OS 4 – Promovarea standardelor și instrumentelor managementului calității prin organizarea și
derularea a 6 sesiuni de instruire pentru 90 persoane din cadrul instituției primarului și a instituțiilor subordonate, pe temele: Management Strategic, Sistemul de Management al Calității conform ISO 9001:2015, Integrarea cerințelor OSGG 400 în cadrul SMC.</t>
  </si>
  <si>
    <t>121- Pregatire, punere în aplicare, monitorizare si inspectare</t>
  </si>
  <si>
    <t>„Sprijinirea sistemului de învățământ superior privind combaterea exodului absolvenților de studii superioare prin creșterea capacității societății civile de a formula politici publice – EXCELENȚA”</t>
  </si>
  <si>
    <t>Asociația Excelsior pentru Excelență în Educație</t>
  </si>
  <si>
    <t xml:space="preserve">Obiectivul general al proiectului este de imbunatatire a procesului de elaborare participativa a politicilor publice in domeniul invatamantului superior, pentru promovarea unor masuri alternative de insertie/ocupare pe piata muncii in randul studentilor si a absolventilor de studii superiore, precum si reducerea fenomenului de migratie a acestora pentru gasirea unui loc de munca in alte tari, prin cresterea capacitatii organizatiei non-guvernamentale de a formula si a promova politici publice alternative la politicile publice initiate de Guvern, avand ca scop dezvoltarea si introducerea unor sisteme si standarde in administratia publica, orientate catre cetateni si mediul de afaceri, in concordanta cu SCAP.
Obiectivele specifice ale proiectului
1. Obs.1) Facilitarea dezvoltarii mecanismelor de formulare, promovare si monitorizare a politicillor publice, de consolidare a dialogului social si civic, precum si intelegerea nevoii de reformare a administratiei publice, prin aprofundarea si realizarea analizei detaliate de nevoi si necesitati existente la nivel national in domeniul invatmantului superior pentru promovarea unor masuri alternative de insertie/ocupare pe piata muncii in randul studentilor si a absolventilor de studii superiore, precum si
reducerea fenomenului de migratie a acestora pentru gasirea unui loc de munca in alte tari.
2. Obs.2) Cultivarea si dezvoltarea cunostintelor, competentelor si abilitatilor a 40 persoane din Gupul tinta, reprezentanti ai ONGului, in urma participarii la sesiuni de instruire in formularea politicilor publice si in mananagement strategic, inclusiv prin abordarea temelor de devoltare durabila, egalitate de sanse si nediscriminare.
3. Obs.3) Formularea si promovarea a cel putin 2 politici publice in domeniul invatamantului superior, care vin in sprijinul dezvoltarii facilitatilor necesare reducerii exodului de studenti si absolventi, ca urmare a dezvoltarii unui mecanism performant si profesionist (caravana nationala sub forma unor evenimente de tip „masa rotunda”, cu aplicabilitate de workshop), pentru formularea si promovarea de politici publice alternative.
4. Obs.4) Crearea si dezvoltarea de instrumente cu aplicabilitate de monitorizare si evaluare a politicilor publice si de consolidare a dialogului social si civic, prin dezvoltarea unui sistem online de monitorizare si evaluare, dar si prin dezvoltarea unui manual de bune practici sub forma unui standard cu aplicabilitate in sectorul public si privat, privind implementarea instrumentelor/sistemelor dezvoltate prin proiect.
</t>
  </si>
  <si>
    <t>Targu-Jiu</t>
  </si>
  <si>
    <t>Educarea și conștientizarea personalului cu risc de corupție din cadrul UAT Sector 4, prin implementarea unor măsuri preventive anticorupție</t>
  </si>
  <si>
    <t>Implementarea, certificarea sistemului de management al calității conform standardului ISO 9001 la Consiliul Județean Arad</t>
  </si>
  <si>
    <t>Județul Arad</t>
  </si>
  <si>
    <t>Politici publice alternative pentru dezvoltarea planurilor de acțiune de eficientizare energetica</t>
  </si>
  <si>
    <t>Asociația "Agenția pentru Eficiența Energetică și Protecția Mediului"</t>
  </si>
  <si>
    <t>OBIECTIV GENERAL:
Dezvoltarea capacitatii de formulare si promovare a propunerilor de politici publice de catre AEEPM, 4 parteneri sociali cu
reprezentativitate nationala (UGIR, CNIPMMR, BNS si CNSRL Fratia) si alte 4 filiale ale acestora (in total 8 parteneri sociali) si 4 ONG-uri
(ALE Alba, AME Maramures, AEEERP Prahova, AME Timis) pentru dezvoltarea unui set de propuneri de politici publice in domeniul
asigurarii eficientei energetice la nivelul comunitatilor locale prin elaborarea siimplementarea planurilor de eficienta energetica. OG al
proiectului vizeaza formularea de alternative cu privire la legea eficientei energetice (Legea 121/2014 reactualizata)</t>
  </si>
  <si>
    <t xml:space="preserve">Asociația Regională Pentru Dezvoltare Socială </t>
  </si>
  <si>
    <t>ASOCIAȚIA REGIONALĂ PENTRU PROMOVAREA CAPITALULUI UMAN</t>
  </si>
  <si>
    <t>Dezvoltarea parteneriatului dintre ONG-uri si administratie pentru promovarea modalitatilor durabile de
transport in interiorul localitatilor</t>
  </si>
  <si>
    <t>AGENTIA PTR.DEZVOLTARE REGIONALA A REGIUNII DE DEZVOLTARE SUD-EST</t>
  </si>
  <si>
    <t>Obiectivul general al proiectului consta in cresterea capacitatii ONG-urilor si a partenerilor sociali din cele opt Regiuni de Dezvoltare ale
Romaniei de a formula propuneri de politici publice alternative care promoveaza mersul pe bicicleta. Prin obiectivul sau general, proiectul
contribuie la realizarea obiectivului specific 1.1 – „Dezvoltarea si introducerea de sisteme si standarde comune in administratia publica ce
optimizeaza procesele decizionale orientate catre cetateni si mediul de afaceri in concordanta cu Stategia pentru Consolidarea
Administratiei Publice - SCAP”, aferent axei prioritare 1 – Administratie publica si sistem judiciar eficiente, din cadrul Programului
Operational Capacitate Administrativa 2014-2020.</t>
  </si>
  <si>
    <t>ASOCIAȚIA ORGANIZAȚIA PENTRU
PROMOVAREA TRANSPORTULUI
ALTERNATIV ÎN ROMÂNIA</t>
  </si>
  <si>
    <t>Brăila</t>
  </si>
  <si>
    <t>DISC-Dezvoltarea Integrată a Sistemului Calității</t>
  </si>
  <si>
    <t>Municipiul Botoșani</t>
  </si>
  <si>
    <t>Botoșani</t>
  </si>
  <si>
    <t>Monumente istorice - planificare strategica si politici publice optimizate</t>
  </si>
  <si>
    <t>INSTITUTUL NATIONAL AL PATRIMONIULUI/Direcþia Patrimoniu Imobil</t>
  </si>
  <si>
    <t>Asociația Romana pentru Transparenta</t>
  </si>
  <si>
    <t>1.  UNIVERSITATEA "ALEXANDRU IOAN CUZA" din IASI/Rectorat, 
2. UNIVERSITATEA ,, LUCIAN BLAGA '' DIN SIBIU/rectorat,
3. UNIVERSITATEA BABES BOLYAI/RECTORAT,
 4. UNIVERSITATEA BUCURESTI,
5. UNIVERSITATEA DE VEST TIMISOARA,
6. UNIVERSITATEA DIN CRAIOVA</t>
  </si>
  <si>
    <t>Obiectivul general al proiectului este creșterea accesului la justiție pentru cetățenii, în special pentru cei aparținând grupurilor vulnerabile, care sunt victime ale unor abuzuri sau nereguli din administrația publică și sistemul judiciar, prin crearea şi operaționalizarea unei rețele de centre de documentare și asistență. Existența unor centre de asistență și documentare permite de asemenea, dezvoltarea capacității profesioniștilor în domeniul dreptului de a-și reprezenta interesele și/sau clienții în litigiile sau conflictele pe care le au cu autoritățile administrației publice sau cu instituțiile din sistemul judiciar. Mai mult decât atât, având în vedere că cetățenii care aparțin unor GRUPURI VULNERABILE, sunt mai expuși decât media, unor nereguli sau abuzuri în administrație sau justiție, este necesară creșterea capacității persoanelor care desfășoară sau sunt autorizate să desfășoare o activitate juridică, a specialiștilor în domeniul dreptului și a personalului din cadrul instituțiilor din sistemul judiciar, de a lucra cu persoanele din grupurile vulnerabile. În acest moment, facultățile de drept, Institutul Național pentru Pregătirea și Perfecționarea Avocaților, Institutul Național al Magistraturii, Școala Națională de Grefieri, facultățile de administrație publică la ciclul de licență, nu oferă pregătire (nici măcar un curs) privind modul de relaționare profesională al specialiștilor în drept cu justițiabilii care fac parte din grupuri vulnerabile, având abilități foarte slab dezvoltate (fără educație, analfabeți), dizabilități fizice, persoane aparținând unor minorități naționale, refugiați sau solicitați de azil care nu stăpânesc limba română etc. Prin activitățile sale, proiectul va crește ACCESUL LA JUSTIŢIE, în special pentru persoanele aparținând grupurilor vulnerabile, mai ales în LITIGIILE de contencios administrativ și litigii de asigurări sociale, și va promova căi alternative de rezolvare a litigiilor, pe cale administrativă, inclusiv prin jurisdicțiile speciale administrative. Astfel, intervenția are în vedere că printre cele mai prezente probleme de acces la justiție pentru persoanele din GRUPURI VULNERABILE sunt cele în care cetățenii sunt victime ale unor abuzuri, sau neglijențe din administrația publică și adresează în primul rând aceste nevoi.</t>
  </si>
  <si>
    <t>Simplificarea legislației în domeniile resurselor minerale și societăților cu capital de stat</t>
  </si>
  <si>
    <t>Combaterea fraudei alimentare la nivel național prin creșterea capacității societății civile de a formula politici publice</t>
  </si>
  <si>
    <t>Asociația Corpul Experților în Siguranță Alimentară (CESA)</t>
  </si>
  <si>
    <t>Obiectivul general al proiectului este de imbunatatire a procesului de elaborare participativa a politicilor publice pentru prevenirea fraudei
alimentare si pentru asigurarea sigurantei alimentare in cadrul produselor romanesti si in cadrul produselor certificate Halal si Kosher, dar
si pentru reglementarea acestei proceduri de certificare, prin cresterea capacitatii organizatiei non-guvernamentale de a formula si a
promova politici publice alternative la politicile publice initiate de Guvern, avand ca scop dezvoltarea si introducerea unor sisteme si
standarde in administratia publica, orientate catre cetateni si mediul de afaceri, in concordanta cu SCAP.</t>
  </si>
  <si>
    <t>Dezvoltarea capacitatii sectorului ONG de formulare a politicilor publice in vederea optimizarii procesului de implementare a Programelor Operationale finantate prin fondurile europene structurale si de investitii (FESI) 2014-2020</t>
  </si>
  <si>
    <t>Asociatia Consultantilor din Romania pentru Accesarea Fondurilor Europene</t>
  </si>
  <si>
    <t>Obiectivul general al proiectului este cresterea capacitatii administrative a ACRAFE in vederea elaborarii unei politici publice cu impact
asupra optimizarii procedurilor de lucru existente la nivelul institutiilor implicate in coordonarea, gestionarea si controlul fondurilor ESI
2014-2020, integrata in mod coerent in politicile existente si care sa contribuie la imbunatatirea si accelerarea procesului de absorbtie a
fondurilor europene in Romania.</t>
  </si>
  <si>
    <t>Obiectivul general: creșterea transparenței actului administrativ în România prin impementarea de mecanisme și măsuri de prevenire a fenomenului de corupție, precum și pregătirea personalului din instituțiile publice în acest sens. OS1 - Implementarea în instituția publică solicitantă a unei proceduri interne specifice care are ca finalitate dezvoltarea spiritului etic și integritatea funcționarilor în exercitarea actului administrativ; OS2 - Elaborarea unui ghid de bune practici în instituția ăublică solicitantă cu scopul de a preveni corupția și conflictele de interese în APL și de astbili indicatori specifice de evaluare; OS3 - Organizarea  a 1 campanie și 1 workshop de conștientizare publică a fenomenului de corupție și promovarea transparenței în APL percum și educația anticorupței; OS4 - Formarea personalului autorității publice solicitante (30 pers.) în vederea prevenirii și limitării fenomenului de corupție în instituțiile publice locale</t>
  </si>
  <si>
    <t>Obiectivul general: eficientizarea activității administrației publice locale din județul Brăila prin implementarea unui sistem unitar de management al calității, în concordanță cu Planul de acțiuni pentru implementarea etapizată a managementului calității în autorități și instituții publice 2016-2020. OS1 - Implementarea și certificarea sistemului de management al calității ISO 9001-2015 pentru serviciile către cetățeni, la nivelul CJ Brăila și al unor instituții subordonate; OS2 - Creșterea performanței organizaționale a CJ Brăila prin implementarea instrumentului de auto-evaluare a modului de funcționare a instituiilor administrației publice (CAF); OS3 - Formarea specifică a personalului din cadrul APL din județul Brăila pentru implementarea sistemului de management al calității, în vederea obținerii de beneficii durabile</t>
  </si>
  <si>
    <t>Județul Brăila</t>
  </si>
  <si>
    <t>Dezvoltarea sistemului de management anticorupíe la nivelul judeúlui Giurgiu - SisABC</t>
  </si>
  <si>
    <t>Fundația Centrul de Resurse Juridice</t>
  </si>
  <si>
    <t>Obiectivul general: Consolidarea și certificarea conform standardului ISO 37001 a sistemului de management anticorupție la nivelul județului Giurgiu în conformitate cu cele mai bune practici promovate de Strategia Națională Anticorupție 2016-2020. OS1 - Prevenirea și combaterea corupției în cadrul CJ Giurgiu și instituțiilor subordonate prin consolidarea cadrului procedural și îmbunătățirea cunoștințelor și  abilităților personalului; OS2 - Prevenirea și combaterea corupției la nivelul a 10 UAT pilot, prin îndrumare metodologică cu privire la cadrul procedural și dezvoltarea cunoștințelor necesare dezvoltării și implementării sistemului de management anticorupție; OS 3 - Elaborarea și implementarea unor mecanisme de cooperare cu societatea civilă, precum și între autoritățile publice privind monitorizarea și evaluarea implementării măsurilor anticorupție</t>
  </si>
  <si>
    <t>Județul Giurgiu</t>
  </si>
  <si>
    <t>Sisteme, standarde si procese eficientizate si optimizate in cadrul Primariei Municipiului Codlea</t>
  </si>
  <si>
    <t>Obiectivul general:Introducerea si implementarea unitara a instrumentului specific ISO 9001, in vederea dezvoltarii unui sistem optim, unitar si performant de management al calitatii si al performantei, in cadrul administratiei publice locale a Municipiului Codlea.                                                                 Obs.1) Sustinerea dezvoltarii si elaborarii angajamentului de management privind infiintarea si punerea in aplicare a sistemului de
management al calitatii (SMC), prin derularea unui program de constientizare privind SMC la nivelul angajatilor institutiei si prin
elaborarea politicii de calitate.
Obs.2) Sustinerea stabilirii domeniului de aplicare al SMC si pregatirea resurselor necesare implementarii acesteia, prin
elaborarea analizei privind indentificarea zonelor si proceselor de aplicare al SMC la nivel organizational, a documentului
“Domeniu de aplicare pentru implementarea SMC” si a planificarii resurselor de timp necesare implicarii personalului.
Obs.3) Cultivarea si dezvoltarea cunostintelor, competentelor si abilitatilor personalului din UAT Codlea, prin participarea la
programe de instruire in domeniul ISO 9001:2015 si la programe de formare de Specialisti in managementul calitatii, inclusiv prin
abordarea temelor de devoltare durabila, egalitate de sanse, nediscriminare si egalitate de gen.
Obs.4) Sustinerea planificarii si implementarii unei cartografieri a riscurilor si vulnerabilitatilor procedurilor si activitatilor institutiei,
prin elaborarea Diagramei de flux si a listei privind riscurile si vulnerabilitatile.
Obs.5) Sustinerea dezvoltarii si a conformarii Sistemului de managementul calitatii cu cerintele Standardului ISO 9001:2015 si a
documentatiei SMC, prin dezvoltarea planului de implementare, elaborarea manualului calitatii, elaborarea procedurilor de sistem
si prin elaborarea instructiunilor de lucru.
Obs.6) Sustinerea dezvoltarii procedurilor privind controlul documentelor implementate si monitorizarea SMC, prin elaborarea
unui sistem de control al documentelor si realizarea de analize periodice a SMC in vederea imbunatatirii permanente a actiunilor
intreprinse precum si realizarea de auditari interne.</t>
  </si>
  <si>
    <t>Îmbunătățirea capacității administrației publice locale de a furniza servicii în baza principiilor de etică, transparență și integritate</t>
  </si>
  <si>
    <t>Județul Călărași</t>
  </si>
  <si>
    <t>Sa spunem NU coruptiei</t>
  </si>
  <si>
    <t>Județul Sibiu</t>
  </si>
  <si>
    <t>Asociația Română Pentru Transparență</t>
  </si>
  <si>
    <t>Sibiu</t>
  </si>
  <si>
    <t>Cresterea capacitatii administrative a Municipiului Constanta prin implementarea de masuri in
domeniul anticoruptiei</t>
  </si>
  <si>
    <t xml:space="preserve">Obiectivul general al proiectului il reprezintă creșterea transparentei, eticii si integrității în cadrul Primăriei Constanta, in decursul a 16 luni, prin realizarea unei proceduri operaționale anticorupție, a unui ghid/manual bune practici de etica si integritate si instruirea personalului propriu in vederea aplicării masurilor de prevenire a corupției.
Obiectivele specifice ale proiectului
1. OS1. Realizarea unui ghid/procedura operaționala privind corupția si masurile necesare de prevenire a acesteia
2. OS2. Realizarea unei campanii pentru educarea comportamentului anticorupție
3. OS3. Instruirea angajaților Primăriei municipiului Constanta in domeniul anticorupție, eticii si integrității (40 de persoane).
</t>
  </si>
  <si>
    <t>0,00</t>
  </si>
  <si>
    <t>Politici publice alternative în domeniul calității aerului</t>
  </si>
  <si>
    <t>Asociația „Breasla Constructorilor Ieșeni”</t>
  </si>
  <si>
    <t>Asociația Creștem România Împreună / Grupul de Inițiativă în Promovarea Opiniei Publice - GIPRO /  Asociația Eco Natura Comunității Băicoi / Asociația ,,Organizația Huțul-Eko” Brodina</t>
  </si>
  <si>
    <t>Optimizarea standardelor de calitate in sistemul public al Municipiului Timisoara</t>
  </si>
  <si>
    <t>Municipiul Timișoara</t>
  </si>
  <si>
    <t>Obiectivul general al proiectului este completarea sistemelor de management al calitatii existente la nivelul administratiei publice a Municipiului Timisoara, in vederea consolidarii capacitatii institutionale a Municipiului Timisoara si adaptarii serviciilor adresate cetatenilor.</t>
  </si>
  <si>
    <t>Timișoara</t>
  </si>
  <si>
    <t>Implementarea Sistemului de Management al Calitatii si Performantei conform SR EN ISO 9001:2015 în cadrul Consiliului Judetean Salaj</t>
  </si>
  <si>
    <t>Spre o administrație publică performantă</t>
  </si>
  <si>
    <t>Obiectivul general - Cresterea transparentei actului administrativ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vor participa la sesiuni de formare si la intalniri cu societatea civila.
OS1 – Organizarea a 10 ateliere de lucru cu tematici specifice de constientizare publica a fenomenului de coruptie si promovarea transparentei in administratia publica locala precum si educatia anticoruptie.
OS2 – Formarea personalului autoritatii publice solicitant (100 persoane) in vederea prevenirii si limitarii fenomenului de coruptie in institutiile publice locale
 OS3 – Elaborarea unui ghid de bune practici in institutia publica solicitanta cu scopul de a preveni coruptia si conflictele de interese in  administratia publica locala si de a stabili indicatori specifici de evaluare.
OS4 – Implementarea in institutia publica solicitanta a unei proceduri interne specifice care are ca finalitate dezvoltarea spiritului etic si integritatea functionarilor in exercitarea actului administrativ.</t>
  </si>
  <si>
    <t>Formare, Dezvoltare, Responsabilizare pentru prevenirea coruptiei si asigurarea eticii si integritatii in administratia publica a Municipiului Fetesti</t>
  </si>
  <si>
    <t>Fetesti</t>
  </si>
  <si>
    <t>Introducerea de sisteme si standarde comune în administrația publica locala din județul Bihor pentru optimizarea proceselor orientate către beneficiari în concordanță cu SCAP - acronim ISOBihor</t>
  </si>
  <si>
    <t>Județul Bihor</t>
  </si>
  <si>
    <t>Oradea</t>
  </si>
  <si>
    <t xml:space="preserve">Obiectivul general: Modernizarea şi eficientizarea sistemului de management al Primăriei municipiului Bistriţa, în vederea îmbunătăţirii calităţii serviciilor orientate către cetăţeni.                                                                                                                                                                                                                       
OS1. Implementarea Cadrului comun de autoevaluare a modului de funcţionare a instituţiilor publice la nivelul Primăriei municipiului Bistriţa în primele 15 luni de implementare a proiectului;
OS2.  Îmbunătăţirea abilităţilor în domeniul CAF pentru 60 de persoane – aleşi locali şi personal de conducere şi de execuţie din cadrul Primăriei municipiului Bistriţa, în vederea optimizării proceselor orientate către cetăţeni, în primele 13 luni de implementare a proiectului.
</t>
  </si>
  <si>
    <t>Implementarea si dezvoltarea de sisteme si standarde comune pentru optimizarea proceselor decizionale în domeniul apelor si padurilor, aplicarea sistemului de politici bazate pe dovezi în Ministerul Apelor si Padurilor pentru sistematizarea si simplificarea legislației din domeniul apelor si realizarea unor proceduri simplificate pentru reducerea poverii administrative pentru mediul de afaceri în domeniul silviculturii</t>
  </si>
  <si>
    <t>1. Academia de Studii Economice
2. INSTITUTUL NAȚIONAL DE CERCETARE-DEZVOLTARE ÎN SILVICULTURA "MARIN
DRACEA"</t>
  </si>
  <si>
    <t>CP6 more /2017</t>
  </si>
  <si>
    <t xml:space="preserve">1. Ministerul Afacerilor Interne
</t>
  </si>
  <si>
    <t>Sprijinirea măsurilor referitoare la prevenirea corupției la nivelul municipiului Drobeta Turnu Severin</t>
  </si>
  <si>
    <t>Municipiul Drobeta Turnu Severin</t>
  </si>
  <si>
    <t xml:space="preserve">Obiectivul general al proiectului/Scopul proiectului
Obiective proiect
Sprijinirea masurilor de prevenire a coruptiei la nivelul UAT Municipiul Drobeta Turnu Severin.
Obiectivele specifice ale proiectului
1. OS1: Aplicarea unitara a normelor, mecanismelor si procedurilor in materie de etica si integritate la nivelul UAT Municipiul
Drobeta Turnu Severin
2. OS2: Cresterea gradului de implementare a masurilor referitoare la prevenirea coruptiei si a indicatorilor de evaluare in autoritatile
si institutiile publice
3. OS3: Imbunatatirea cunostintelor si a competentelor personalului din UAT Municipiul Drobeta Turnu Severin in ceea ce priveste
prevenirea coruptiei
</t>
  </si>
  <si>
    <t>ASOCIAȚIA CENTRUL PENTRU DEZVOLTARE URBANĂ ȘI TERITORIALĂ</t>
  </si>
  <si>
    <t xml:space="preserve">Obiectivul general al proiectului/Scopul proiectului
Obiective proiect
Implementarea unui instrument de monitorizare de tip benchmarking urban adresat principalelor municipii din România, pentru ca acestea sa-si poată compara performanța în livrarea serviciilor publice la nivel local, în vederea facilitării proceselor de transfer de cunoștințe si adaptare la necesitățile locale pentru a se raporta la standarde comune.
Obiectivele specifice ale proiectului
1. Dezvoltarea capacității a 8 ONG-uri de a monitoriza si evalua capacitatea autorităților publice locale de a furniza serviciile publice la nivel local.
2. Realizarea unor standarde de benchmarking urban (bazate pe indicatori comparabili) necesare pentru realizarea unei imagini de ansamblu, comparative la nivelul principalelor orașe din România cu privire la livrarea serviciilor publice.
3. Dezvoltare capacității ONG-urilor locale de a formula recomandări de politici publice pentru îmbunătățirea serviciilor publice livrate la nivel local, în 8 municipii selectate dintre principalele municipii din România.
</t>
  </si>
  <si>
    <t>Introducerea unui sistem de management al calității performant si transparent în cadrul UAT – Județul Ilfov</t>
  </si>
  <si>
    <t>Județul Ilfov</t>
  </si>
  <si>
    <t>Ilfov</t>
  </si>
  <si>
    <t>Etică și transparență în administrația publică</t>
  </si>
  <si>
    <t>Asociația Transparență pentru Integritate</t>
  </si>
  <si>
    <t xml:space="preserve">Obiectivul general al proiectului/Scopul proiectului
Obiective proiect
Sprijinirea măsurilor de prevenire a corupţiei la nivelul Primăriei Municipiului BăileştiObiectivele specifice ale proiectului
1. Obiective specifice
OS1: Aplicarea unitară a normelor, mecanismelor şi procedurilor în materie de etică şi integritate la nivelul Primăriei Băileşti;
Pentru realizarea acestui obiectiv specific vor fi derulate activităţile de realizare a următoarelor documente:1 ghid privind punerea
în aplicare a cadrului legal în domenil eticii şi integrităţii;1 manual de bune practici în domeniul eticii şi integrităţii şi 2 proceduri
operaţionale privind măsurile preventive anticorupţie în acele domenii cu funcţii identificate ca având vulnerabiltăţi la corupţie.
OS2: Creşterea gradului de implementare a masurilor referitoare la prevenirea corupţiei şi a indicatorilor de evaluare în
autorităţile şi instituţiile publice;
În vedere atingerii acestui obiectiv vor fi derulate activităţile pentru realizarea: unui mecanism de cooperare cu societatea civilă
privind monitorizarea şi evaluarea implementării măsurilor anticorupţie şi a unei campanii de educaţie anticorupţie.
OS3: Îmbunătăţirea cunoştinţelor şi a competenţelor personalului din Primăria Municipiului a Băileşti în ceea ce
priveşte prevenirea corupţiei.
Pentru realizarea acestui obiectiv vor fi derulate activităţile de instruire la care vor participa 50 de persoane, după cum urmează: 1
sesiune de formare profesională în domeniul educaţiei anticorupţie, transparenţă, etică şi integritate – 25 de participanţi aleşi
locali şi personal de conducere şi personal de execuţie;1 sesiune de formare în domeniul evaluării riscurilor – 25 de participanţi
personal de execuţie.
</t>
  </si>
  <si>
    <t>Băilești</t>
  </si>
  <si>
    <t>Parteneriat pentru etică și integritate în Consiliul Județean Buzau</t>
  </si>
  <si>
    <t>Județul Buzău</t>
  </si>
  <si>
    <t>Politici publice alternative de mediu în România</t>
  </si>
  <si>
    <t>Asociația Simț Civic</t>
  </si>
  <si>
    <t>ASOCIATIA ROMANA PENTRU MANAGEMENTUL DESEURILOR - A.R.M.D.</t>
  </si>
  <si>
    <t>Un plus de transparență, etică  și integritate</t>
  </si>
  <si>
    <t>Obiectivul general al acestui proiect este acela de a creste transparenta actului administrativ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Concomitent grupul tinta va participa la sesiuni de formare profesionala in domeniul anticoruptiei, dar si la campanie si workshop de educatie anticoruptie.
 OS1 – Implementarea in institutia publica solicitanta a unei proceduri interne specifice care are ca finalitate dezvoltarea spiritului etic si integritatea functionarilor in exercitarea actului administrativ.
 OS2 – Elaborarea unui ghid de bune practici in institutia publica solicitanta cu scopul de a preveni coruptia si conflictele de interese in administratia publica locala si de a stabili indicatori specifici de evaluare.
OS3 – Organizarea unei campanii de educatie anticoruptie, al carei scop este promovarea transparentei in administratia publica locala.
 OS4 – Organizarea unui workshop de educatie anticoruptie care vizeaza cresterea transparentei la nivel de administratie publica locala.
 OS5 –Formarea personalului autoritatii publice solicitant (28 persoane) in vederea prevenirii si limitarii fenomenului de coruptie in institutiile publice locale</t>
  </si>
  <si>
    <t>Agenția Națională de Integritate</t>
  </si>
  <si>
    <t>ASOCIATIA ROMANA PENTRU TRANSPARENTA</t>
  </si>
  <si>
    <t>Municipiul Moreni</t>
  </si>
  <si>
    <t>Prevenire ,educatie si combaterea
coruptiei (PECC)</t>
  </si>
  <si>
    <t>Obiectivul general al acestui proiect este acela de a creste transparenta actului administrativ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Concomitent grupul tinta va participa la
sesiuni de formare profesionala in domeniul anticoruptiei, dar si la campanie si workshop de educatie anticoruptie.
 OS1 – Implementarea in institutia publica solicitanta a unei proceduri interne specifice care are ca finalitate dezvoltarea spiritului etic si integritatea functionarilor in exercitarea actului administrativ.
 OS2 – Elaborarea unui ghid de bune practici in institutia publica solicitanta cu scopul de a preveni coruptia si conflictele de interese in administratia publica locala si de a stabili indicatori specifici de evaluare.
 OS3 – Organizarea unei campanii de educatie anticoruptie, al carei scop este promovarea transparentei in administratia publica locala.
 OS4 – Organizarea unui workshop de educatie anticoruptie care vizeaza cresterea transparentei la nivel de administratie publica locala.
 OS5 – Formarea personalului autoritatii publice solicitant (30 persoane) in vederea prevenirii si limitarii fenomenului de coruptie in institutiile publice locale</t>
  </si>
  <si>
    <t>Moreni</t>
  </si>
  <si>
    <t>Promovarea si aplicarea masurilor pentru
prevenirea corupþiei si consolidarea
principiilor de etica si integritate în
activitatea administraþiei publice locale la
nivelul municipiului Timisoara</t>
  </si>
  <si>
    <t>Formularea si promovarea unei propuneri alternative la politicile publice inițiate de Guvern, conform SCAP, pentru creșterea rezilienței comunităților la situații de urgență prin utilizarea tehnologiei: platforma interactiva “voluntar inteligent” (voluntarI)</t>
  </si>
  <si>
    <t>Fundatia pentru SMURD</t>
  </si>
  <si>
    <t>ASOCIATIA TECHNOLOGY AND INNOVATION FOR SOCIETY TEHNOLOGIE SI INOVARE PENTRU SOCIETATE</t>
  </si>
  <si>
    <t>Elaborarea unei politici publice alternative în domeniul promovarii exporturilor romanesti</t>
  </si>
  <si>
    <t>ASOCIATIA PENTRU PROMOVAREA ALIMENTULUI ROMANESC-A.P.A.R.</t>
  </si>
  <si>
    <t>OG: Cresterea capacitatii Asociatiei pentru Promovarea Alimentului Romanesc (APAR) si a 25 de ONG-uri partenere si parteneri sociali
ai acesteia, de a formula si promova, pe termen lung, propuneri alternative la politicile publice initiate de Guvern, prin elaborarea unei
politici publice alternative în domeniul promovarii produselor romanesti la export si instruirea unui numar de 60 de persoane, personal din
ONG-urile partenere si parteneri sociali ai acesteia.</t>
  </si>
  <si>
    <t>Mogosoaia</t>
  </si>
  <si>
    <t>Măsuri integrate de prevenire a corupției la nivelul autorităților și instituțiilor publice din municipiul Slobozia</t>
  </si>
  <si>
    <t>Municipiul Slobozia</t>
  </si>
  <si>
    <t xml:space="preserve">Obiective proiect
Cresterea transparentei actului administrativ in Romania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Cocomitent grupul tinta va participa la sesiuni de formare profesionala si instruire in domeniul anticoruptiei dar si la o campanie si un workshop de educatie anticoruptie si metode de prevenire a acestui fenomen.
Obiectivele specifice ale proiectului
1. OS1 – Implementarea in institutia publica solicitanta a unei proceduri interne specifice care are ca finalitate dezvoltarea spiritului
etic si integritatea functionarilor in exercitarea actului administrativ.
2. OS2 – Elaborarea unui ghid de bune practici in institutia publica solicitanta cu scopul de a preveni coruptia si conflictele de
interese in administratia publica locala si de a stabili indicatori specifici de evaluare.
3. OS3 – Organizarea a 1 campanie si 1 workshop de constientizare publica a fenomenului de coruptie si promovarea transparentei in administratia publica locala precum si educatia anticoruptie.
4. OS4 – Formarea personalului autoritatii publice solicitant (28 persoane) in vederea prevenirii si limitarii fenomenului de coruptie in institutiile publice locale
</t>
  </si>
  <si>
    <t>Spunem NU corupției!</t>
  </si>
  <si>
    <t xml:space="preserve">
Obiectivul general al proiectului constă în dezvoltarea şi consolidarea capacităţii Consiliului Judeţean Mureş pentru eficientizarea
activităţilor de prevenire şi combatere a coruptiei în administraţia publică locală, promovarea integrităţii pentru îmbunătăţirea
performanţelor în activitate, transparentizarea procesului decizional, în acord cu aşteptările beneficiarilor.
Obiectivele specifice ale proiectului
1. Obiectivul specific 1: Implementarea la nivelul Consiliului Judeţean Mureş a prevederilor Strategiei Naţionale Anticorupţie 2016-
2020, respectiv a Metodologiei de identificare a riscurilor şi vulnerabilităţilor la corupţie.
2. Obiectivul specific 2: Dezvoltarea abilităţilor şi cunoştinţelor personalului din Consiliul Judeţean Mureş şi instituţiile subordonate
pentru aplicarea standardelor legate de etică, integritate şi transparenţă decizională, în scopul prevenirii şi reducerii corupţiei, prin
furnizarea unui program de instruire.
3. Obiectivul specific 3: Informarea cetăţenilor din judeţul Mureş cu privire la importanţă implicării lor în identificarea şi prevenirea
faptelor de corupţie prin: difuzarea unui spot TV, distribuirea celor 1000 pliante, amplasarea celor 150 de afişe, publicarea
informaţiilor legate de proiect pe pagina web şi pe conturile reţelelor de socializare ale CJM .</t>
  </si>
  <si>
    <t>Prevenirea corupției prin măsuri  de sprijin integrate</t>
  </si>
  <si>
    <t>Municipiul Drăgășani</t>
  </si>
  <si>
    <t>Drăgășani</t>
  </si>
  <si>
    <t xml:space="preserve">
Obiectivul general al acestui proiect este acela de a creste transparenta actului administrativ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Concomitent grupul tinta va participa la sesiuni de formare profesionala in domeniul anticoruptiei, dar si la campania de educatie anticoruptie.
Obiectivele specifice ale proiectului
1. OS1 – Implementarea in institutia publica solicitanta a unei proceduri interne specifice care are ca finalitate dezvoltarea spiritului
etic si integritatea functionarilor in exercitarea actului administrativ.
2. OS2 – Elaborarea unui ghid de bune practici in institutia publica solicitanta cu scopul de a preveni coruptia si conflictele de
interese in administratia publica locala si de a stabili indicatori specifici de evaluare.
3. OS3 – Organizarea unei campanii de educatie anticoruptie, al carei scop este promovarea transparentei in administratia publica locala.
4. OS4 – Formarea personalului autoritatii publice solicitant (30 persoane) in vederea prevenirii si limitarii fenomenului de coruptie in institutiile publice locale.
</t>
  </si>
  <si>
    <t>Județul Bacău</t>
  </si>
  <si>
    <t>Fundația de Sprijin Comunitar</t>
  </si>
  <si>
    <t>ASOCIATIA FOUR CHANGE; UNIVERSITATEA "DANUBIUS" DIN GALATI</t>
  </si>
  <si>
    <t>Sprijinirea masurilor referitoare la prevenirea coruptiei la nivelul Municipiului Sebes</t>
  </si>
  <si>
    <t>Integritate prin transparență - ANTICOR Arad</t>
  </si>
  <si>
    <t>Obiectivul general al proiectului îl constituie creşterea transparenţei, eticii şi integrităţii la nivelul UAT Judeţul Arad. Obiectivele specifice ale proiectului 1. Creşterea capacităţii administrative a UAT Judeţul Arad în domeniul transparenţei, eticii şi integrităţii prin implementarea de instrumente adecvate (cod de conduită, proceduri de sistem) 2. Creşterea gradului de conştientizare prin organizarea unei campanii de educaţie pe teritoriul judeţului 3. Creşterea nivelului de educaţie anticorupţie pentru personalul şi aleşii locali din UAT Judeţul Arad</t>
  </si>
  <si>
    <t>Politici publice alternative în domeniul sănătății</t>
  </si>
  <si>
    <t>Federația Filantropia</t>
  </si>
  <si>
    <t>Ministrul Sănatații</t>
  </si>
  <si>
    <t>Transparență și integritate în administrația publică locală din județul Vrancea</t>
  </si>
  <si>
    <t>Județul Vrancea</t>
  </si>
  <si>
    <t>Obiectivul general al proiectului il constituie dezvoltarea unui sistem inovator si flexibil de prevenire a coruptiei, crestere a transparentei, eticii si integritatii prin implementarea unor masuri de prevenire a coruptiei, aplicarea unitara a mecanismelor, procedurilor si normelor de etica si integritate si imbunatatirea cunostintelor si competentelor in ceea ce priveste prevenirea coruptiei la nivelul administratiei publice locale din Vrancea, respectiv la nivelul celor 73 de UAT-uri din 68 comune si 5 orase plus Consiliul Judetean Vrancea, pe parcursul a 12 luni. Obiectivele specifice ale proiectului
1. OS1. Aplicarea unitara a normelor, mecanismelor si procedurilor in materie de etica si integritate in cele 73 de UAT-uri din
Vrancea si Consiliul Judetean Vrancea. Indeplinirea/atingerea OS1 este rezultanta implementarii A3, A4, si A5 (Activitatea 3 -
Analiza si evaluarea planului de actiune de combatere a coruptiei, Activitatea 4 - Implementarea masurilor de prevenire si
reducere a coruptiei si Activitatea 5 - Cooperare cu societatea civila) si va contribui la indicatorul de realizare 5S64 - Autoritati si
institutii publice sprijinite sa dezvolte proceduri operationale privind masurile preventive anticoruptie si indicatorii aferenti
OS1 va fi corelat cu Rezultat program(R-POCA) 3 - Aplicarea unitara a normelor, mecanismelor si procedurilor in materie de etica
si integritate in autoritatile si institutiile publice atins prin Rezultat de proiect 1- 1 Analiza a planurilor sectoriale de combatere a
coruptiei, Rezultat proiect 2 – 1 Raport evaluare riscuri, Rezultat proiect 3 – 1 Studiu sondaj si Rezultat proiect 4 – 2 Mecanisme
de cooperare implementate.
2. OS 2. Cresterea gradulului de implementare a masurilor referitoare la prevenirea coruptiei la nivelul celor 73 de UAT-uri din
Vrancea si Consiliul Judetean Vrancea din judetul Vrancea prin elaborarea si dezvoltarea unui “Ghid de bune practici si
instrumente de lucru pentru prevenirea coruptiei in administratia publica care sa descrie atat o norma/o procedura cat si
modalitatile de implementare aferente si implementarea unor standarde de etica si integritate” si implementarea unei platforme
anticoruptie; Indeplinirea/atingerea OS2 este rezultanta implementarii A4 (Activitatea 4 - Implementarea masurilor de prevenire si
reducere a coruptiei) si va contribui la indicatorul de realizare 5S64 - Autoritati si institutii publice sprijinite sa dezvolte proceduri
operationale privind masurile preventive anticoruptie si indicatorii aferenti
OS2 este in stransa corelatie cu Rezultat program(R-POCA) 4 – Grad crescut de implementare a masurilor referitoare la
prevenirea coruptiei si a indicatorilor de evaluare in autoritatile si institutiile publice atins prin Rezultat de proiect 5 – Elaborarea 1
“Ghid de bune practici si instrumente de lucru pentru prevenirea coruptiei in administratia publica care sa descrie atat o norma/o
procedura cat si modalitatile de implementare aferente si implementarea unor standarde de etica si integritate” si multiplicarea lui
in 74 de exemplare in randul celor 73 de Primarii din judetul Vrancea si la nivelul CJ Vrancea, Rezultat proiect 6 – Dezvoltare 1
platforma anticoruptie si Rezultat proiect 7 – Creare 1 sistem de avertizare („whistle-blowing”) a iregularitatilor si a posibilelor
fapte de coruptie la nivelul Judetului Vrancea (crearea unei adrese de e-mail dedicata).
3. OS 3. Cresterea gradului de constientizare a publicului si personalului institutiilor si autoritatilor publice cu privire la coruptie din
judetul Vrancea prin 4 campanii pentru 200 de astfel de participanti; Indeplinirea/atingerea OS3 este rezultanta implementarii A5
(Activitatea 5 - Cooperare cu societatea civila) si va contribui la indicatorul de realizare 5S65: Sondaj privind perceptia in randul
cetatenilor si al personalului din cadrul administratiei publice, precum si sesiuni de constientizare a publicului cu privire la coruptie.
 OS3 este corelat cu Rezultat program(R-POCA) 5 - Grad crescut de constientizare a coruptiei atat in randul cetatenilor cat si al
personalului din administratia publica atins prin Rezultat proiect 8 –4 Campanii realizate (Organizare sesiuni de informare si
constientizare privind masurile anticoruptie (4 sesiuni x 50 persoane) in randul cetatenilor si personalului din administratia
publica), Rezultat proiect 9 – 200 de persoane informate si Rezultat proiect 10 – 1 300 de chestionare aplicate in randul
cetatenilor, personalului din administratia publica si alesilor locali.
4. OS 4. Imbunatatirea cunostintelor si abilitatilor profesionale pentru 168 de reprezentanti dintre alesi locali si personal din
conducere si executie din cadrul autoritatilor publice locale din Vrancea privind etica si integritatea; Indeplinirea/atingerea OS4
este rezultanta implementarii A6 (Activitatea 6 – Dezvoltare a cunostintelor si abilitatilor grupului tinta) si va contribui la indicatorul
de realizare 5S66: Personal din autoritatile si institutiile publice participant la formare in domeniul prevenirii coruptiei,
transparentei, eticii si integritatii.
OS4 corespunde Rezultatului de program(R-POCA) 6 – Imbunatatirea cunostintelor si a competentelor personalului din
autoritatile si institutiile publice in ceea ce priveste prevenirea coruptiei atins prin Rezultat proiect 11 – 6 Rapoarte formare
aferente celor 6 sesiuni de curs acreditat ANC „Expert Prevenire si Combatere a Coruptiei” si Rezultat proiect 12 Personal instruit
si certificat (168).</t>
  </si>
  <si>
    <t>Focșani</t>
  </si>
  <si>
    <t>Etică și integritate în județul Suceava</t>
  </si>
  <si>
    <t>Județul Suceava</t>
  </si>
  <si>
    <t>Îmbunătățirea accesului la justiție prin dezvoltarea și aplicarea de politici și instrumente noi în activitatea de executare silită</t>
  </si>
  <si>
    <t>Uniunea Națională a Executorilor Judecătorești din România</t>
  </si>
  <si>
    <t>Îmbunătățirea Sistemului de Management al Calității la Primăria Municipiului Calafat</t>
  </si>
  <si>
    <t>Municipiul Calafat</t>
  </si>
  <si>
    <t>Obiectivul general al proiectului/Scopul proiectului
Obiective proiect
Obiectivul general al proiectului consta in sustinerea unui proces de management performant la nivelul Primariei municipiului Calafat,
proces ce va conduce la beneficii durabile si vizibile pentru grupul tinta angrenat, precum: certificarea sistemului de management al
calitatii si performantei in administratia publica locala conform standardului ISO 9001/2015; dezvoltarea personala profesionala prin
schimburi de experienta/networking cu autoritati, institutii, organisme publice nationale si internationale; dezvoltarea abilitatilor individuale
in domenii specifice activitatii administratiei publice.
Astfel, prin obiectivul general al proiectului se va aduce o contributie semnificativa la atingerea OS 2.1 al axei prioritare 2 a POCA prin
introducerea de sisteme si standarde comune in administratia publica locala , ce optimizeaza procesele orientate catre beneficiari in
concordanta cu SCAP 2014 - 2020.
Obiectivele specifice ale proiectului
1. Proiectul isi propune 3 obiective specifice care contribuie in mod efectiv la atingerea obiectivului general al proiectului, asigurand
o buna implementare a proiectului, printr-o corelare logica a acestora cu obiectivul general, rezultatele, indicatorii de proiect si
activitatile/ sub-activitatile proiectului.
Primul obiectiv specific ( OS1) consta in introducerea de instrumente , procese de management la nivel local si va fi atins prin
introducerea unui sistem de management al calitatii si performantei la nivelul Primariei Municipiului Calafat , in concordanta cu
Planul de actiuni pentru implementarea etapizata a managementului calitatii in autoritati si institutii publice 2016 - 2020 - conform
standardului ISO 9001/2015.
Al doilea obiectiv specific ( OS2) consta in organizarea de schimburi de experienta/ networking cu autoritati, institutii, organisme
publice nationale si internationale pentru grupul - tinta implicat si echipa proiectului si va fi atins prin organizarea a 2 workshopuri
si 2 schimburi de experienta transnationale in entitati similare din alte state membre UE.
Al treilea obiectiv specific ( OS3) consta in dezvoltarea abilitatilor persoanlului de la nivelul Primariei Municipiului Calafat pe teme
specifice de interes si va fi atins prin organizarea de 6 cursuri specializate pentru grupul tinta implicat in urmatoarele domenii:
Politici publice, Planificare bugetara, Control managerial intern, Comunicare profesionala, Management in administratia publica
locala, Utilizarea TIC in administratia publica</t>
  </si>
  <si>
    <t>Calafat</t>
  </si>
  <si>
    <t>Implementarea măsurilor de prevenire a corupției la nivelul Municipiului Calafat</t>
  </si>
  <si>
    <t>Obiectivul general al proiectului/Scopul proiectului
Obiective proiect
Cresterea transparentei actului administrativ in Romania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Obiectivele specifice ale proiectului
1. OS1 – Implementarea in institutia publica solicitanta a unei proceduri interne specifice care are ca finalitate dezvoltarea spiritului
etic si integritatea functionarilor in exercitarea actului administrativ.
2. OS2 – Elaborarea unui ghid de bune practici in institutia publica solicitanta cu scopul de a preveni coruptia si conflictele de
interese in administratia publica locala si de a stabili indicatori specifici de evaluare.
3. OS3 – Organizarea a 1 campanie si 1 workshop de constientizare publica a fenomenului de coruptie si promovarea transparentei
in administratia publica locala precum si educatia anticoruptie.
4. OS4 – Formarea personalului autoritatii publice solicitant (28 persoane) in vederea prevenirii si limitarii fenomenului de coruptie in
institutiile publice locale</t>
  </si>
  <si>
    <t>Municipiul Blaj- Administrație publică eficientă</t>
  </si>
  <si>
    <t>Municipiul Blaj</t>
  </si>
  <si>
    <t>Obiectivul general al proiectului/Scopul proiectului
Obiective proiect
Cresterea calitatii actului administrativ asigurat de administratia locala a municipiului Blaj tuturor categoriilor de beneficiari.
Obiectivele specifice ale proiectului
1. OS.1. Asigurarea sistemului de management al performantei si calitatii ISO 9001:2015, inclusiv digitalizarea serviciilor ce
optimizeaza procesele orientate catre beneficiari, in administratia locala a municipiului Blaj in termen de 8 luni de la initierea
procesului de implementare a acestora.
2. OS.2. Imbunatatirea cunostintelor si abilitatilor alesilor locali, precum si angajatilor administratiei locale in furnizarea si
comunicarea unor servicii publice de calitate, inclusiv digitalizate si online, catre beneficiari.</t>
  </si>
  <si>
    <t>Alba</t>
  </si>
  <si>
    <t>Blaj</t>
  </si>
  <si>
    <t>Inițiative în politici publice alternative pentru servicii sociale de impact</t>
  </si>
  <si>
    <t>Asociația Profesională Neguvernamentală de Asistență Socială ASSOC</t>
  </si>
  <si>
    <t>1. Asociația Profesională Neguvernamentală de Asistență Socială – Filiala Vâlcea                                                                       2. Ministerul Muncii si Justitiei Sociale</t>
  </si>
  <si>
    <t>Obiectivul general: Intarirea capacitatii ONG-urilor si a partenerilor sociali de a participa activ la procesul de luare a deciziei, prin dezvoltarea si introducerea
de sisteme si standarde comune, in vederea formularii si promovarii de propuneri alternative la politicile publice initiate de Guvern in
domeniul serviciilor sociale</t>
  </si>
  <si>
    <t>Propunere alternativă la politicile publice inițiate de Guvern în domeniul protecției consumatorilor</t>
  </si>
  <si>
    <t>Fundația Orizonturi Tinere</t>
  </si>
  <si>
    <t>n/a</t>
  </si>
  <si>
    <t xml:space="preserve">Obiectivul general al proiectului este "Optimizarea proceselor decizionale din domeniul protectiei consumatorilor orientate catre cetateni (consumatori) si mediul de afaceri (operatori economici) prin dezvoltarea unei propuneri alternative de politica publica in acest domeniu menita sa imbunatateasca gradul de informare si constientizare a tuturor partilor implicate asupra cadrului legal, procedural si informational aferente domeniului"                                                                                                                                                         OS1. Cresterea capacitatii Fundatiei Orizonturi Tinere si a altor ONG-uri (Asociatia Marilor Retele Comerciale din
Romania) de a elabora propuneri alternative de politici publice in domeniul protectiei consumatorilor prin accesul la programe de instruire a 81 de membri ai grupului tinta, inclusiv reprezentanti a 27 de Comisariate Judetene ale Protectiei Consumatorilor ".
 OS.2 "Imbunatatirea gradului de informare si constientizare a consumatorilor si a operatorilor economici prin formularea
si promovarea unei propuneri alternative la politicile publice initiate de Guvern in domeniul protectiei consumatorului". Prin intermediul grupurilorde lucru ce vor fi organizate vor fi identificate problemele/ provocarile cu care se confrunta atat consumatorii cat si operatoriieconomici vis a vis de diverse aspecte ale acestui domeniu si vor fi gasite solutii care sa rezolve sau sa atenueze acesteprobleme. In etapa de elaborare a propunerii alternative se vor centraliza informatiile culese in cadrul grupurilor de lucru si se vacontura un document care va fi supus dezbaterilor publice in cadrul a 2 conferinte de diseminare si promovare a propuneriialternative. Dupa finalizarea propunerii alternative de politica publica care va cuprinde, in principal, aspectele deficitare aferentedomeniului protectiei consumatorilor asupra carora este necesara interventia, iar pe de alta parte modalitatile de solutionare a acestora, va fi creat si pus in functiune un sistem reprezentat de 5 Infochioscuri Pilot prin intermediul carora se vor transmitemateriale audio-video cu mesaje de impact, corespunzatoare solutiilor identificate.                                                                                                                                           </t>
  </si>
  <si>
    <t>Municipiul Satu Mare</t>
  </si>
  <si>
    <t>Satu Mare</t>
  </si>
  <si>
    <t>Implementarea sistemului de management al calității pentru creșterea performanței administrației publice locale în municipiul Satu Mare</t>
  </si>
  <si>
    <t>Politici publice integrate de gestionare eficienta si transparenta a deseurilor municipale si a datelor -
TRADES</t>
  </si>
  <si>
    <t>Fundația TERRA MILENIUL III</t>
  </si>
  <si>
    <t>FEDERATIA ASOCIATIILOR DE DEZVOLTARE INTERCOMUNITARA CU OBIECT DE
ACTIVITATE MANAGEMENTUL INTEGRAT AL DESEURILOR</t>
  </si>
  <si>
    <t>PRO-INTEGR - consolidarea integrității, reducerea vulnerabilității și riscurilor de corupție în administrația publică din județul Bacău</t>
  </si>
  <si>
    <t>Obiective proiect
Cresterea capacitatii administrative de a preveni si reduce coruptia la nivelul Consiliului Judetean Bacau si a institutiilor subordonate prin
dezvoltarea si implementarea de mecanisme care sa faciliteze punerea in aplicare a Strategiei Nationale Anticoruptie 2016-2020.
Obiectivele specifice ale proiectului1. Cresterea transparentei, eticii si integritatii personalului din Consiliul Judetean Bacau, ca urmare a adoptarii si aplicarii
unitare a unui set de 5 proceduri in materie de etica si integritate, desfasurarea unui seminar informativ cu 21 participanti si elaborarea si distribuirea unei brosuri informative anticoruptie, intr-o perioada de 16 luni.
Cele 5 proceduri elaborate in cadrul proiectului sunt: procedura de sistem privind identificarea indicatorilor anticoruptie, procedura operationala privind identificarea riscurilor de coruptie, procedura operationala privind protejarea persoanelor care raporteaza fapte de coruptie, procedura operationala privind modalitatea de analiza a faptelor de coruptie, procedura de sistem privind implementarea standardului 1 “etica si integritate”. Implementarea procedurilor la nivelul institutiei va contribui la realizarea indicatorului de rezultat 5S25 – Autoritati si institutii publice care au adoptat proceduri operationale privind masurile preventive anticoruptie si indicatorii aferenti. 2. Cresterea gradului de implementare a masurilor eficiente de prevenire a coruptiei in judetul Bacau, prin desfasurarea unei campanii de constientizare a populatiei si a personalului din institutiile publice, a 10 mese rotunde cu 300 participanti din Consiliul Judetean, institutiile subordonate si UAT-urile din judet, intr-o perioada de 16 luni. Cele 10 mese rotunde organizate vor avea in vedere concluziile rezultate in urma realizarii activitatii de sondare a societatii civile privind eficienta masurilor anticoruptie implementate si vor avea ca rezultat sprijinirea unui numar de 99 autoritati si institutii publice sprijinite sa dezvolte proceduri operationale privind masurile preventive anticoruptie si indicatorii aferenti, contribuind astfel la realizarea indicatorului de realizare 5S64.</t>
  </si>
  <si>
    <t>PROGRES – Politici publice responsabile = Guvernare responsabilă</t>
  </si>
  <si>
    <t>FUNDATIA "CENTRUL DE RESURSE JURIDICE"</t>
  </si>
  <si>
    <t>ReFormarea și eficientizarea Managementului Oncologic în România (reFEM-Onco-Ro)</t>
  </si>
  <si>
    <t>Fundația "Renașterea pentru Educație, Sănătate și Cultură"</t>
  </si>
  <si>
    <t xml:space="preserve">Institutul Național de
Sănătate Publică
</t>
  </si>
  <si>
    <t>Obiectivul general.: Cresterea capacitatii beneficiarului ONG de a formula si promova propuneri alternative la politicile publice initiate de Guvern, cu referire la screening-ul pentru cancerul de col uterin, prin derularea de activitati de capacitare si formare a personalului ONG si dezvoltarea de mecanisme de monitorizare si evaluare a politicilor si consultare a stakeholder-ilor, in concordanta cu SCAP 2014-2020.                                                                                                                                                                                                                  O.S.1: Dezvoltarea unor mecanisme independente de monitorizare si evaluare a politicilor publice, in vederea identificarii
statusului actual al programelor de screening privind cancerului de col uterin.                                                                                                                        O.S.2: Dezvoltarea capacitatii beneficiarului ONG, prin crearea unei retele nationale de ONG-uri din domeniul medical si
derularea de activitati de capacitare-formare in trei domenii relevante.                                                                                                                                   O.S.3: Implementarea unor mecanisme de consolidare a dialogului civic si consultare a stakeholder-ilor, in vederea fundamentarii propunerilor de imbunatatire a politicilor publice in domeniul screening-ului pentru cancerul de col uterin.              O.S.4: Formularea si promovarea unei propuneri alternative la politicile publice initiate de Guvern in domeniul screening-ului
pentru cancerul de col uterin</t>
  </si>
  <si>
    <t>Botoșani spune NU corupției</t>
  </si>
  <si>
    <t xml:space="preserve">119 - Investiții în capacitatea instituțională și în eficiența administrațiilor și a serviciilor publice la nivel național, regional și local, în perspectiva realizării de reforme, a unei mai bune legiferări și a bunei </t>
  </si>
  <si>
    <t>Dezvoltarea unei culturi privind prevenirea corupției la nivelul autorității publice locale</t>
  </si>
  <si>
    <t>SMART Decision</t>
  </si>
  <si>
    <t>ASOCIAȚA "CENTRUL DE PREVENIRE A CONFLICTELOR &amp; EARLY WARNING"</t>
  </si>
  <si>
    <t xml:space="preserve">1. ASOCIAȚIA ALIANȚA DUNĂREANĂ
PENTRU SECURITATE INFORMATICĂ                                      2.UNIVERSITATEA NAȚIONALĂ DE
APĂRARE "CAROL I" Partener                3. ASOCIAȚIA "CENTRUL DE ANALIZĂ ȘI STUDII DE SECURITATE"
</t>
  </si>
  <si>
    <t>Asociația Institutul pentru Politici Publice                            Universitatea George Bacovia</t>
  </si>
  <si>
    <t>Anticorupție, integritate, promovarea eticii - AIPE</t>
  </si>
  <si>
    <t>Municipiul Tecuci</t>
  </si>
  <si>
    <t xml:space="preserve">Obiective proiect
Cresterea gradului de implementare a masurilor de prevenire a coruptiei la nivelul UAT Municipiul Tecuci, judetul Galati, regiunea mai putin dezvoltata Sud-est, in paralel cu consolidarea cunostintelor si competentelor pentru personalul din administratia publica locala privind prevenirea coruptiei si cresterea gradului de constientizare a efectelor coruptiei in randul acestora si al cetatenilor, in concordanta cu masurile stabilite in Strategia Nationala Anticoruptie 2016 – 2020. OS 1 Consolidatea integritatii, reducerea vulnerabilitatilor si a riscurilor de coruptie in cadrul institutiei prin elaborarea, revizuirea si simplificarea procedurilor administrative in materie de etica si integritate. Atingerea acestui obiectiv in cadrul Activitatii 1 va incepe prin analiza documentelor/procedurilor existente in cadrul UAT-ului, cu scopul de a elabora procedurile administrative necesare, revizuirea unor proceduri interne, mecanisme de aplicare al Planului de integritate, daca este cazul, care sa faciliteze punerea in aplicare a cadrului legal privind etica si integritatea.
OS 2 Cresterea eficientei masurilor preventive anticoruptie prin imbunatatirea/consolidarea capacitatii de autoevaluare periodica, identificarea riscurilor si vulnerabilitatilor la nivelul institutiei publice locale.
Obiectivul va fi indeplinit prin implementarea Activitatilor 1 si 2, deoarece la nivelul institutiei se identifica o lipsa a capacitatii proprii de realizare a analizei riscurilor si vulnerabilitatilor la coruptie, de identificare a masurilor preventive anticoruptie si a indicatorilor aferenti, precum si lipsa unui model de procedura de sistem privind colectarea sistematica a datelor necesare autoevaluarii gradului de implementare a masurilor preventive anticoruptie obligatorii. OS 3 Cresterea gradului de constientizare a publicului si societatii civile cu privire la impactul fenomenului coruptiei, prin derularea unei campanii de informare publica, organizarea de dezbateri in plan local si promovarea bunelor practici anticoruptie;
Acest obiectiv specific va fi indeplinit prin Activitatea 3 cu subactivitatile aferente unde vor avea lor dezbateri intre autoritatea locala, societatea civila si alte institutii locale. Totodata, se va derula o campanie de constientizare a cetateanului despre efectele coruptiei, prin diseminarea unor materiale informative si promovarea bunelor practici anticoruptie, promovarea eticii si integritatii, folosirea avizierului din cadrul primariei si a paginii de internet.
OS 4 Imbunatatirea cunostintelor si competentelor unui numar de 35 de persoane din cadrul UAT Municipiul Tecuci, personal de conducere si executie din primarie si alesi locali privind masurile de prevenire a coruptiei si a standardelor de integritate.
Cresterea gradului de educatie anticorutie se va realiza prin implicarea personalului institutiei locale in programe de formare profesionala specifice privind conflictul de interese, etica, integritatea, etc.
</t>
  </si>
  <si>
    <t>ASOCIATIA MASTER. CONFERENCE. AWARDS. LAW. - (MCAL)</t>
  </si>
  <si>
    <t>Dezvoltarea mediului rural prin implementarea dialogului social si civic</t>
  </si>
  <si>
    <t>1. SINDICATUL LIBER INDEPENDENT AVICOLA BUZAU                                                 2. ASOCIATIA PENTRU PROMOVAREA SI CONSERVAREA BIODIVERSITATII, A TRADITIILOR RURALE, A TEHNICILOR SI PRODUSELOR TRADITIONALE ROBIOTRAD</t>
  </si>
  <si>
    <t>Cresterea capacitatii partenerilor sociali de a formula si promovara propuneri alternative la politicile publice prin instruie, dezvoltarea si implementarea unui instrument de monitorizare a politicilor publice precum si dezvoltarea si promovarea unei propuneri de modificare a politicilor publice pentru introducerea dialogului social si civic in mediul rural care va conduce la consolidarea capacitatii administratiei publice din mediul rural de a implementa instrumentele necesare cooperarii cu partenerii sociali in vederea orientarii procesului decizional local catre cetateni, in conformitate cu prevederile SCAP.</t>
  </si>
  <si>
    <t>Sacele</t>
  </si>
  <si>
    <t>Servicii transparente către cetățeni - Administrație locală perfromantă (SETALP)</t>
  </si>
  <si>
    <t>Integritate prin proceduri, instruire si prevenire - IPIP</t>
  </si>
  <si>
    <t>Municipiul Călărași</t>
  </si>
  <si>
    <t>Creșterea capacității administrative a Municipiului Roman prin reproiectarea SMC și introducerea CAF</t>
  </si>
  <si>
    <t>Terra Mileniul III</t>
  </si>
  <si>
    <t xml:space="preserve">Obiectivul general al proiectului: Creșterea capacitații administrative a Municipiului Roman prin introducerea CAF, reproiectarea SMC si formarea personalului în vederea optimizarii proceselor orientate catre beneficiari în concordanta cu SCAP
Obiectivele specifice: 
OS1 - Introducerea cadrului de auto-evaluare a modului de funcționare a instituțiilor publice (CAF) la nivelul administrației Municipiului Roman, ca instrument utilizat pentru managementul total al calitatii
OS2 - Reproiectarea si recertificarea sistemului de management al calității conform noilor cerințe ale SR EN ISO 9001:2015
OS3 - Formarea a 50 de persoane de la nivelul administrației Municipiului Roman în vederea creșterii nivelului de cunoștințe si abilități necesare pentru utilizarea si optimizarea permanenta a proceselor din perspectiva unei orientări către beneficiari
</t>
  </si>
  <si>
    <t>Roman</t>
  </si>
  <si>
    <t>Politica publica pentru mestesugul traditional</t>
  </si>
  <si>
    <t>1. Ministerul Culturii și Identității Naționale                                         2. Secretariatul General al Guvernului</t>
  </si>
  <si>
    <t>Florești</t>
  </si>
  <si>
    <t>Obiectivul specific 1: Imbunatatirea abilitatilor si cunostintelor la nivelul a 20 de reprezentanti ai ONGurilor privind participarea publica, formularea, promovarea si monitorizarea politicilor publice.
Obiectivul specific 2: Elaborarea unei politici publice alternativa si documentata privind organizarea mestesugarilor in vederea
practicării activităţii acestora ca profesiune traditionala.
Obiectivul specific 3: Promovarea politicii publice alternative privind organizarea mestesugarilor in vederea practicarii activitatilor acestora ca profesiune traditionala in vederea integrarii in agenda publica spre a fi acceptata</t>
  </si>
  <si>
    <t>8 X S3 = ROMANIA INTELIGENTA</t>
  </si>
  <si>
    <t>Asociația Cluster Mobilier Transilvan</t>
  </si>
  <si>
    <t xml:space="preserve"> 1 –  Filiala Transilvania a Asociației Române pentru Industria Electronică și de Software -Arieș Transilvania
2 -  Asociația Cluster Agro-Food-Ind 
</t>
  </si>
  <si>
    <t>Slatina</t>
  </si>
  <si>
    <t>Inițiativa civică pentru optimizarea prin tehnologie a relației dintre cetățean și autoritățile publice!</t>
  </si>
  <si>
    <t>FUNDATIA "CENTRUL DE ASISTENȚĂ PENTRU ORGANIZAȚII NEGUVERNAMENTALE"</t>
  </si>
  <si>
    <t>Obiectivul general: cresterea capacitatii societatii civile de a genera: 1 propunere de PP alternativa la legislatia ce reglementeaza relatia administratie publica-cetatean prin dezvoltarea de competente si metodologii prin care societatea civila sa poata contribui pe termen lung in mod activ in procesul decisional.</t>
  </si>
  <si>
    <t>TAEJ - Transparenta, accesibilitate si educatie juridica prin imbunatatirea comunicarii publice la nivelul sistemului judiciar</t>
  </si>
  <si>
    <t>Consiliul Superior al Magistraturii</t>
  </si>
  <si>
    <t>Elaborare politica publica - Masuri de ocupare pentru tinerii NETs</t>
  </si>
  <si>
    <t>Asociatia pentru Antreprenoriat, Educatie si Sprijin pentru Tineret</t>
  </si>
  <si>
    <t>Institutul de Economie Nationala</t>
  </si>
  <si>
    <t>Obiectivul general al proiectului: Dezvoltarea de politici publice alternative in domeniul ocuparii fortei de munca si sprijinirea tinerilor someri, corelate cu cerintele europene
pentru sectorul ocupational in Romania</t>
  </si>
  <si>
    <t>CONVENTIA Nationala a Fundatiilor pentru Tineret</t>
  </si>
  <si>
    <t>Instrumente de consolidare a dialogului structurat în politicile publice în domeniul tineretului – ACTIVONGT</t>
  </si>
  <si>
    <t>1. Asociația CIVICUS România
2. Federația Consiliului Tineretului din România</t>
  </si>
  <si>
    <t>Implicarea salvează vieți!</t>
  </si>
  <si>
    <t>Societatea Națională de Cruce Roșie din România</t>
  </si>
  <si>
    <t>Obiectiv general: Cresterea eficientei servicilor publice de gestionare a deseurilor municipale, prin dezvoltarea de politici si standarde comune, promovate in mod unitar si transparent, in interesul cetatenilor si mediului de afaceri.
Obiectivele specifice ale proiectului:
1. Cresterea capacitatii ONG-urilor de implicare în formularea si promovarea de politici publice integrate pentru gestionarea eficienta si transparenta a deseurilor municipale si a datelor raportate privind deseurile municipale;
Acest obiectiv va fi atins intr-o perioada de 16 luni de implementare a proiectului si va contribui la cresterea capacitatii a 2 ONGuri prin activitati ce vizeaza instruirea a 75 de reprezentanti in domeniul managementului deseurilor (subact. 2.1) si 25 de reprezentanti in domeniul politicilor publice (subact. 2.2) si participarea a 5 reprezentanti ONG la conferinte internationale pe tema managementului deseurilor (subact.2.3).
2. Îmbunatatirea politicilor publice privind serviciile publice de gestionare a deseurilor municipale. Va fi realizat in 16 luni prin implementarea activitatii 4 - Formularea si promovarea a cinci politici publice alternative la politica Guvernului privind managementul deseurilor municipale si activitatii 5 - Dezvoltare si implementare soft de monitorizare si evaluare a implementarii politicii privind managementul deseurilor municipale prin intermediul careia se va monitoriza implementarea politicii publice.
3. Construirea consensului în vederea adoptarii modificarilor la politicile publice propuse; Acest obiectiv va fi realizat intr-o perioada de 16 luni prin implementarea act.3 - Constituirea si functionarea unei platforme de cooperare si dialog privind managementul deseurilor municipale si realizarea a 5 intalniri de construire a consensului cu privire la politica propusa de ONGuri.</t>
  </si>
  <si>
    <t>Sprijinirea măsurilor referitoare la prevenirea corupției la nivelul autorităților publice locale din regiunile mai puțin dezvoltate</t>
  </si>
  <si>
    <t>Codlea</t>
  </si>
  <si>
    <t xml:space="preserve">Creşterea transparenţei, eticii şi integrităţii la nivelul Municipiului Codlea, prin intermediul unor activitati care vizeaza identificarea riscurilor
si vulnerabilitatilor la coruptie, realizarea de mecanisme si proceduri anticoruptie si aplicarea unitara a acestora, realizarea unor
mecanisme de cooperare cu societatea civilă, precum si imbunătăţirea cunoştinţelor şi a competenţelor personalului propriu. 1. Obs.1) Cresterea gradului de dezvoltare a capacitatii analitice a UAT-ului, de a efectua activităţi de evaluare a riscurilor si
vulnerabilitatilor in vederea realizarii de actiuni concrete si eficiente de prevenire si combatere a coruptiei.
Pentru realizarea Obs.1) s-a avut în vedere activitatea A3 Dezvoltarea capacitatii analitice a UAT de a efectua activităţi de
evaluare a riscurilor si vulnerabilitatilor in vederea realizarii de actiuni concrete si eficiente de combatere a coruptiei. Rezultatul 1
contribuie la atingerea acestuia.
2. Obs.2) Cresterea gradului de dezvoltare si implementare a unor proceduri de identificare a riscurilor si vulnerabilitatilor la coruptie,
precum si a unor masuri concrete si modalitati de monitorizare permanenta a aplicarii acesteia, la nivel de UAT.
Pentru realizarea Obs.2) s-a avut în vedere activitatea A4. Dezvoltarea si operationalizarea la nivel de UAT a unor proceduri
interne de sistem privind managementul riscurilor si vulnerabilitatilor la coruptie, precum si a unor masuri concrete si modalitati
de monitorizare permanenta a aplicarii acesteia. Rezultatul 2 contribuie la atingerea acestuia.
3. Obs.3) Sustinerea dezvoltarii si implementarii unui mecanism de cooperare cu societatea civila si alte autoritati/institutii publice,
prin infiintarea unui grup de actiune privind prevenirea si combaterea coruptiei (GAPCC) si prin dezvoltarea unor proceduri
organizatorice si a mecanismului de cooperare si functionare a GAPCC.
 Pentru realizarea Obs.3) s-a avut în vedere activitatea A5 Elaborarea şi implementarea unui mecanism de cooperare cu
societatea civilă, precum şi cu alte autorităţi/institutii publice, privind monitorizarea şi evaluarea implementării măsurilor
anticorupţie. Rezultatul 3 contribuie la atingerea acestuia.
4. Obs.4) Sustinerea dezvoltarii si diseminarii unui instrument pentru facilitarea intelegerii mecanismelor de aplicare a cadrului legal
in domeniul eticii si integritatii, prin modele de buna practica.
 Pentru realizarea Obs.4) s-a avut în vedere activitatea A.6. Dezvoltarea si diseminarea unui instrument care sa vina in sprijinul
unei mai bune intelegeri a mecanismelor de aplicare a cadrului legal în domeniul eticii şi integritatii, prin intermediul modelelor de
buna practica. Rezultatul 4 contribuie la atingerea acestuia.
5. Obs.5) Cresterea gradului de informare a cetatenilor, prin organizarea si implementarea unei campanii inovative de educatie
anticoruptie in randul acestora.
 Pentru realizarea Obs.5) s-a avut în vedere activitatea A7 Organizarea si implementarea unei campanii de educatie anticoruptie
in randul cetatenilor. Rezultatul 5 contribuie la atingerea acestuia.
6. Obs.6) Cultivarea si dezvoltarea cunostintelor, competentelor si abilitatilor angajatilor din administratia publica locala, prin
participarea la programe de educatie in domeniul prevenirii si combaterii coruptiei, precum si de dobandire de competente privind
etica si integritatea, inclusiv prin abordarea temelor de devoltare durabila, egalitate de şanse, nediscriminare şi egalitate de gen.
</t>
  </si>
  <si>
    <t xml:space="preserve">Alege libertatea, spune NU corupției </t>
  </si>
  <si>
    <t>Obiectivul general al proiectului/Scopul proiectului
Obiective proiect
Obiectivul general al proiectului vizeaza cresterea transparentei, eticii si integritatii in cadrul Primariei Sectorului 2 prin imbunatatirea
cunostintelor si competentelor a 200 de angajati in domeniile anticoruptie, etica si integritate, operationalizarea a 2 mecanisme privind
masurile anticoruptie si conflictul de interese si desfasurarea unei campanii de contientizare publica anticoruptie.
Obiectivele specifice ale proiectului
1. OS1. Asigurarea unei transparente sporite a actiunilor intreprinse de Primaria Sectorului 2 prin identificarea, dezvoltarea,
implementarea a 2 mecanisme privind masurile anticoruptie si conflictul de interese.
2. OS2. Promovarea transparentei, integritatii si raspunderii in exercitatea functiei publice prin imbunatatirea cunostintelor si
competentelor unui numar de 200 angajati ai Primariei Sectorului 2 in domeniile anticoruptie, etica si integritate.
3. OS3. Cresterea nivelului de educatie anticoruptie prin desfasurarea unei campanii de constientizare publica la nivelul Sectorului
2.</t>
  </si>
  <si>
    <t>Dialog Social Eficient pentru Politici Publice Alternative in Educatia Timpurie</t>
  </si>
  <si>
    <t>CENTRUL PENTRU EDUCATIE SI DREPTURILE OMULUI</t>
  </si>
  <si>
    <t>UNIVERSITATEA 1 DECEMBRIE 1918 ALBA IULIA</t>
  </si>
  <si>
    <t>Dezvoltarea capacității Asociației Colegiul Pacienților de a se implica în formularea și promovarea de alternative la politicile de sănătate publică inițiate de Ministerul Sănătății și Casa Națională de Asigurări de Sănătate</t>
  </si>
  <si>
    <t>Asociația Colegiul Pacienților</t>
  </si>
  <si>
    <t>Municipiul Toplița</t>
  </si>
  <si>
    <t>Consolidarea integritatii în institutiiile_x000D_
publice si în mediul de afaceri</t>
  </si>
  <si>
    <t>Obiectivul general al proiectului consta in cresterea integritatii si reducerea vulnerabilitatilor si a riscurilor de coruptie in mediul de afaceri prin dezvoltarea de proceduri si mecanisme in domeniul eticii si integritatii, in cadrul Ministerului Finantelor Publice si al Ministerului Economiei.                                                                                                                                                                                                            Os.1. Cresterea rezistentei institutionale la fenomene de coruptie prin identificarea riscurilor si vulnerabilitatilor de coruptie pe
sectoare de activitate, in fiecare minister, in functie de specificul activitatii si situatia existenta a fiecarei institutii;
Os.2. Diminuarea riscului de dezvoltare a fenomenului de coruptie prin elaborarea de metodologii si proceduri specific in functie
de specificul activitatii si situatia existenta a fiecarei institutii;
Os.3. Cresterea gradului de constientizare a riscurilor generate de fenomenul coruptiei prin derularea a doua campanii de
constientizare cu specific institutional;
Os.4. Cresterea nivelului de pregatire profesionala a angajatilor din cele doua institutii in domeniul prevenirii fenomenului de
coruptie si totodata eficientizarea implementarii procedurilor elaborate.</t>
  </si>
  <si>
    <t>Teatrul în educație</t>
  </si>
  <si>
    <t>ASOCIAȚIA TEATRUL VIENEZ DE COPII "COPIII JOACĂ TEATRU"</t>
  </si>
  <si>
    <t>TestIMM – Imbunătățirea capacității mediului de afaceri pentru a propune politici publice alternative la inițiativele guvernamentale</t>
  </si>
  <si>
    <t>Asociația Patronatul Tinerilor Întreprinzători din Regiunea Sud-Est</t>
  </si>
  <si>
    <t>Obiectivul general al proiectului il constituie imbunatatirea capacitatii Patronatului Tinerilor Intreprinzatori din Regiunea Sud - Est de a formula si promova propuneri alternative la politicile publice initiate de Guvern si Parlament, care afecteaza mediul de afaceri din Romania. Acest lucru se va realiza prin dezvoltarea de instrumente care ajuta la evaluarea politicilor publice si consolidarea dialogului civic si elaborarea unui numar de 5 propuneri alternative de politici publice.</t>
  </si>
  <si>
    <t>Galațí</t>
  </si>
  <si>
    <t>Împreună spunem Stop abandonului școlar!</t>
  </si>
  <si>
    <t>SOCIETATEA NATIONALĂ DE CRUCE ROȘIE FILIALA DÂMBOVIȚA</t>
  </si>
  <si>
    <t>Târgoviște</t>
  </si>
  <si>
    <t>Help again!</t>
  </si>
  <si>
    <t>SOCIETATEA NATIONALĂ DE CRUCE ROȘIE FILIALA SATU MARE</t>
  </si>
  <si>
    <t>ANALIZA, EFICIENTIZAREA SI
ACTUALIZAREA CADRULUI LEGAL ÎN
DOMENIUL TURISMULUI</t>
  </si>
  <si>
    <t>SECRETARIATUL GENERAL AL
Parteneri GUVERNULUI</t>
  </si>
  <si>
    <t>ASOCIATIA ,,UNIUNEA EDITORILOR DIN ROMANIA"</t>
  </si>
  <si>
    <t>OG: Cresterea capacitatii ONG-urilor si partenerilor sociali de a formula propuneri alternative la politicile publice initiate de Guvern in vederea simplificarii legislatiei aferente domeniului educational si integrarea principiilor orizontale si a temelor secundare in filozofia interventiilor in acest sector cu focus pe utilizarea noilor tehnologii prin instruirea a 160 de de persoane din 40 de ONG-uri si parteneri sociali care activeaza in domeniul educatiei si noilor tehnologii si implicarea a 60 de persoane din 10 ONG-uri, parteneri sociali si autoritati centrale relevante pentru educatie in formularea si promovarea PPA, timp de 16 luni.</t>
  </si>
  <si>
    <t>QUALIMED - Reþea pentru formularea politicilor publice privind calitatea serviciilor si siguranþa
pacientilor în sectorul sanitar</t>
  </si>
  <si>
    <t>AUTORITATEA NAŢIONALĂ DE MANAGEMENT AL CALITĂŢII ÎN SĂNĂTATE</t>
  </si>
  <si>
    <t>AA7/19.09.2018</t>
  </si>
  <si>
    <t>Omdrap nr. 5760/21.09.2018</t>
  </si>
  <si>
    <t>Omdrap nr. 5759/21.09.2018</t>
  </si>
  <si>
    <t>Politici publice locale – un element fundamental pentru creșterea calității procesului decizional la nivelul administrației publice locale</t>
  </si>
  <si>
    <t>Asociația Institutul pentru Politici Publice</t>
  </si>
  <si>
    <t>ASOCIAȚIA MUNICIPIILOR DIN ROMÂNIA</t>
  </si>
  <si>
    <t>Finalizat</t>
  </si>
  <si>
    <t>Elaborarea unei Politici publice alternative la politicile publice inițiate de Guvern în domeniul locuirii durabile, prin promovarea de soluții care să conducă la creșterea accesibilității clădirilor de locuit de tip nZEB-SOL nZEB</t>
  </si>
  <si>
    <t xml:space="preserve">Asociația Producătorilor de Materiale de Contrucții din România </t>
  </si>
  <si>
    <t xml:space="preserve">Universitatea de Arhitectură și Urbanism "Ion Mincu" </t>
  </si>
  <si>
    <t>AA1/18.09.2018</t>
  </si>
  <si>
    <t>Obiectivul general al proiectului/Scopul proiectului
Consolidarea integrităţii la nivelul Primăriei Municipiului Călăraşi şi Serviciilor Publice Locale aflate în subordinea Consiliului Local al Municipiului Călăraşi în vederea creşterii calităţii serviciilor publice locale
Obiectivele specifice ale proiectului
1. Creşterea gradului de implementare a măsurilor de prevenire a corupţiei şi a indicatorilor de evaluare la nivelul Primăriei Municipiului Călăraşi şi Serviciilor Publice Locale, aflate în subordinea Consiliului Local al Municipiului Călăraşi;
2. Creşterea gradului de conştientizare a efectelor corupţiei la nivelul personalului din Primăria Municipiului Călăraşi şi Serviciilor Publice Locale aflate în subordinea Consiliului Local al Municipiului Călăraşi, precum şi a aleşilor locali;
3. Îmbunătăţirea cunoştinţelor şi a competenţelor personalului din Primăria Municipiului Călăraşi şi Serviciilor Publice Locale aflate în subordinea Consiliului Local al Municipiului Călăraşi, precum şi a aleşilor locali în ceea ce priveşte prevenirea corupţiei.</t>
  </si>
  <si>
    <t>ASOCIATIA ARES'EL</t>
  </si>
  <si>
    <t>UNIVERSITATEA DE ARTE DIN TARGU MURES</t>
  </si>
  <si>
    <t>Ploiești</t>
  </si>
  <si>
    <t>DialLogos</t>
  </si>
  <si>
    <t>SINDICATUL NATIONAL AL LUCRATORILOR DE PENITENCIARE</t>
  </si>
  <si>
    <t>INSTITUTUL NATIONAL DE
CERCETARE STIINTIFICA IN
DOMENIUL MUNCII SI PROTECTIEI
SOCIALE - I N C S M P S</t>
  </si>
  <si>
    <t>ARGUS - integritate, etică, transparenţă, anticorupţie în finanţarea partidelor politice şi a campaniilor electorale</t>
  </si>
  <si>
    <t>AUTORITATEA ELECTORALĂ PERMANENTĂ</t>
  </si>
  <si>
    <t xml:space="preserve">Obiectiv general
Creșterea transparentei, eticii si integrității în cadrul Autorității Electorale Permanente, contribuind la implementarea obiectivului 3.5 din cadrul Strategiei Naționale Anticorupție 2016-2020.
Obiectivele specifice ale proiectului
1. Îmbunătățirea capacității administrative a AEP prin transparența vizând prevenirea vulnerabilităților si a riscurilor de corupție în finanțarea partidelor politice si a campaniilor electorale
2. Creșterea capacității AEP de asigurare a eticii si integrității la nivelul instituției promovând norme unitare si proceduri actualizate în domeniul controlului si managementului riscurilor si vulnerabilităților instituționale
3. Dezvoltarea competențelor necesare personalului din AEP în vederea identificării riscurilor si vulnerabilităților interne si a exercitării funcției de control cu respectarea standardelor legale de integritate
</t>
  </si>
  <si>
    <t>Implementarea managementului calitatii serviciilor furnizate de Municipiul Buzau</t>
  </si>
  <si>
    <t>Municipiul Buzau</t>
  </si>
  <si>
    <t>METROPOLITAN – Politica publica alternativa la politicile publice iniþiate de Guvern în domeniul
transportului public local si metropolitan de calatori din România</t>
  </si>
  <si>
    <t>Asociația pentru Mobilitate Metropolitană</t>
  </si>
  <si>
    <t>AA5 /24.11.2017
AA6/18.10.2018</t>
  </si>
  <si>
    <t>Implementarea managementului calității - administrație durabilă (IMCAD)</t>
  </si>
  <si>
    <t>Județul Neamț</t>
  </si>
  <si>
    <t>Municipiul Piatra Neamț</t>
  </si>
  <si>
    <t>PRO: Performanta si calitate in managementul organizational al Consiliului Judetean Calarasi</t>
  </si>
  <si>
    <t>Obiectivul general al proiectului - Introducerea si implementarea unitara a instrumentului specific ISO 9001, in vederea dezvoltarii unui sistem optim, unitar si performant de management al calitatii si al performantei, in cadrul unitatii administrativ teritoriale la nivelulul Judetului Calarasi.                                                                                                                                                                Obs.1) Sustinerea dezvoltarii si elaborarii angajamentului de management privind infiintarea si punerea in aplicare a sistemului de management al calitatii (SMC), prin derularea unui program de constientizare privind SMC la nivelul angajatilor institutiei si prin elaborarea politicii de calitate.                                                                                                                                                                                  Obs.2) Sustinerea stabilirii domeniului de aplicare al SMC si pregatirea resurselor necesare implementarii acesteia, prin elaborarea analizei privind indentificarea zonelor si proceselor de aplicare al SMC la nivel organizational, a documentului “Domeniu de aplicare pentru implementarea SMC” si a planificarii resurselor de timp necesare implicarii personalului.              Obs.3) Cultivarea si dezvoltarea cunostintelor, competentelor si abilitatilor personalului din UAT a Judetului Calarasi, prin participarea la programe de instruire in domeniul ISO 9001:2015 si la programe de formare de Specialisti in managementul
calitatii, inclusiv prin abordarea temelor de devoltare durabila, egalitate de sanse, nediscriminare si egalitate de gen.       Obs.4) Sustinerea planificarii si implementarii unei cartografieri a riscurilor si vulnerabilitatilor procedurilor si activitatilor institutiei, prin elaborarea Diagramei de flux si a listei privind riscurile si vulnerabilitatile.                                                                           Obs.5) Sustinerea dezvoltarii si a conformarii Sistemului de managementul calitatii cu cerintele Standardului ISO 9001:2015 si a
documentatiei SMC, prin dezvoltarea planului de implementare, elaborarea manualului calitatii, elaborarea procedurilor de sistem si prin elaborarea instructiunilor de lucru.                                                                                                                                                                           Obs.6) Sustinerea dezvoltarii procedurilor privind controlul documentelor implementate si monitorizarea SMC, prin elaborarea
unui sistem de control al documentelor si realizarea de analize periodice a SMC in vederea imbunatatirii permanente a actiunilor intreprinse precum si realizarea de auditari interne.</t>
  </si>
  <si>
    <t>Imbunatatiri privind calificarea si ocuparea in domeniul textil cu sprijinul actorilor relevanti din sector</t>
  </si>
  <si>
    <t>Asociatia Comitetul Sectorial din Ramura Textile, Confectii - COMITEX</t>
  </si>
  <si>
    <t>Asociatia Astrico Nord - Est Savinesti</t>
  </si>
  <si>
    <t>Obiectivul general al proiectului este dezvoltarea capacitatii Comitex si Asociatiei „Astrico Nord-Est” de a promova propuneri alternative privind politicile de calificare si ocupare, cu accent pe sectorul textil.                                                                                                   Obiectivele specifice ale proiectului
1. Dezvoltarea abilitatilor pentru formularea de propuneri de politici privind calificarea si ocuparea, cu accent pe sectorul textil, printrun schimb de experienta
2. Determinarea situatiei actuale legate de politica privind calificarea si ocuparea, cu accent pe sectorul textil, prin elaborarea unei analize diagnostic
3. Stabilirea unor propuneri de imbunatatire a politicii privind calificarea si ocuparea, cu accent pe sectorul textil, cu ajutorul unui sistem informatic, a unui eveniment de diseminare/ consultare si a unui ghid de masuri</t>
  </si>
  <si>
    <t>Sănătatea mintală - prioritate pe agenda publică!”</t>
  </si>
  <si>
    <t>SOCIETATEA ROMANA DE SPRIJIN A VIRSTNICILOR SI A SUFERINZILOR CU AFECTIUNI DE TIP ALZHEIMER</t>
  </si>
  <si>
    <t xml:space="preserve">Obiectivul general al proiectului consta in dezvoltarea si introducerea de politici, sisteme si standarde comune alternative în administrația publica ce optimizează procesele decizionale din domeniul sănătății mintale cu accent pe demente, in concordanta cu SCAP, pe o perioada de 16 luni. OG-ul proiectului vizează formularea de alternative cu privire la Legea Sănătății Mintale (Legea 487/2002 republicata in 2012). Problema centrala abordata in cadrul obiectivului general se refera la capacitatea scăzută a organizațiilor si a partenerilor sociali din domeniul sănătății mintale si socio-medicale de a formula si promova alternative la Legea Sănătății Mintale (Legea 487/2002 republicata in 2012), lipsindu-le instrumentele necesare pentru realizarea acestui lucru, putându-se vorbi chiar de cvasi-inexistenta acestora in procesul decizional. Beneficiile durabile pentru membrii GT-ului in urma implementării proiectului sunt următoarele:
-oportunitatea de a se dezvolta din punct de vedere profesional si instituțional, prin asigurarea condițiilor pentru dezvoltarea abilitaților si dobândirea competentelor necesare in vederea formulării si promovării de politici publice;
-oportunitatea de a pune in practica cunoștințele dobândite in cadrul proiectului prin dezvoltarea unei propuneri de politici publice alternative;
-oportunitatea de a-si exprima opiniile, părerile si pozițiile in cadrul consultărilor publice;
-un nivel de adaptabilitate mai crescut la provocările si cerințele viitoare, o atitudine pozitiva privind implicarea in formularea de politici publice;
-oportunitatea de a se implica in îmbunătățirea cadrului legislativ, in baza experienței profesionale dobândite din domeniul lor de activitate.
</t>
  </si>
  <si>
    <t>Asociația Habilitas - Centrul de Resurse și formare profesională</t>
  </si>
  <si>
    <t>Sălajul spune NU corupției!</t>
  </si>
  <si>
    <t>Județul Sălaj</t>
  </si>
  <si>
    <t>AA1 /08.11.2018</t>
  </si>
  <si>
    <t>Implică-te în politici publice pentru afaceri</t>
  </si>
  <si>
    <t>ASOCIAȚIA PENTRU DEZVOLTAREA ANTREPRENORIATULUI FEMININ</t>
  </si>
  <si>
    <t>Federația Zonelor Metropolitane și Agromerărilor Urbane din România</t>
  </si>
  <si>
    <t>PROETIC:ETICA+TRANSPARENTA+INTEGRITATE-CORUPTIE</t>
  </si>
  <si>
    <t>Asociatia Terra Mileniul III</t>
  </si>
  <si>
    <t xml:space="preserve">
Obiective proiect
Obiectivul general al proiectului il constituie cresterea transparentei, eticii si integritatii la nivelul Municipiului Ploiesti, prin implementarea de masuri de prevenire a coruptiei, cresterea nivelului de educatie anticoruptie a personalului, precum si prin aplicarea normelor, masurilor si procedurilor in materie de etica, integritate si anticoruptie reglementate la nivelul institutiilor publice.
Obiectivele specifice ale proiectului
1. OS1: Dezvoltarea si implementarea de mecanisme si proceduri in vederea asigurarii transparentei, eticii si integritatii la nivelul
Municipiului Ploiesti
2. OS2: Dezvoltarea si implementarea de actiuni si masuri in vederea prevenirii si combaterea coruptiei, prin promovarea dialogului cu societatea civila si cresterea gradului de educatie anticoruptie in Municipiul Ploiesti
3. OS3: Cresterea nivelului de cunostinte si competente a 40 de persoane din personalul Municipiului Ploiesti, in vederea prevenirii coruptiei, cresterii transparentei, eticii si integritatii</t>
  </si>
  <si>
    <t>CP10 less /2018</t>
  </si>
  <si>
    <t>Viziune și performanță prin implementarea unor instrumente de planificare strategică, sisteme de managementul calității/performanței și a unor sisteme informatice inovative la nivelul Municipiului Focșani</t>
  </si>
  <si>
    <t>Sisteme informatice inovative pentru simplificare administrativă și optimizare a furnizării serviciilor pentru cetățeni</t>
  </si>
  <si>
    <t>Eficienta instituțională prin investiții la nivel
local</t>
  </si>
  <si>
    <t>CP10 more/2018</t>
  </si>
  <si>
    <t>e-CETATEAN (Cunoastere, Egalitate, Transparenta, Administratie, Tinta, Evolutie,Actualitate, Normalitate)</t>
  </si>
  <si>
    <t>Sector 4 București</t>
  </si>
  <si>
    <t>Municipiul Roman</t>
  </si>
  <si>
    <t>ADMINISTRAȚIE ELECTRONICĂ LA NIVELUL MUNICIPIULUI ROMAN PENTRU REDUCEREA
BIROCRAȚIEI</t>
  </si>
  <si>
    <t>Municipiul Târgu Jiu</t>
  </si>
  <si>
    <t>Dezvoltarea Capacității Administrative a Municipiului Bârlad</t>
  </si>
  <si>
    <t>Municipiul Bârlad</t>
  </si>
  <si>
    <t>Obiectivul general al proiectului este reprezentat de simplificarii procedurilor administrative si reducerea birocratiei, precum si introducerea de sisteme de calitate si standarde comune, adaptarea structurilor interne si pregatirea resurselor umane de la nivelul administratiei publice locale, in vederea consolidarii capacitatii administrative, in concordanta cu Strategia pentru Consolidarea Administratiei Publice 2014-2020</t>
  </si>
  <si>
    <t xml:space="preserve">AA /1 03.12.2018 </t>
  </si>
  <si>
    <t>A.R.C.A. - Accesibilitatea procedurilor administrative prin Reducerea birocratiei si digitizare pentru</t>
  </si>
  <si>
    <t>Municipiul Craiova</t>
  </si>
  <si>
    <t>Planificare Strategică pentru dezvoltarea durabilă a județului Vaslui</t>
  </si>
  <si>
    <t>Municipiul Vaslui</t>
  </si>
  <si>
    <t>Smart CT</t>
  </si>
  <si>
    <t>eFuncționar+. Servicii electronice și simplificare administrativă</t>
  </si>
  <si>
    <t>Municipiul Brașov</t>
  </si>
  <si>
    <t>Implementarea unei platforme informatice cu componente back-office și front-office ca măsură de simplificare administrativă și optimizare a furnizării serviciilor pentru cetățeni la nivelul Municipiului Bacău</t>
  </si>
  <si>
    <t xml:space="preserve">Creşterea eficienţei administrative a Primăriei  Municipiului Bacău prin implementarea unor sisteme informatice inovative - ca măsuri de simplificare a furnizării serviciilor către cetăţeni şi mediul de afaceri.
Obiectivele specifice ale proiectului
1. Optimizarea activităţilor interne ale funcţionarilor, prin implementarea unei platforme integrate de management al activităţilor şi al înregistrărilor, inclusiv prin digitalizarea şi gestiunea electronică a arhivei primăriei Bacău 2. Implementarea unei platforme de tip portal pentru servicii care să fie furnizate online către cetăţeni
3. Îmbunătăţirea abilităţilor şi cunoştinţelor personalului municipiului Bacău pentru utilizarea sistemelor informatice dezvoltate prin proiect şi pentru gestionarea documentelor electronice
</t>
  </si>
  <si>
    <t xml:space="preserve">la dispoziţie de servicii administrative şi guvernare locală utilizând mijloace electronice, prin implementarea unui sistem informatic de management integrat cu funcţii de de e-administraţie şi e-guvernare şi elaborarea strategiilor de dezvoltare durabilă şi Smart City pentru municipiul Galaţi.
Obiectivele specifice ale proiectului
1. Implementarea unui sistem informatic de management integrat (cuantificare: 1 sistem informatic implementat în cadrul Primăriei Municipiului Galaţi) 2. Întărirea capacităţii instituţionale în cadrul Primăriei Municipiului Galaţi prin formarea profesională a unui număr de 123 persoane în vederea sprijinirii acţiunilor de implementare a unui sistem informatic de management integrat (cuantificare: 123 persoane din cadrul Primăriei Municipiului Galaţi instruite şi certificate la încetarea calităţii de participant la formarea profesională) 3. Dezvoltarea capacităţii de planificare strategică la nivelul administraţiei publice locale din Municipiul Galaţi prin realizarea Strategiei de Dezvoltare Durabilă pentru orizontul 2021-2017 şi a Strategiei Smart City.
</t>
  </si>
  <si>
    <t>Implementarea unui sistem informatic integrat de management al documentelor, arhivă electronică și managementul relației cu cetățenii și mediul de afaceri, elaborarea Strategiilor de Dezvoltare Durabilă și Smart City</t>
  </si>
  <si>
    <t>Sector 2 București</t>
  </si>
  <si>
    <t>Obiectivul general al proiectului il reprezinta optimizarea si modernizarea proceselor si serviciilor furnizate la nivelul Primariei Sectorului 2
al Municipiului Bucuresti, din regiunea dezvoltata, prin masuri de planificare strategica institutionala si prin introducerea unui sistem
informatic pentru managementul documentelor, registratura electronica si arhiva electronica in vederea optimizarii proceselor orientate
catre cetateni in concordanta cu SCAP</t>
  </si>
  <si>
    <t>Strategia de dezvoltare a judetului Braila 2021-2027</t>
  </si>
  <si>
    <t>Obiectivul general al proiectului il reprezinta consolidarea capacitatii administratiei publice locale din judetul Braila in vederea realizarii obiectivelor de dezvoltare a judetului Braila, in concordanta cu liniile strategice europene, nationale si regionale. Obiective specifice:1 Realizarea Strategiei de dezvoltare a judetului Braila pentru perioada 2021-2027.
2. Simplificarea procedurilor administrative si reducerea birocratiei in sprijinul cetatenilor prin retro-digitalizarea arhivei Consiliului Judetean Braila.3. Imbunatatirea cunostintelor si abilitatilor personalului din administratia publica locala a judetului Braila prin formarea specifica in domeniul planificarii strategice, in vederea obtinerii de beneficii durabile</t>
  </si>
  <si>
    <t>Consolidarea Capacității Administrative a UAT Municipiul Motru</t>
  </si>
  <si>
    <t>Introducerea de sisteme si standarde comune în administraþia publica locala ce optimizeaza procesele orientate catre beneficiari în
concordanța cu SCAP</t>
  </si>
  <si>
    <t>Municipiul Hunedoara</t>
  </si>
  <si>
    <t>Îmbunătățirea capacității administrative a ME de a coordona procesul de conformare a legislației naționale cu legislația europeană în domeniul energetic</t>
  </si>
  <si>
    <t>SPECIAL ZALĂU - Servicii Publice Electronice de Calitate și Integrate pentru Administrația Locală din Municipiul Zalău</t>
  </si>
  <si>
    <t xml:space="preserve">Cresterea capacitatii Primariei municipiului ZALAU de a asigura serviciile publice integrate de calitate, transparente si accesibile pentru cetateni prin simplificarea procedurilor administratiei locale in paralel cu reducerea birocratiei si folosind un management institutional eficient.
Obiectivele specifice ale proiectului
1. Asigurarea aplicatiilor interne pentru deservirea fluxurilor initiate printr-un portal pentru min. 10 servicii publice electronice si fluxuri interne de interoperabilitate (front-office si back-office) ca masuri de simplificare a procedurilor administrative pentru cetateni, pana in 2021
2. Retro-digitalizarea unui numar de cca. 40 000 dosare aflate in arhiva clasica si cu valoare operationala prezenta, pana in 2021.
3. Cresterea calitatii si eficientei managementului strategic al UAT Zalau prin elaborarea strategiei integrate de dezvoltare urbana a mun Zalau 2024-2030
4. Imbunatatirea accesului la informatiile institutiei prin implementarea arhivei digitale cu incarcarea rezultatelor retro-digitalizate si a modernizarii site-ului www.zalausj.ro pentru a fi responsiv, intuitiv si usor accesibil, pana in 2021.
</t>
  </si>
  <si>
    <t>Îmbunătățirea capacității instituționale și de planificare strategică a administrației publice din județul Teleorman</t>
  </si>
  <si>
    <t>Județul Teleorman</t>
  </si>
  <si>
    <t>AA 1/05.12.2018</t>
  </si>
  <si>
    <t>Mecanisme si proceduri administrative moderne in Primaria Giurgiu (MEPAM)</t>
  </si>
  <si>
    <t>eSlatina – Proiect de simplificare a procedurilor si introducerea de instrumente electronice pentru cetatenii Municipiului Slatina</t>
  </si>
  <si>
    <t>Municipiul Slatina</t>
  </si>
  <si>
    <t>Reducerea costurilor administrative si simplificarea procedurilor de furnizare a serviciilor publice prin introducerea de instrumente din domeniul tehnologiei informatiei pentru gestiunea relatiilor cu cetatenii si pregatirea personalului aparatului de specialitate al primarului Municipiului Slatina in vederea utilizarii acestor instrumente; Obiectivele specifice ale proiectului
1. Cresterea capacitatii institutionale a Aparatului de specialitate al primarului muncipiului Slatina prin informatizarea unui numar de 5 servicii publice pentru cetateni si firme. 2. Reducerea timpului de procesare a documentelor prin organizarea unei arhive informatizare si retro-digitalizarea documentelor pe suport de hartie arhivate conform normativelor legale. 3. Formarea personalului Aparatului de specialitate al primarului muncipiului Slatina in domeniul utilizarii sistemelor informatice achizitionate</t>
  </si>
  <si>
    <t>Consolidarea capacitații Agenției Naționale de Administrare Fiscala de a susține inițiativele de modernizare</t>
  </si>
  <si>
    <t>Solutii informatice integrate pentru simplificarea procedurilor administrative si reducerea birocratiei</t>
  </si>
  <si>
    <t>Platforma online pentru eficientizarea
serviciilor publice oferite cetaþenilor de
Unitatea Administrativ-Teritoriala Judeþul
Ilfov</t>
  </si>
  <si>
    <t>eCetatean@Sighisoara2021</t>
  </si>
  <si>
    <t>Municipiul Sighișoara</t>
  </si>
  <si>
    <t>AA6/02.11.2018</t>
  </si>
  <si>
    <t>Municipiul Turda</t>
  </si>
  <si>
    <t>Dezvoltarea și implementarea de măsuri de simplificare a procedurilor administrative din cadrul Primăriei municipiului Satu Mare pentru cetățeni</t>
  </si>
  <si>
    <t>Dezvoltarea si implementarea de masuri de simplificare privind serviciile furnizate catre cetanii municipiului Satu Mare in scopul reducerii birocratiei. Obiectivul general al proiectului este in concordanta cu Planul integrat de simplificare a procedurilor administrative aplicabile cetatenilor.
Obiectivele specifice ale proiectului
1. Retro-digitalizarea documentelor din cadrul Primariei municipiului Satu Mare, in scopul reducerii birocratiei.
2. Implementarea unui sistem informational geografic (GIS) pentru realizarea bancilor de date pentru cadastru urbanism si
amenajarea teritoriului la nivelul Primariei municipiului Satu Mare, prin asigurarea cadrului organizational pentru realizarea unei infrastructuri de date GIS - sisteme back-office în scopul reducerii birocratiei
3. Digitalizarea proceselor de administrare a documentelor necesare accesarii, implementarii si monitorizarii de proiecte din fonduri europene si a documentelor privind managementul resurselor umane.</t>
  </si>
  <si>
    <t>ALBA IULIA- ADMINISTRATIE PUBLICA DIGITALA</t>
  </si>
  <si>
    <t>Sistem de management al calitatii pentru Ministerul Educatiei Nationale si structuri subordonate</t>
  </si>
  <si>
    <t>ASOCIATIA PENTRU IMPLEMENTAREA DEMOCRATIEI</t>
  </si>
  <si>
    <t>Obiectivul general al proiectului il reprezinta realizarea sistemului de management al calitatii pentru Ministerul Educatiei Nationale si structurilor subordonate.                                                                                                                                                                                                           OS. 1: Implementarea CAF, ca instrument de management strategic si management al performantei in administratia publica -
CAF adaptat la sistemul de educatie -
2. OS 2: Cresterea competentelor personalului, prin activitati de instruire specifica, pentru utilizarea instrumentelor de management al calitatii.
3. OS 3: Promovarea/diseminarea bunelor practice ale managementului de tip CAF</t>
  </si>
  <si>
    <t>Noi perspective in educatie - NPE</t>
  </si>
  <si>
    <t>Fundația PAEM ALBA</t>
  </si>
  <si>
    <t>AA1/18.12.2018</t>
  </si>
  <si>
    <t>Consolidarea capacitatii institutionale a Ministerului Cercetarii si Inovarii prin optimizarea proceselor
decizionale in domeniul de cercetare-dezvoltare si inovare</t>
  </si>
  <si>
    <t xml:space="preserve">1. Universitatea Dunarea de Jos
2. ASE
3. Institutul National de Cercetare-Dezvoltare
Pentru Mecatronica si
Tehnica Masurarii - I.N.C.D.M.T.M.
</t>
  </si>
  <si>
    <t>Cresterea capacității administrative a autorității publice locale a Municipiului Codlea, in fundamentarea deciziilor, planificarea strategică si măsurile de simplificare pentru cetățeni</t>
  </si>
  <si>
    <t>Municipiul Codlea</t>
  </si>
  <si>
    <t>Simplificarea procedurilor administrative pentru cetațenii Municipiului Pitești</t>
  </si>
  <si>
    <t>Obiectivul general al proiectului il reprezinta consolidarea capacitatii administrative a Municipiului Pitesti prin simplificarea masurilor adresate cetatenilor si imbunatatirea procesului decizional, a planificarii strategice si executiei bugetare.
Obiectivele specifice ale proiectului
1. Cresterea coerentei, eficientei, predictibilitatii si transparentei procesului decizional la nivelul Municipiului Pitesti prin dezvoltarea unui modul de bugetare participativa.
2. Consolidarea capacitatii Municipiului Pitesti ca urmare a simplificarii procedurilor administrative adresate cetatenilor si reducerea birocratiei prin crearea unui portal de servicii electronice.
3. Imbunatatirea competentelor personalului de conducere si executie din Primaria Municipiului Pitesti.</t>
  </si>
  <si>
    <t>Eficientizarea Planificarii Strategice la nivel Organizaional (EPSO)</t>
  </si>
  <si>
    <t>Consolidarea mecanismului de coordonare a implementarii Conventiei ONU privind drepturile persoanelor cu dizabilitati</t>
  </si>
  <si>
    <t>Capacitate administrativă ridicată prin investiții integrate și complementare - CARIC</t>
  </si>
  <si>
    <t>Județul Galați</t>
  </si>
  <si>
    <t>AA8 /30.01.2019</t>
  </si>
  <si>
    <t>AA5/ 09.01.2019</t>
  </si>
  <si>
    <t xml:space="preserve">Dialogul Social și Civic Rural -  Perspectiva dezvoltării mediului rural (DiaSRul) </t>
  </si>
  <si>
    <t>Asociația "Afaceri, Comunități, Oameni din România"</t>
  </si>
  <si>
    <t xml:space="preserve">Obiectivul general al proiectului: 
Cresterea capacitatii partenerilor sociali de a dezvolta standarde comune pentru optimizarea procesului decizional, pentru dezvoltarea si promovarea de propuneri alternative la politicile publice existente precum si pentru monitorizarea politicilor publice ce vizeaza mediul rural in vederea orientarii procesului decizional catre cetateni, in conformitate cu prevederile SCAP.
Obiectivele specifice ale proiectului
1. Cresterea capacitatii partenerilor sociali si a ONG-urilor in vederea implicarii in optimizarea proceselor decizionale si orientarea proceselor decizionale catre cetateni prin realizarea a 2 sesiuni de instruire si realizarea unui instrument de monitorizare a
politicilor publice ce vizeaza dezvoltarea mediului rural.
2. Optimizarea procesului decizional prin dezvoltarea, fundamentarea, promovarea si sustinerea unei alternative, de tip initiativa legislativa, la politicile publice existente ce vizeaza consolidarea dialogului civic si social in mediul rural in vederea apropierii
procesului decizional aferent administratiei publice din mediul rural.
</t>
  </si>
  <si>
    <t>AA1/11.02.2019</t>
  </si>
  <si>
    <t>MUNICIPIUL BLAJ - ADMINISTRATIE PUBLICA EFICIENTA - ETAPA A II-A</t>
  </si>
  <si>
    <t>Obiectivul general al proiectului: Simplificarea procedurilor administrative, reducerea birocratiei si cresterea calitatii serviciilor oferite pentru cetateni de catre administratia publica locala a Municipiului Blaj.                                                                                 OS. 1. Operationalizarea, in 26 de luni, la nivelul Municipiului Blaj, a unor fluxuri de lucru online si care sa furnizeze digital, front si back office o buna parte din serviciile pe care o primarie moderna le asigura in relatia cu cetatenii, respectiv o platforma integrata pentru servicii electronice, o solutie de plata electronica pentru taxele colectate la bugetul local, notificari termene de plata, mecanisme urmarire grad de colectare (pentru stimularea colectarii impozitelor si taxelor locale), semnatura electronica a documentelor relevante in acord cu cadrul legal in vigoare si managementul activitatilor si fluxurilor de lucru aferente serviciilorelectronice.
 OS. 2. Digitalizarea proceselor de administrare si arhivare a documentelor din Primaria Municipiului Blaj, intr-o maniera securizata si interoperabila cu alte sisteme de creare/gestionare documente, in 26 de luni.
 OS. 3 Implementarea unui sistem integrat, complex si acoperitor de interactiune intre cetatenii municipiului Blaj si administratia locala prin intermediul unei platfome conectate la 300 de senzori (beaconi) instalati in spatiile publice principale ale orasului, a unei retele de hotspoturi WI-FI ce asigura internet securizat gratuit, a unei solutii de vizualizare si optimizare a fluxurilor de mobilitate a publicului in relatia cu orasul si mai ales cu serviciile publice oferite de catre acesta, in 26 de luni.
OS.4. Cresterea abilitatilor si capacitatii profesionale de a presta activitati publice de calitate pentru 75 de persoane din cadrul Primariei municipiului Blaj - functionari publici si contractuali din aparatului executiv al primariei, respectiv din serviciile publice subordonate consiliului local, din care 20 alesi locali-, in domeniul intelegerii si comunicarii noilor servicii digitale implemantate in administratia locala, in 26 de luni.</t>
  </si>
  <si>
    <t>Judetul Cluj - Smart Territory</t>
  </si>
  <si>
    <t>Obiectivul specific 1: Îmbunatatirea procesului decizional si al planificarii strategice la nivelul UAT Judetul Cluj prin introducerea unui sistem de planificare teritoriala integrata; Obiectivul specific 2: Facilitarea accesului la servicii online pentru cetatenii judetului Cluj prin introducerea unor sisteme de simplificare a procedurilor administrative din perspectiva back-office</t>
  </si>
  <si>
    <t xml:space="preserve">1. Scoala Nationala de Grefieri;                                         2. Inspectia Judiciara                        3. Parchetul de pe langa Inalta Curte de Casatie si Justitie/adjunct procuror general                                                                                  4. Institutul National al Magistraturii                                                         5. Ministerul Justitiei                                                                                                                  </t>
  </si>
  <si>
    <t>Act aditional nr. 1/28.01.2019</t>
  </si>
  <si>
    <t>IP12/2018
(MySMIS: 
POCA/ 399/1/1)</t>
  </si>
  <si>
    <t>Stabilirea cadrului de referință în domeniul dezvoltarii rețelei de banda larga în România</t>
  </si>
  <si>
    <t>ASOCIATIA "SOCIETATEA NATIONALA SPIRU HARET PENTRU EDUCATIE, STIINTA SI CULTURA"</t>
  </si>
  <si>
    <t>iNFOLex</t>
  </si>
  <si>
    <t>CP8 less /2018</t>
  </si>
  <si>
    <t>Omdrap 1120/19.02.2019</t>
  </si>
  <si>
    <t>FUNDAȚIA ''TUNA''</t>
  </si>
  <si>
    <t>ProLexKampanya</t>
  </si>
  <si>
    <t xml:space="preserve">Obiectivul general al Proiectului îl reprezintă facilitarea accesului cetățenilor si în special femeilor ca si grup vulnerabil si/sau altor grupuri vulnerabile din regiunile Sud Muntenia si Sud Est la un sistem judiciar transparent, integru si de calitate, prin intermediul unei campanii de informare si conștientizare a cetățenilor în privința drepturilor prevăzute în cadrul noilor coduri, într-o perioada de 24 luni. Acesta se realizează prin intermediul obiectivelor specifice prezentate mai jos. Atât obiectivul general, cât si obiectivele specifice sunt în conformitate cu prevederile si respectiv Obiectivul Specific al Ghidului Solicitantului 2.3: Asigurarea unei transparențe si integrități sporite la nivelul sistemului judiciar în vederea îmbunătățirii accesului si a calității serviciilor furnizate la nivelul acestuia, vizând atingerea obiectivelor POCA în materie.
Obiectivele specifice ale proiectului:
1. 1. Obiectivul specific 1 (OS1) al Proiectului îl constituie realizarea în regiunile SM si SE a unei campanii teritoriale de informare si conștientizare a minimum 22.080 cetățeni, o atenție deosebita va fi acordata femeilor ca si grup vulnerabil si/sau altor grupuri vulnerabile, privind drepturile legislative ale acestora, prin prezența în teritoriu a unei echipe de experți ce vor facilita cetățenilor creșterea accesului la legislație si justiție.
2. 2.Obiectivul specific 2 (OS2) al Proiectului îl constituie realizarea unei campanii online de informare si conștientizare a cetățenilor, privind drepturile legislative ale acestora.
</t>
  </si>
  <si>
    <t>2, 3</t>
  </si>
  <si>
    <t xml:space="preserve">Tulcea
Constanța
Buzau
Prahova
Giurgiu
Dâmbovița
Calarasi
</t>
  </si>
  <si>
    <t>Constanța
Prahova
Giurgiu
Arges
Dolj
Gorj
Mehedinți
Vâlcea
Brașov
Sibiu</t>
  </si>
  <si>
    <t>2, 3, 4, 7</t>
  </si>
  <si>
    <t>Simplificarea procedurilor administrative și reducerea birocrației pentru cetățeni la nivelul Primăriei Municipiului Sfântu Gheorghe</t>
  </si>
  <si>
    <t>Municipiul Sfântu Gheorghe</t>
  </si>
  <si>
    <t>Covasna</t>
  </si>
  <si>
    <t>Sfântu Gheorghe</t>
  </si>
  <si>
    <t>AA1/27.02.2019</t>
  </si>
  <si>
    <t>Actul aditional nr.1/26.02.2019</t>
  </si>
  <si>
    <t>Cresterea capacitații administrative a Ministerului Economiei în vederea monitorizarii, evaluarii și
coordonării politicilor publice din domeniul competitivitații economice</t>
  </si>
  <si>
    <t>ASOCIATIA CENTRUL PENTRU DEZVOLTARE DURABILA COLUMNA</t>
  </si>
  <si>
    <t>Accesul la sistemul juridic prin perspectiva grupurilor vulnerabile - Justiţie pentru toţi</t>
  </si>
  <si>
    <t>ASOCIAŢIA PENTRU IMPLICARE SOCIALĂ, EDUCAŢIE ŞI CULTURĂ</t>
  </si>
  <si>
    <t xml:space="preserve">Obiectivul general al proiectului este facilitarea accesului la justiție al cetățenilor, în special al grupurilor vulnerabile, prin activități de informare si promovare a drepturilor si serviciilor de care pot beneficia dar si prin îmbunătățirea calității serviciilor juridice.
Obiectivele specifice ale proiectului
1. O.S. 1 – Derularea unei campanii de informare în rândul cetățenilor pentru creșterea accesului la serviciile juridice,
conștientizarea drepturilor si serviciilor de care pot beneficia, pe parcursul a 15 luni, cu o audientă de peste 250.000 persoane,
cu accent pe grupurile vulnerabile.
2. O.S. 2 – Îmbunătățirea calității serviciilor juridice oferite cetățenilor prin acțiuni de formare a cel puțin 600 de practicieni ai
dreptului, pe parcursul a 16 luni, în domeniul protecției juridice a drepturilor omului, cu accent pe grupurile vulnerabile si
organizarea a 18 workshop-uri, cu peste 432 de participanți, pentru consolidarea capacitații avocaților privind acordarea asistentei
juridice în cazurile de discriminare.
3. O.S. 3 – Organizarea a 25 de sesiuni de informare la care vor participa cel puțin 875 de persoane cu scopul de a îmbunătăți
accesul cetățenilor la justiție, cu accent pe grupurile vulnerabile.
</t>
  </si>
  <si>
    <t>3, 4</t>
  </si>
  <si>
    <t xml:space="preserve">Arges
Calarasi
Dâmbovița
Giurgiu
Ialomița
Prahova
Teleorman
Dolj
Gorj
Mehedinți
Olt
Vâlcea
</t>
  </si>
  <si>
    <t>Informare Educare Justitie</t>
  </si>
  <si>
    <t>ASOCIATIA CENTRUL DE RESURSE APOLLO</t>
  </si>
  <si>
    <t xml:space="preserve">Îmbunătățirea accesului la justiție a cetățenilor de etnie roma din regiunile de dezvoltare Sud Muntenia si Sud Est, respectiv județele Prahova si Buzău
Obiectivele specifice ale proiectului
1. Creșterea nivelului de informare, educație juridica și conștientizare privind accesul la justiție a 1000 de cetățeni de etnie roma din județele Prahova și Buzău
2. Promovarea metodelor alternative de soluționare a litigiilor in justiție in rândul a 1000 de cetățeni de etnie roma si 40 persoane care desfășoară sau sunt autorizate sa desfășoare activități juridice personal din instituții judiciare si persoane cu atribuții juridice din instituții si autorități publice din județele Prahova si Buzău.
3. Evaluarea nevoilor si obstacolelor, cu care se confrunta cetățenii de etnie roma, din județele Prahova si Buzău , privind accesul la justiție.
</t>
  </si>
  <si>
    <t>Prahova
Buzău</t>
  </si>
  <si>
    <t>Introducerea de sisteme SMART pentru reducerea birocrației din Municipiul Drobeta Turnu Severin</t>
  </si>
  <si>
    <t>Obiectivul general al proiectului/Scopul proiectului
Fundamentarea deciziilor, planificarea strategica si masuri de simplificare pentru cetateni la nivelul UAT Drobeta-Turnu Severin
Obiectivele specifice ale proiectului
1. OS 2.1: Introducerea unor mecanisme si proceduri standard implementate la nivel local pentru fundamentarea deciziilor si
planificarea strategica pe termen lung
2. OS 2.3: Realizarea unor seturi de Proceduri simplificate pentru reducerea birocrației pentru cetațeni la nivel local corelate cu
Planul integrat de simplificare a procedurilor administrative pentru cetațeni implementate
3. OS 2.4: Cresterea nivelului de Cunostințe si abilități ale personalului UAT Drobeta-Turnu Severin, în vederea sprijinirii
masurilor/acțiunilor vizate de acest obiectiv specific.</t>
  </si>
  <si>
    <t>ForLegallnfo</t>
  </si>
  <si>
    <t>FUNDATIA "LUMINA INSTITUTII DE INVATAMANT"</t>
  </si>
  <si>
    <t xml:space="preserve">Iași
Neamț
Vaslui
Bihor
Cluj
Calarasi
Dâmbovița
Giurgiu
Prahova
Buzau
Constanța
Tulcea
</t>
  </si>
  <si>
    <t>1, 6, 3, 2</t>
  </si>
  <si>
    <t xml:space="preserve">Obiectivul general al Proiectului îl reprezintă facilitarea accesului cetățenilor si în special femeilor ca si grup vulnerabil si/sau altor grupuri vulnerabile din regiunile Sud Muntenia, Sud Est, Nord Vest si Nord Est, la un sistem judiciar transparent, integru si de calitate, prin intermediul unei campanii de informare, educație juridica si conștientizare a cetățenilor în privință drepturilor revăzute în cadrul noilor coduri, într-o perioada totala a proiectului de 24 luni. 
Obiectivele specifice ale proiectului
1. 1. Obiectivul specific 1 (OS1) al Proiectului îl constituie realizarea unui Ghid legislativ, conținând prevederile noilor coduri, o sinteza a drepturilor cetățenilor prevăzute de către acestea în vederea facilitării accesului la un proces de justiție mai transparent si mai aproape de nevoile cetățenilor, Ghid legislativ ce va fi publicat pe site-ul proiectului si diseminat către minimum 10.000 adrese de e-mail ale cetățenilor din grupul țintă / altor cetățeni si/sau altor instituții.
2. 2. Obiectivul specific 2 (OS2) al Proiectului îl constituie realizarea în regiunile SM, SE, NV si NE a unei campanii teritoriale de informare, educație juridica si conștientizare a minimum 16.000 cetățeni, o atenție deosebita va fi acordata femeilor ca si grup vulnerabil si/sau altor grupuri vulnerabile, privind drepturile legislative ale acestora, prin prezența în teritoriu a unei echipe de
experți ce vor facilita cetățenilor creșterea accesului la legislație si justiție.
3. 3.Obiectivul specific 3 (OS3) al Proiectului îl constituie realizarea unei campanii online de informare, educație juridica si conștientizare a cetățenilor, privind drepturile legislative ale acestora.
</t>
  </si>
  <si>
    <t>Municipiul Rm. Sarat</t>
  </si>
  <si>
    <t>ALT- Sibiu: Administrație de Calitate, Accesibilă Locuitorilor prin Tehnologie„SALT- Sibiu: Administrație de Calitate, Accesibilă Locuitorilor prin Tehnologie</t>
  </si>
  <si>
    <t>Municipiul Sibiu</t>
  </si>
  <si>
    <t>Sustenabilitate. Inovare. Bunăstare. Incluziune Socială. Unitate. SIBIU - Strategia 2030</t>
  </si>
  <si>
    <t>AA1</t>
  </si>
  <si>
    <t>Administrație modernă. Creșterea calității proceselor</t>
  </si>
  <si>
    <t>Asisteță pentru formularea propunerii de
politica publica a Municipiului Dragasani si
a principalelor instrumente aplicabile în
fiecare etapa pentru perioada 2020-2024</t>
  </si>
  <si>
    <t>Asociația Profesională Neguvernamentală de Asistența Socială ASSOC</t>
  </si>
  <si>
    <t>Acces la justiție și la metodele alternative de soluționare a litigiilor</t>
  </si>
  <si>
    <t>3, 4, 5, 6, 7</t>
  </si>
  <si>
    <t xml:space="preserve">Arges
Vâlcea
Bistrița-Nasaud
Maramureș
Satu Mare
Sălaj
Alba
Sibiu
Hunedoara
</t>
  </si>
  <si>
    <t>Administrație publică locală eficientă pentru cetățeni</t>
  </si>
  <si>
    <t>1. AASOCIAȚIA PROFESIONALĂ NEGUVERNAMENTALĂ DE ASISTENȚA SOCIALA ASSOC - FILIALA VÂLCEA
2. COMUNA MĂCIUCA</t>
  </si>
  <si>
    <t>Justitie si mediere pentru toata lumea/ Law and mediation for everyone</t>
  </si>
  <si>
    <t>Asociația Liga Apărării Drepturilor Colective</t>
  </si>
  <si>
    <t>Consolidarea capacității administrative a Municipiului Lugoj prin dezvoltarea capacității de planificare strategică și prin simplificarea procedurilor administrative pentru reducerea birocrației destinate</t>
  </si>
  <si>
    <t>Obiectivul general al proiectului consta in consolidarea capacitatii administrative a Municipiului Lugoj prin dezvoltarea capacitatii de
planificare strategica si prin simplificarea procedurilor administrative, corelata cu introducerea de metode electronice de gestionare si
management a documentelor administrative, fapt ce va determina cresterea calitatii actului administrativ pe termen lung.
OS 1 Dezvoltarea capacitatii de planificare strategica la nivelul administratiei publice locale din Municipiul Lugoj prin realizarea
Strategiei Smart City si Strategiei de dezvoltare durabila 2021 – 2027
OS 2 Eficientizarea si simplificarea serviciilor furnizate cetatenilor de catre Primaria Muncipiului Lugoj prin implementarea unei
solutii de portal cu servicii digitale pentru cetateni, managementul documentelor, ERP si digitalizarea arhivei
OS 3 Promovarea modernizarii in administratia publica locala din Municipiul Lugoj prin specializarea angajatilor primariei pe teme
specifice proiectului (planificare strategica si utilizarea noului sistem informatic) ceea ce va determina motivarea si mobilizarea
acestora in directia inovatiei si in oferirea de servicii publice de calitate catre cetateni</t>
  </si>
  <si>
    <t>Simplificarea Procedurilor Administrative și Creșterea Eficienței în județul Sălaj</t>
  </si>
  <si>
    <t>Optimizarea proceselor în concordanță cu Strategia pentru Consolidarea Administrației Publice la nivelul Municipiului Deva</t>
  </si>
  <si>
    <t>Asociația Centrul Pentru Dezvoltare Durabilă Columna</t>
  </si>
  <si>
    <t>Administratie moderna in sprijunul cetatenilor</t>
  </si>
  <si>
    <t>Judetul Botosani</t>
  </si>
  <si>
    <t>Soluții informatice integrate pentru simplificarea procedurilor on-line si reducerea birocrației la nivelul municipiului Râmnicu Vâlcea</t>
  </si>
  <si>
    <t>Municipiul Râmnicu Vâlcea</t>
  </si>
  <si>
    <t>Elaborarea strategiei de dezvoltare durabilă a județului Prahova pentru perioada 2021-2027</t>
  </si>
  <si>
    <t>Sistem informatic integrat de e-administrație pentru îmbunătățirea accesului populației la servicii electronice și simplificare administrativă</t>
  </si>
  <si>
    <t>Planificare strategică și simplificare administrativă pentru o dezvoltare sustenabilă a județului Călărași</t>
  </si>
  <si>
    <t>Obiectivul general al proiectului consta in consolidarea capacitatii administrative a Consiliului Judetean Calarasi prin dezvoltarea capacitatii de planificare strategica si prin simplificarea procedurilor administrative, corelata cu introducerea de metode electronice de gestionare si management a documentelor administrative, fapt ce va determina cresterea calitatii actului administrativ pe termen lung.
Obiectivele specifice ale proiectului
1. Dezvoltarea capacitatii de planificare strategica la nivelul Consiliului Judetean Calarasi prin realizarea Strategiei de Dezvoltare Durabila
2. Eficientizarea si simplificarea serviciilor furnizate cetatenilor de catre Consiliul Judetean Calarasi prin implementarea unei solutii de portal cu servicii digitale pentru cetateni, managementul documentelor, ERP si digitalizarea arhivei
3. Promovarea modernizarii Consiliului Judetean Calarasi prin specializarea angajatilor institutiei pe teme specifice proiectului
(planificare strategica si utilizarea noului sistem informatic) ceea ce va determina motivarea si mobilizarea acestora in directia inovatiei si in oferirea de servicii publice de calitate catre cetateni</t>
  </si>
  <si>
    <t>Planificare strategică eficientă și implementare de soluții electronice pentru reducerea birocrație</t>
  </si>
  <si>
    <t>AA 1/29.11.2018          AA 2 /03.04.2019</t>
  </si>
  <si>
    <t>AA 1/ 15.04.2019</t>
  </si>
  <si>
    <t>AA 1/ 01.04.2019</t>
  </si>
  <si>
    <t>AA 1/ 28.03.2019</t>
  </si>
  <si>
    <t xml:space="preserve">AA 1/02.04.2019 </t>
  </si>
  <si>
    <t>AA2/17.04.2019</t>
  </si>
  <si>
    <t>MaraStrategy</t>
  </si>
  <si>
    <t>AA3/15.04.2019</t>
  </si>
  <si>
    <t>AA6/08.04.2019 PRELUNGIRE 6 LUNI</t>
  </si>
  <si>
    <t>Planificare strategică și managementul
performanței în folosul cetățenilor din
județul Harghita prin implementarea CAF
(CAFHR)</t>
  </si>
  <si>
    <t>Județul Harghita</t>
  </si>
  <si>
    <t>IP14/2019
(MySMIS: 
POCA/ 513/1/1 )</t>
  </si>
  <si>
    <t>INCLUZIUNE ȘI EGALITATE DE SANSE
POST-2020 - Cadru strategic național de
politică pentru incluziunea socială și
egalitatea de șanse post 2020</t>
  </si>
  <si>
    <t>1. AGENȚIA NAȚIONALĂ PENTRU EGALITATEA DE ȘANSE ÎNTRE FEMEI ȘI BĂRBAȚI
2. SCOALA NATIONALĂ DE STUDII POLITICE SI ADMINISTRATIVE</t>
  </si>
  <si>
    <t>Administrație publică împreună cu cetățenii</t>
  </si>
  <si>
    <t>Municipiul Făgăraș</t>
  </si>
  <si>
    <t>AA1/16.05.2019</t>
  </si>
  <si>
    <t>AA2/16.05.2019</t>
  </si>
  <si>
    <t>UNITATEA EXECUTIVA PENTRU FINANTAREA INVATAMANTULUI SUPERIOR, A CERCETARII,</t>
  </si>
  <si>
    <t>AA3 /17.05.2019</t>
  </si>
  <si>
    <t>Asociatia Technology and Innovation for Society Tehnologie si Inovare pentru Societate</t>
  </si>
  <si>
    <t>Asociatia Technology and Innovation For Society/Tehnologie ți Inovare pentru Societate Filiala Satu Mare</t>
  </si>
  <si>
    <t>Creșterea transparentei, calității și accesibilității serviciilor oferite cetățenilor de către sistemul judiciar, cu ajutorul tehnologiei</t>
  </si>
  <si>
    <t>Justiție pentru mediu rural</t>
  </si>
  <si>
    <t xml:space="preserve">Bacău
Botașani
Iași
Neamț
Suceava
Vaslui
Bihor
Bistrița Năsăud
Cluj
Maramureș
Satu Mare
Sălaj
Argeș
Călărași
Dîmbovița
Giurgiu
Ialomița
Prahova
Teleorman
Brăila
Buzău
Galați
Tulcea
Vrancea
Dolj
Gorj
Mehedinți
Olt
Arad
Caraș Severin
Hunedoara
Timiș
Alba
Brașov
Covasna
Haghita
Mureș
Sibiu
</t>
  </si>
  <si>
    <t>1,2,3,4,5,6,7</t>
  </si>
  <si>
    <t>CP 12 less/2018</t>
  </si>
  <si>
    <t>Obiectivul general al proiectului corelat cu obiectivul specific al apelului de proiecte CP12/2018 urmareste imbunatatirea capacitatii
institutionale si reducerea birocratiei pentru cetateni, prin dezvoltarea si implementarea unei solutii informatice integrate.
Obiectivul general va fi atins pe seama urmatoarelor obiective specifice:
Obiectivele specifice ale proiectului
1. Obiectiv specific 1.Dezvoltarea si implementarea unei solutii informatice integrate ce sustine simplificarea procedurilor
administrative si reducerea birocratiei pentru cetatenii Municipiului Oltenita atat din perspectiva back-office cat si front-office.
2. Obiectiv specific 2: Instruirea personalului din cadrul UAT Municipiului Oltenita pentru utilizarea optima a solutiei informatice
integrate prin proiect.</t>
  </si>
  <si>
    <t>AA1/17.05.2019</t>
  </si>
  <si>
    <t>Consolidarea capacității de planificare strategică a Ministerului Dezvoltării Regionale și Administrației Publice în renovarea fondului construit național din perspectiva eficientei energetice și a riscului</t>
  </si>
  <si>
    <t xml:space="preserve">Institutul Național de Cercetare Dezvoltare
în Construcții,
Urbanism și Dezvoltare Teritorială Durabilă "URBAN-INCERC
</t>
  </si>
  <si>
    <t>Implementarea unui sistem de informatizare a administrației publice, sistem de management integrat al datelor administraţiei publice şi îmbunătățirea organizării instituționale și a procedurilor la nivelul Municipiului Reşiţa</t>
  </si>
  <si>
    <t>Municpiul Resita</t>
  </si>
  <si>
    <t>Simplificarea administrativa si reducerea birocratiei pentru cetatenii din Municipiul Oltenita</t>
  </si>
  <si>
    <t>AA 1/29.05.2019</t>
  </si>
  <si>
    <t>Solutii administrative moderne - dezvoltarea si implementarea de proceduri si mecanisme simplificate in sprijinul cetatenilor in cadrul Consiliul Judetean Tulcea</t>
  </si>
  <si>
    <t>Judetul Tulcea</t>
  </si>
  <si>
    <t>Obs. 1) Introducerea si implementarea unui mecanism de bugetare participativa in scopul cresterii calitatii procesului decizional,
pentru a raspunde in mod fundamentat si coerent nevoilor comunitatilor din judetul Tulcea.
Pentru realizarea Obs.1) s-a avut în vedere activitatea A3 Dezvoltarea si implementarea unui mecanism de bugetare participativa
on-line in scopul elaborarii politicilor publice ce necesită resurse financiare din bugetele aferente anilor 2020 şi 2021 si
subactivitatile aferente. Rezultatul 1 contribuie la atingerea acestuia.
Obs. 2) Consolidarea capacitatii institutionale privind planificarea si fundamentarea strategica, prin dezvoltarea si elaborarea
Strategiei de dezvoltare durabila a Judetului Tulcea pentru perioada 2021 -2027.
Pentru realizarea Obs.2) s-a avut în vedere activitatea A4 Elaborarea Strategiei de dezvoltare durabila a Judetului Tulcea pentru
perioada 2021 -2027 si subactivitatile aferente. Rezultatul 2 contribuie la atingerea acestuia.
Obs. 3) Dezvoltarea, implementarea si susţinerea de mecanisme de cooperare inter-institutionala, din perspectivă back-office si
front-office pentru serviciile furnizate direct cetatenilor din Judetul Tulcea.
Pentru realizarea Obs.3) s-a avut în vedere activitatea A5 Dezvoltarea de solutii si sisteme informatice pentru simplificarea
serviciilor furnizate direct cetatenilor si mediului de afaceri. Rezultatul 3 contribuie la atingerea acestuia.
Obs. 4) Dezvoltarea si implementarea unor programe de instruire specifice privind dezvoltarea competentelor si abilitatilor pentru
angajatii (demnitari, consilieri, personal de conducere si executie) din Consiliului Judetean Tulcea.
Pentru realizarea Obs.4) s-a avut în vedere activitatea A6 Imbunatatirea competentelor si abilitatilor specifice domeniului
proiectului pentru personalul cu functii de conducere si executie din Consiliul Judetean Tulcea Rezultatul 4 contribuie la atingerea
acestuia</t>
  </si>
  <si>
    <t>AA1/12.10.2018</t>
  </si>
  <si>
    <t>Consiliul Județean Dolj</t>
  </si>
  <si>
    <t>Simplificarea procedurilor prin eficientizare si digitalizare la consiliul județean</t>
  </si>
  <si>
    <t>Sistem integrat pentru simplificarea procedurilor administrative și reducerea birocrației la nivelul Municipiului Călărași</t>
  </si>
  <si>
    <t>Obiectivul general al proiectului consta in consolidarea capacitatii institutionale si eficientizarea activitatii la nivelul Municipiului Calarasi
prin simplificarea procedurilor administrative si reducerea birocratiei pentru cetateni, implementând un sistem integrat ce optimizeaza
procesele orientate catre beneficiari în concordanta cu SCAP.
Obiectivele specifice ale proiectului
1. OS1. Implementarea unor masuri de simplificare pentru cetateni, in corespondenta cu Planul integrat pentru simplificarea
procedurilor administrative aplicabile cetatenilor prin achizitia si implementarea unui sistem integrat ce optimizeaza procesele
orientate catre beneficiari în concordanta cu SCAP.
2. OS2. Îmbunatatirea cunostintelor si a competentelor personalului din Primaria Municipiului Calarasi, precum si a alesilor locali în
vederea sprijinirii masurilor/actiunilor vizate de acest proiect.</t>
  </si>
  <si>
    <t>AA1/05.06.2019</t>
  </si>
  <si>
    <t>Municipiul Fetești</t>
  </si>
  <si>
    <t>Fetești</t>
  </si>
  <si>
    <t>Obiectivul general al proiectului: Imbunatatirea capacitatii institutionale si eficientizarea activitatii in UAT Municipiul Fetesti prin
implementarea de masuri de simplificare a procedurilor administrative si reducere a birocratiei catre cetateni - introducerea unui sistem
informatic integrat in UAT- , cat si dezvoltarea cunostintelor personalului din cadru UAT, in scopul implementarii si utilizarii optime a
masurilor realizate prin proiect.
Obiectivul general va fi o consecinta directa a indeplinirii urmatoarelor doua obiective specifice definite in cadrul proiectului:
Obiectivele specifice ale proiectului
1. Obiectiv specific nr.1 - Dezvoltarea si implementarea unui sistem informatic integrat care sa sustina simplificarea procedurilor
interne de lucru si reducerea birocratiei pentru cetatenii Municipiului Fetesti din perspectiva back-office, cat si front-office, in
vederea furnizarii unor servicii publice performante si gestionate in mod eficient la nivelul UAT.
2. Obiectiv specific nr.2 - Dezvoltarea cunostintelor si abilitatilor personalului din UAT Mun. Fetesti prin formare pe teme specifice de
interes care au legatura cu OS2.1 si cu obiectivul general al proiectului, incluzand si un proces de instruire interna pentru
utilizarea masurilor dezvoltate prin proiect.</t>
  </si>
  <si>
    <t>Eficiență și performanta in administratia
publica locala a Municipiului Fetesti</t>
  </si>
  <si>
    <t>Introducerea de sisteme informatice pentru
optimizarea proceselor in Municipiul Husi</t>
  </si>
  <si>
    <t xml:space="preserve">Obiectivul general al proiectului este reprezentat de implementarea unor sisteme informatice in vederea optimizarii proceselor in cadrul
municipiului Husi, sustinut de o dezvoltare a abilitatilor personalului de la nivelul solicitantului.
Obiectivele specifice ale proiectului
1. OS 1. Dezvoltarea capacitatii necesare in vederea fundamentarii deciziilor si planificarii strategice pe termen lung, pentru
perioada 2020-2021.
2. OS 2. Implementarea unor sisteme informatice si dotarea cu echipamente hardware necesare optimizarii proceselor
administrative.
3. OS.3 Dezvoltarea de noi abilitati ale personalului în vederea optimizarii proceselor decizionale orientate catre cetateni.unicipiului Husi, sustinut de o dezvoltare a abilitatilor personalului de la nivelul solicitantului.
</t>
  </si>
  <si>
    <t>AA 2/ 05.06.2019</t>
  </si>
  <si>
    <t>Asistență și educație juridica la nivelul cetățenilor din Drobeta-Turnu Severin</t>
  </si>
  <si>
    <t>Implementarea unor măsuri și instrumente destinate îmbunătățirii proceselor administrative în cadrul Consiliului Județean Argeș</t>
  </si>
  <si>
    <t>ePAS-eficientizarea Procedurilor Administrative prin Simplificare la Primăria Municipiului Petroșani</t>
  </si>
  <si>
    <t>Municipiul Petroșani</t>
  </si>
  <si>
    <t>Petroșani</t>
  </si>
  <si>
    <t>SEPA - Simplificarea si eficientizarea procedurilor administrative</t>
  </si>
  <si>
    <t>Obiectivul general consta în îmbunatatirea capacitatii administrative, a calitatii si eficientei serviciilor publice furnizate la nivelul UAT Municipiul Rosiorii de Vede prin investitii integrate si complementare conform reglementarilor europene si nationale si prin mecanisme si
proceduri standard implementate la nivel local pentru fundamentarea deciziilor si planificarea strategica pe termen lung                                                                                                                                            OS 1. Masuri de simplificare a procedurilor administrative si reducerea birocratiei prin crearea si integrarea unui sistem
informatics pentru arhiva (digitalizarea arhivelor) si administrarea electronica a documentelor la nivelul Municipiului Rosiorii de Vede.                                                                              OS 1 se va îndeplini prin Activitatea 3 si va conduce la atingerea rezultatului POCA R3.
OS 2. Imbunatatirea competentelor profesionale a unui numar de 61 persoane din toate nivelurile ierarhice din cadrul UAT Municipiul Rosiorii de Vede pe teme specifice. OS 2 se va îndeplini prin Activitatea 5 si va conduce la atingerea rezultatului POCA R5.
OS 3. Implementarea unor mecanisme si proceduri standard (actualizare Strategie de dezvoltare a Municipiului, Plan strategic institutional, proceduri cadru de adoptare a hotarârilor de consiliu local) pentru a creste eficienta actiunilor adimintrative la nivelul Municipiului Rosiorii de Vede.                                                                                                                                     OS 3 se va îndeplini prin Activitatea 6 si va conduce la atingerea rezultatului de program POCA R1.</t>
  </si>
  <si>
    <t>Simplificarea administrativa si reducerea birocratiei prin implementarea de masuri de digitalizare in Municipiul Botosani</t>
  </si>
  <si>
    <t>Simplificarea Procedurilor Administrative prin Digitalizare</t>
  </si>
  <si>
    <t>Obiectivul general al proiectului: Simplificarea procedurilor administrative si reducerea birocratiei pentru cetateni, prin dezvoltarea si implementarea unei solutii informatice integrate.
OS 1.Dezvoltarea si implementarea unei solutii informatice integrate ce sustine simplificarea procedurilor
administrative si reducerea birocratiei pentru cetatenii Municipiului Botosani atat din perspectiva back-office cat si front-office.
OS 2: Instruirea personalului din cadrul UAT Municipiului Botosani pentru utilizarea optima a solutiei informatice
integrate prin proiect.</t>
  </si>
  <si>
    <t>AA1 /13.06.2019</t>
  </si>
  <si>
    <t>AA1/06.06.2019</t>
  </si>
  <si>
    <t>Capacitate administrativa moderna si
inovativa</t>
  </si>
  <si>
    <t>Obiectivul general consta în îmbunatatirea capacitatii administrative, a calitatii si eficientei serviciilor publice furnizate la nivelul Consiliului Judetean Teleorman, din regiunea mai putin dezvoltata Sud-Muntenia, prin introducerea unor proceduri simplificate pentru reducerea
birocratiei conform reglementarilor europene si nationale (digitizarea proceselor de administrare a documentelor si retro-digitalizarea documentelor din arhiva).                                                                                                                                           OS 1. Masuri de simplificare a procedurilor administrative si reducerea birocratiei prin digitizarea proceselor de administrare a documentelor la nivelul Consiliului Judetean Teleorman. OS1 se va indeplini prin Activitatea 3 si va conduce la atingerea rezultatului de program POCA R3
2. OS2. Retro-digitalizarea documentelor din arhiva Consiliului Judetean Teleorman in vederea simplificarii proceselor si procedurilor administrative si reducerea timpilor de efectuare a activitatilor curente. OS2 se va indeplini prin Activitatea 3 si va
conduce la atingerea rezultatului POCA R3.</t>
  </si>
  <si>
    <t>Municipiul Alba Iulia - Administratie
inteligenta</t>
  </si>
  <si>
    <t>Municipiul Lupeni</t>
  </si>
  <si>
    <t>Proceduri Administrative Simplificate prin Eficientizare Digitala - la Primaria Municipiului Lupeni</t>
  </si>
  <si>
    <t>Lupeni</t>
  </si>
  <si>
    <t>Soluții informatice integrate pentru
simplificarea procedurilor administrative si
reducerea birocrației la nivelul Municipiului
DEJ</t>
  </si>
  <si>
    <t>Dej</t>
  </si>
  <si>
    <t>CP 12 more/2018</t>
  </si>
  <si>
    <t>O primarie mai aproape de oameni la doar un click distanta</t>
  </si>
  <si>
    <t>Primarie Fara Hartie si Implicarea Cetatenilor in Planificarea Strategica a Sectorului 6</t>
  </si>
  <si>
    <t>Servicii electronice eficiente și simplificare administrativă prin platforme informatice inovative</t>
  </si>
  <si>
    <t xml:space="preserve">Obiectivul general al proiectului vizează îmbunătățirea procesului decizional, a planificării strategice și execuției bugetare, implementarea unitară a managementului calității și performanței și crearea de măsuri de simplificare pentru cetățeni în concordanță cu SCAP, la nivelul Primăriei Sectorului 5. Proiectul propus spre finanțare se încadrează în Axa prioritară 2 – Administrație publică și sistem judiciar accesibile și transparente, obiectivul specific 2.1 – Introducerea de sisteme și standarde comune în administrația publică locală ce optimizează procesele orientate către beneficiari în concordanță cu SCAP. </t>
  </si>
  <si>
    <t>Consolidarea capacităţii instituţionale a Primăriei Sectorului 6 prin introducerea de instrumente de planificare strategică pentru optimizarea proceselor administrative ale primăriei şi adoptarea unor măsuri de simplificare a furnizării serviciilor către cetăţeni şi mediul de afaceri, prin implementarea unor solutii inovative.
Proiectul contribuie astfel la îndeplinirea obiectivului specific 2.1 al POCA "Introducerea de sisteme şi standarde comune în administraţia publica locala ce optimizează procesele orientate catre beneficiari în concordanţă cu
SCAP". Implementarea acestui proiect va avea ca efect implicarea cetatenilor in procesul de planificare strategica şi simplificarea
administrativă a serviciilor furnizate către cetăţeni/mediu de afaceri, contribuind astfel la atingerea obiectivelor Strategiei pentru
consolidarea administratiei publice 2014-2020 (SCAP) - II.1.4, II.3, II.4, II.5 şi II.6 , III.1 şi III.2. Mentionam faptul ca proiectul contribuie la atingerea rezultatelor si indicatorilor POCA, asa cum se va detalia in sectiunile urmatoare.</t>
  </si>
  <si>
    <t>Obiectivul general al proiectului vizeaza imbunatatirea procesului decizional, a planificarii strategice si executiei bugetare, implementarea unitara a managementului calitatii si performantei si crearea de masuri de simplificare pentru cetateni in concordanta cu SCAP, la nivelul Sectorului 3 al Municipiului Bucuresti.
Astfel, proiectul propus spre finantare urmareste consolidarea capacitatii administrative a PS 3 in vederea formularii de politici publice, motivarii proiectelor de acte administrative cu caracter normativ si planificarii strategice institutionale, pe de-o parte si pe de alta parte, implementarea unor sisteme informatice pentru optimizarea modului de lucru intern al angajatilor PS 3, inclusiv prin digitalizarea arhivei de documente, precum si dezvoltarea si cresterea gradului de sofisticare a serviciilor online furnizate catre cetateni, contribuind astfel la indeplinirea obiectivului specific 2.1 al POCA "Introducerea de sisteme si standarde comune in administratia publica locala ce optimizeaza procesele orientate catre beneficiari in concordanta cu SCAP".
Totodata, implementarea acestui proiect va avea ca efect imbunatatirea proceselor interne ale institutiei si serviciile furnizate catre cetateni/mediu de afaceri, contribuind la atingerea obiectivelor Strategia pentru consolidarea administratiei publice 2014-2020 (SCAP) - II.4 (Solutii IT pentru eficientizarea administraţiei publice) si II.5 (Imbunatatirea proceselor interne la nivelul institutiilor publice), III.1 (Reducerea birocratiei pentru cetateni) şi III.2. (Reducerea birocratiei pentru mediul de afaceri), IV. ( Consolidarea capacitatii administraţiei publice de a asigura calitatea si accesul la serviciile publice).</t>
  </si>
  <si>
    <t>Creșterea transparenței decizionale si simplificarea procedurilor administrative pentru cetățeni - ANTO-CIIC</t>
  </si>
  <si>
    <t>Armonizarea cadrului legislativ pentru implementarea planului de reformă în sănătate</t>
  </si>
  <si>
    <t>Soluții informatice integrate pentru simplificarea procedurilor administrative si reducerea birocrației la nivelul Municipiului Câmpina</t>
  </si>
  <si>
    <t>AA1 din 21.06.2019</t>
  </si>
  <si>
    <t>Municipiul Orăștie</t>
  </si>
  <si>
    <t>Orăștie</t>
  </si>
  <si>
    <t>Soluții informatice integrate pentru simplificarea procedurilor administrative și reducerea birocrației la nivelul Municipiului Orăștie</t>
  </si>
  <si>
    <t>Obiectivul general al proiectului consta in consolidarea capacitații instituționale și eficientizarea activității la nivelul Municipiului Orastie prin simplificarea procedurilor administrative și reducerea birocrației pentru cetățeni, implementând măsuri din perspectiva back-office (adaptarea procedurilor interne de lucru, digitalizarea arhivelor) și front-office pentru serviciile publice furnizate.</t>
  </si>
  <si>
    <t>Servicii publice de calitate la nivelul Judetului Bacau</t>
  </si>
  <si>
    <t xml:space="preserve">Optimizarea proceselor orientate catre beneficiari prin introducerea de sisteme si standarde la nivelul UAT Judetul Bacau, in conformitate cu SCAP
OS1. Implementarea unor măsuri de reducere a birocratiei pentru cetăţeni, în corespondenţă cu Planul integrat pentru simplificarea procedurilor administrative aplicabile cetăţenilor, atât din perspectivă back-office (extinderea sistemului de management al documentelor, digitalizarea arhivelor), cât şi front-office (portal web de servicii)
OS2. Dezvoltarea cunoştinţelor şi abilităţilor personalului din cadrul Consiliului Judetean Bacau, în vederea sprijinirii măsurilor vizate de proiect. Este avută în vedere instruirea, evaluarea şi certificarea competenţelor si cunoştinţelor dobândite pentru 71 de persoane din cadrul grupului ţintă, în ceea ce priveşte exploatarea si administrarea sistemelor implementate.
</t>
  </si>
  <si>
    <t>Soluții informatice integrate pentru simplificarea procedurilor administrative și reducerea birocrației la nivelul Municipiului</t>
  </si>
  <si>
    <t>Municipiul Urziceni</t>
  </si>
  <si>
    <t>Municipiul Huși</t>
  </si>
  <si>
    <t>Îmbunătățirea capacității instituționale și reducerea birocrației pentru cetățenii din Municipiul Toplița</t>
  </si>
  <si>
    <t>Toplita</t>
  </si>
  <si>
    <t>Mecanisme si instrumente implementate la nivelul S1MB pentru fundamentarea deciziilor si planificarii
strategice pe termen lung</t>
  </si>
  <si>
    <t>Management al performantei in cadrul Primariei Sectorului 2</t>
  </si>
  <si>
    <t>Servicii publice performante furnizate cetatenilor din Municipiul Caransebes</t>
  </si>
  <si>
    <t>Simplificare administrativă și optimizarea serviciilor pentru cetățeni în județul Prahova</t>
  </si>
  <si>
    <t>Obiectiv general: Optimizarea proceselor orientate catre cetateni, in concordanta cu Strategia pentru Consolidarea Administratiei Publice, respectiv,
cresterea calitatii procesului decizional la nivelul administratiri publice locale, pentru a raspunde in mod fundamentat si coerent nevoilor
comunitatii locale. Acest lucru se va realiza prin eficientizarea proceselor orientate catre cetateni si entitati juridice, prin realizarea unei platforme de furnizare online a serviciilor specifice CJ Prahova, introducerea serviciilor on-line, digitalizarea proceselor de administrare a documentelor prin introducerea acestora in arhiva si retro-digitalizarea documentelor din arhiva, în concordanta cu Strategia pentru Consolidarea Administratiei Publice.                                                                      OS1. Implementarea de masuri de simplificare pentru cetateni dar si pentru Beneficiar atat din perspectiva back-office cat si front-office
prin implementarea unui set de servicii on-line (furnizate exclusiv de catre Beneficiar) bazate pe o platforma de gestionare a
proceselor de administrare a documentelor, digitizarea si retro-digitalizarea documentelor din arhiva de interes pentru cetateni
sau entitatilor juridice din cadrul UAT-ului, respectiv furnizarea online a serviciilor gestionate exclusiv de catre CJ Prahova
OS2. Imbunatatirea competentelor si cunostintelor privind utilizarea procedurilor simplificate referitor la furnizarea de servicii on-line si
digitizarea documentelor pentru 30 persoane - personal de conducere si de executie din cadrul aparatului de specialitate al CJ Prahova.</t>
  </si>
  <si>
    <t>AA 2/08.07.2019 prel. 16 L</t>
  </si>
  <si>
    <t>RAISE: Retro-Digitalizarea Arhivei si
Informatizarea Serviciilor Electronice la
Consiliul Judetean Bistrița-Nasaud</t>
  </si>
  <si>
    <t>Județul Bistrița Năsăud</t>
  </si>
  <si>
    <t>Implementarea unor masuri de simplificare a serviciilor pentru cetateni la nivelul Consiliului Judetean Mures</t>
  </si>
  <si>
    <t>Județul Mureș</t>
  </si>
  <si>
    <t>AA 1/08.07.2019</t>
  </si>
  <si>
    <t>Soluții informatice integrate pentru simplificarea furnizării serviciilor către cetățeni si mediul de afaceri și optimizarea procedurilor administrative la nivelul Municipiului Râmnicu-Sărat</t>
  </si>
  <si>
    <t>Municipiul Dej</t>
  </si>
  <si>
    <t>IP 11/2018</t>
  </si>
  <si>
    <t>Sprijin în implementarea SNAP prin consolidarea capacitații administrative a ANAP și a autoritaților contractante</t>
  </si>
  <si>
    <t>Institutul Național de Administrație</t>
  </si>
  <si>
    <t>Obiectivul general al proiectului  îl constituie sprijin în implementarea SNAP prin  consolidarea capacitații administrative a ANAP și a autorităților contractante în vederea creșterii transparentei și responsabilității sistemului de achiziții publice pentru o aplicare unitara a normelor și procedurilor de achiziții publice și reducerea neregulilor în acest domeniu.</t>
  </si>
  <si>
    <t xml:space="preserve">Oradea </t>
  </si>
  <si>
    <t>Solutii informatice integrate pentru simplificarea procedurilor administrative si reducerea birocratiei la nivelul Municipiului Oradea</t>
  </si>
  <si>
    <t>Planificare strategica si decizionala la nivelul Unității Administrativ Teritoriale Județul Ilfov – garanția unui cadru administrativ coerent în beneficiul comunității</t>
  </si>
  <si>
    <t>Resurse Integrate pentru o Dezvoltare Locală Sustenabilă</t>
  </si>
  <si>
    <t>Municipiul Mediaș</t>
  </si>
  <si>
    <t>Consolidarea capacitaþii de implementare si evaluare a strategiilor/politicilor publice pe care le
coordoneaza OSIM si ME</t>
  </si>
  <si>
    <t>OFICIUL DE STAT PENTRU INVENTII SI MARCI</t>
  </si>
  <si>
    <t>Consolidarea capacității autorităților administrației publice centrale de a optimiza procese de gestionare a organizării și desfășurării în România a evenimentelor sportive majore</t>
  </si>
  <si>
    <t>1. Școala Națională de Studii Politice și Administrative
2. Federația Română de Fotbal</t>
  </si>
  <si>
    <t>Obiectivul general al proiectului consta in consolidarea capacitatii MAI prin dezvoltarea de instrumente de coordonare, eficientizare si
crestere a calitatii serviciului de ordine si siguranta publica, precum si a gestionarii interventiilor în situatiile de urgenta si prim-ajutor calificat în organizarea si desfasurarea evenimentelor sportive majore în România.
OS1. Eficientizarea activitatii in cadrul MAI si aplicarea sistemului bazat pe dovezi prin:
- Elaborarea unui document strategic privind gestionarea evenimentelor sportive majore desfasurate în România;
- Elaborarea unui Plan de actiuni pentru organizarea si desfasurarea în România a evenimentului sportiv UEFA EURO 2020;
- Elaborarea unui plan de masuri privind pregatirea continua a actorilor cheie implicati în gestionarea evenimentelor sportive
majore organizate în România;
OS.2. Simplificarea si sistematizarea fondului activ al legislatiei din domeniul ordinii si sigurantei publice si a interventiilor in situatii
de urgenta si prim ajutor prin elaborarea unei propuneri de revizuire a Cadrului legislativ si a unui ghid de procedure pentru furnizarea serviciilor.
OS.3. Imbunatatirea nivelului de cunostinte si abilitati ale personalului din cadrul MAI si a structurilor aflate in subordonare/coordonare, asimilarea de bune practice din contextul international al organizarii de evenimente sportive majore.</t>
  </si>
  <si>
    <t>AA 1/16.07.2019 prel 8 L</t>
  </si>
  <si>
    <t>O administratie in slujba cetateanului</t>
  </si>
  <si>
    <t xml:space="preserve">Obiectivul general al proiectului/Scopul proiectului
Consolidarea capacității instituționale, a calitatii si eficientei serviciilor publice furnizate la nivelul Municipiului Brăila prin investiții integrate și complementare conform reglementărilor europene și naționale (planificare strategică instituțională aferent anilor 2020 - 2021, elaborarea Strategiei de Dezvoltare a Municipiului Brăila pentru un nou orizont de timp și implementarea unui sistem informatic personalizat pentru optimizarea serviciilor administratiei locale).
Prin elaborarea Planului strategic instituțional, implementarea unei platforme integrate pentru servicii electronice, pregatirea a circa 95 de persoane pentru o administratie performanta si eficienta la nivel local, proiectul contribuie la realizarea obiectivului general POCA 2014¬2020 și susține Axa prioritara 2 POCA: „Administrație publica și sistem judiciar accesibile și transparente”, Obiectivul Specific 2.1. Pe termen lung implementarea unor proceduri standard specifice și simplificate pentru reducerea birocrației, contribuie la dezvoltarea unei culturii a calitatii in administratia publica, la crearea unei administratii locale performante, capabile sa ofere servicii performante si sa genereze dezvoltare socio-economica la nivelul comunitatii.
Proiectul susține Axa prioritara 2 POCA: „Administrație publica și sistem judiciar accesibile și transparente”, deoarece prin activitațile sale, Activitatea 3 (acțiuni de planificare strategica și financiară - elaborare Strategie de dezvoltare a Municipiului Brăila, elaborare Plan strategic instituțional), Activitatea 4 (dezvoltarea unui sistem integrat pentru administratia publica facil atât pentru operatorii interni, cât pentru cetățeni prin intermediul unei interfețe prietenoase cu toate categoriile de utilizatori) și Activitatea 5 (instruire specifica a personalului) se urmarește imbunatatirea procesului decizional si consolidarea autonomiei publice locale.
Simplificarea administrativă și optimizarea serviciilor online furnizate către cetățeni, la nivelul Primăriei Municipiului Urziceni, contribuie astfel la îndeplinirea obiectivului specific 2.1 al POCA "Introducerea de sisteme și standarde comune în administrația publica locala ce optimizează procesele orientate catre beneficiari în concordanță cu SCAP". Implementarea acestui proiect va avea ca efect imbunatatirea proceselor interne ale institutiei și serviciile furnizate către cetățeni/mediu de afaceri, contribuind la atingerea obiectivelor Strategiei pentru consolidarea administratiei publice 2014-2020 (SCAP) - II.3, II.4 și II.5, III.1 și III.2.
Obiectivul general al proiectului este în concordanță cu Obiectivul tematic 11 din Politica de coeziune 2014 - 2020 (OT 11 Consolidarea capacității instituționale a autorităților publice și a părților interesate și eficiența administrației publice), abordând provocarea 5 Administrația și guvernarea și provocarea 2 Oamenii și societatea din Acordul de Parteneriat al României, prin acțiuni specifice derulate la nivelul UAT Municipiul Brăila.
Proiectul contribuie la atingerea scopului din Ghidul Solicitantului POCA pentru Cererea de proiecte CP12/2018: cererea cuprinde acțiunile prevăzute și care au fost transpuse în activități conform Ghidului: sprijiin pentru îmbunătățirea procesului decizional și a planificării strategice prin Activitatea 3, măsuri de simplificare a birocrației prin Activitatea 4 și dezvoltarea abilităților a circa 95 persoane din cadrul UAT, prin programe de formare specifice (Activitatea 5).
Realizarea obiectivelor specifice menționate vor conduce la îndeplinirea obiectivului general al proiectului. Obiectivele specifice menționate sunt îndeplinite prin atingerea Rezultatelor POCA ale proiectului, respectiv R1 - proceduri standard implementate și planificare strategică (îndeplinite prin OS1); R3 - o platforma integrata de servicii electronice pentru cetateni si pentru mediul de afaceri
- atinge obiectivul OS2 si R5 atinge obiectivul specific OS 3: circa 95 persoane certificate (personal de executie, de conducere si alesi locali) din instituția beneficiarului, prin implementarea activitaților descrise.
Activitățile prevăzute in cadrul acestuia contribuie semnificativ la atingerea obiectivelor programului si ai indicatorilor de realizare si rezultat, în conformitate cu specificațiile din Ghidul Solicitantului pentru CP 12/2018 și corelate cu ”Planul integrat pentru simplificarea procedurilor adminsitrative aplicabile cetățenilor”, ”Ghid pentru planificarea și fundamentarea procesului decizional din administrația publică locală”:
- Elaborarea Strategiei Municipiului și a Planului strategic instituțional contribuie la atingerea indicatorului de rezultat 5S18 și a indicatorului
- Crearea si adaptarea unei platforme integrate de servicii electronice pentru cetateni si pentru mediul de afaceri - contribuie la atingerea indicatorilor POCA - 5S20 indicatorul de rezultat și 5S59 indicatorul de realizare prin realizarea Activității 4.
- Participarea la activitati de instruire specifică și certificarea a 95 persoane din diferite departamente, servicii, aleși locali contribuie la atingerea indicatorilor POCA - 5S23 indicator de rezultat și 5S62 indicatorul de realizare prin realizarea Activității 5.
planificării strategice și execuției bugetare; ale, să ofere cetățenilor servicii eficiente care duc la un grad ridicat de satisfacere a nevoilor cetățenilor sau a consumatorilor de servicii publice, dar si din motive externe, cum ar fi alinierea la prioritățile documentelor strategice de la nivel national.
Obiectivele specifice ale proiectului
1. OS 1: Implementarea unor mecanisme si proceduri standard (actualizare Strategie de dezvoltare a Municipiului, elaborare Plan strategic instituțional 2020 - 2021) pentru a crește eficiența acțiunilor adimintrative la nivelul Municipiului Brăila. OS 1 se va îndeplini prin Activitatea 3 și va conduce la atingerea rezultatului de program POCA R1.
2. OS 2. Măsuri de simplificare a procedurilor administrative și reducerea birocrației prin crearea și dezvoltarea unui sistem elecronic integrat pentru administratia publica facil atât pentru operatorii interni, cât și pentru cetățeni prin intermediul unei interfețe prietenoase cu toate categoriile de utilizatori informatice la nivelul Municipiului Brăila. OS 2 se va îndeplini prin Activitatea 4 și va conduce la atingerea rezultatului de program POCA R3.
3. OS 3. Imbunatatirea competentelor profesionale a 95 persoane din toate nivelurile ierarhice (personal de conducere, de execuție, aleși locali) din cadrul UAT Municipiul Brăila pe teme specifice programului. OS 3 se va îndeplini prin Activitatea 5 și va conduce la atingerea rezultatului R5.
Rezultate așteptate
Detalii rezultat - Componenta 1
1. 1. Rezultat program 1 Mecanisme și proceduri standard implementate la nivel local pentru fundamentarea deciziilor și
planificarea strategică pe termen lung; - atins prin Rezultat de proiect 1 - 1 Plan Strategic instituțional aferent anilor 2020 - 2021 elaborat 
2. 2. Rezultat program 1 Mecanisme și proceduri standard implementate la nivel local pentru fundamentarea deciziilor și
planificarea strategică pe termen lung; - atins prin Rezultat de proiect 2- 1 Strategie de dezvoltare a UAT Municipiul Brăila elaborată
3. 3. Rezultat program 3 Proceduri simplificate pentru reducerea birocrației pentru cetățeni la nivel local corelate cu Planul
integrat de simplificare a procedurilor administrative pentru cetățeni implementate - Rezultat proiect 3 - 1 sistem informatic integrat, flexibil, modular care să răspundă cerințelor cetățenilor, mediului de afaceri și pentru administrația internă, implementat atât din perspectivă back-office, cât și front-office.
4. 4. Rezultat program 5: Cunoștințe si abilitați ale personalului din autoritățile si instituțiile publice locale îmbunătățite, în
vederea sprijinirii masurilor/ acțiunilor vizate de acest obiectiv specific - Rezultat proiect 4 - 95 persoane instruite și certificate pe teme specifice administrației publice locale, de interes (ex. planificare strategică, planificare bugetară, politici locale, fundamentare, elaborare, implementare, monitorizare și evaluare a deciziilor la nivelul administrației publice locale, etc).
</t>
  </si>
  <si>
    <t>IP15/2019
(MySMIS: 
POCA/ 535/1/2 )</t>
  </si>
  <si>
    <t>SERVICIUL DE PROTECŢIE ŞI PAZĂ - U.M. 0149 BUCUREŞTI</t>
  </si>
  <si>
    <t>POLISE - Implementarea de politici și instrumente moderne pentru selectia si evaluarea resurselor umane în Serviciul de Protecție si Pază</t>
  </si>
  <si>
    <t>Obiectivul general al proiectul este de implementare a unui sistem modern de management al resurselor umane, prin utilizarea unor politici bazate pe dovezi, a unor instrumente unitare si moderne, adaptarea si optimizarea proceselor de selecție, recrutare si evaluare a pregătirii resurselor umane, inclusiv a personalului existent în organizație.</t>
  </si>
  <si>
    <t xml:space="preserve">AP1/11i /1.1 </t>
  </si>
  <si>
    <t>Consolidarea capacității ISC de a-și exercita competențele într-un mod unitar, eficient și eficace</t>
  </si>
  <si>
    <t>Inspectoratul de Stat în Construcții</t>
  </si>
  <si>
    <t>Cresterea capacitatii administrative a Municipiului Constanta prin introducerea si mentinerea
sistemului de management al calitatii ISO 9001</t>
  </si>
  <si>
    <t>APLICAT - Administratie Publica Locala Informatizata, Calitativa si Accesibila Tuturor la Suceava</t>
  </si>
  <si>
    <t>Municipiul Suceava</t>
  </si>
  <si>
    <t>A.N.A.N.P.-Pilon strategic în dezvoltarea comunitaþiilor locale si a mediului de afaceri prin
consolidarea capacitaþii administrative în ariile naturale protejate din România</t>
  </si>
  <si>
    <t>IP 10/2018 (MySMIS: 
POCA/354/1/3/)</t>
  </si>
  <si>
    <t>Ghidul specializărilor expertizei tehnice judiciare</t>
  </si>
  <si>
    <t>PARCHETUL DE PE LINGA INALTA CURTE DE CASATIE SI JUSTITIE      / TRIBUNALUL BUCURESTI</t>
  </si>
  <si>
    <t>Obiectivul general urmărit prin proiect vizează eficientizarea justiției ca serviciu public și îmbunătățirea calității actului de justiție prin elaborarea și implementarea unui instrument standard de management la nivelul sistemului judiciar aplicabil activității de expertiză tehnică judiciară.</t>
  </si>
  <si>
    <t>AA 1/22.07.2019</t>
  </si>
  <si>
    <t>AA1/ 24.07.2019</t>
  </si>
  <si>
    <t>AA2/29.07.2019</t>
  </si>
  <si>
    <t>Cod SIPOCA</t>
  </si>
  <si>
    <t>Planificare strategica si simplificarea procedurilor administrative la nivelul Municipiului Tarnaveni</t>
  </si>
  <si>
    <t xml:space="preserve">Obiectivul general al proiectului/Scopul proiectului
Obiective proiect OBIECTIVUL GENERAL AL PROIECTULUI - Promovarea accesului egal la masuri integrate de educatie, ocupare, antreprenoriat, servicii sociale, acte, locuire, antidiscriminare pentru persoanele din zone urbane marginalizate din municipiul Tarnaveni, judeul Mures, aflate în risc de saracie si excluziune sociala din comunitaile marginalizate în care exista populaie aparinând minoritaii rome.
Strategia de implementare a proiectului are 4 COMPONENTE interconectate si clare, care sunt alocate partenerilor in functie de responsabilitatile acestora bazate pe experienta si expertiza specifica si care vizeaza o corelare comprehensiva in acordarea pachetului integrat de servcii si rezultate pentru grupul tinta propus in proiect. Cele 4 componente interconectate sunt urmatoarele: COMPONENTA 1 - servicii socio-medicale, acte, locuire; COMPONENTA 2 - ocupare si antreprenoriat; COMPONENTA 3 - educatie; COMPONENTA 4 - campanie antidiscriminare.
Obiectivele specifice ale proiectului
1. Obiectiv 1 - Acordarea si dezvoltarea de servicii socio-medicale, acordarea sprijinului in obtinerea de acte de proprietate si identitate, imbunatatirea conditiilor de locuire, realizarea unei campanii de antidiscriminare pentru persoanele din municipiul Tarnaveni, judeul Mures aflate în risc de saracie si excluziune sociala din comunitaile marginalizate în care exista populaie aparinând minoritaii rome.
2. Obiectiv 2 - Dezvoltarea deprinderilor pentru accesarea de locuri de munca pentru 376 de persoane din municipiul Tarnaveni, judeul Mures aflate în risc de saracie si excluziune sociala din comunitaile marginalizate în care exista populaie aparinând minoritaii rome.
3. Obiectiv 3 - Sprijinirea cresterii calitatii actului educational pentru 120 de copii prescolari si scolari si 40 de tineri si adulti din cadrul persoanelor din municipiul Tarnaveni, judeul Mures aflate în risc de saracie si excluziune sociala din comunitaile
marginalizate în care exista populaie aparinând minoritaii rome.
</t>
  </si>
  <si>
    <t>AA1/26.07.2019</t>
  </si>
  <si>
    <t>România durabilă - Dezvoltarea cadrului strategic și instituțional pentru implementarea Strategiei Naționale pentru Dezvoltarea Durabilă a României 2030</t>
  </si>
  <si>
    <t>1. Institutul Național de Statistică
2. Asociația Regională pentru Dezvoltare Antreprenorială Oltenia (ARDA OLTENIA)</t>
  </si>
  <si>
    <t>AA1/31.07.2019</t>
  </si>
  <si>
    <t>PROGRES în asigurarea tranziþiei de la îngrijirea în instituþii la îngrijirea în comunitate</t>
  </si>
  <si>
    <t>Consolidarea capacității administrative a Ministerului Energiei prin implementarea instrumentului CAF și a Sistemului de Management al Calității SR EN IS0 9001:2015</t>
  </si>
  <si>
    <t>Soluții informatice integrate pentru simplificarea procedurilor administrative si reducerea birocrației la nivelul municipiului Onești</t>
  </si>
  <si>
    <t>Municipiul Onești</t>
  </si>
  <si>
    <t>Onești</t>
  </si>
  <si>
    <t>Îmbunatațirea capacitații autoritații publice centrale în domeniul managementului apelor în ceea ce
priveste planificarea, implementarea si raportarea cerințelor europene din domeniul apelor</t>
  </si>
  <si>
    <t xml:space="preserve">ADMINISTRATIA NATIONALA "APELE ROMANE" </t>
  </si>
  <si>
    <t>Dezvoltarea capacității administrative a MCI de implementare a unor acțiuni stabilite în Strategia Națională de Cercetare, Dezvoltare tehnologică și Inovare 2014-2020</t>
  </si>
  <si>
    <t xml:space="preserve">                  AA4/02.08.2019</t>
  </si>
  <si>
    <t>Centrul Romano de Studii și Dezvoltare Socială (fostă Asociația Mesteșukar Mobil)</t>
  </si>
  <si>
    <t>OG: Optimizarea procesului de reforma administrativa si cresterea transparentei decizionale prin implicarea activa si dezvoltarea capacitații a 40 de parteneri sociali care activeaza în sistemul de stat de a formula si propune politici publice pentru cresterea calitații si eficienței dialogului social în administrație, prin instruirea a 240 de persoane din parteneri sociali ce activeaza în sectorul public si facilitarea accesului acestora la o rețea naționala de consolidare a dialogului social si pentru cresterea coerentei, eficientei, predictibilitații
si transparenței procesului decizional în administrația publica, formularea, promovarea si acceptarea unei propuneri alternative la politicile
publice privind dialogul social initiate de Guvern, la nivel national pe parcursul a 16 luni.
OS1. Cresterea capacitatii a 40 de parteneri sociali care activeaza în sectorul public de a se implica în formularea si promovarea de propuneri alternative la politicile publice initiate de Guvern pentru dialog social prin dezvoltarea si livrarea catre 240 pers din cele 40 org vizate a doua traininguri si facilitarea accesului acestora la o retea de consolidare a dialogului social si pentru cresterea coerentei, eficienței, predictibilitații si transparenței procesului decizional în administrația publica.
OS2. Formularea, promovarea si acceptarea de catre autoritatile publice centrale relevante din domeniul muncii si dialogului social a unei propuneri alternative de politica publica privind cresterea calitații si eficienței dialogului social de catre un ONG si un partener social, timp de 16 luni.</t>
  </si>
  <si>
    <t>AA1/27.11.2018</t>
  </si>
  <si>
    <t>AA1/05.05.2017; AA2/29.05.2017; AA3/18.12.2017; AA4/27.07.2018; AA5/27.05.2019</t>
  </si>
  <si>
    <t xml:space="preserve">AA1/09.06.2017; AA2/12.10.2018; AA3/22.07.2019             </t>
  </si>
  <si>
    <t>AA1/10.11.2016; AA2/28.04.2017; AA3/16.01.2018; AA4/10.07.2018; AA5/31.01.2019</t>
  </si>
  <si>
    <t>Obiectiv general: Dezvoltarea capacitatii societatii civile, ca împreuna cu UAT, sa contribuie la sustinerea si dezvoltarea economiei sociale prin sprijinirea initiativelor antreprenoriale care vizeaza infiintarea de structuri de economie sociala in Romania (SES).
OS1. Crearea unui parteneriat public-privat la nivel national, format din 160 de reprezentati ai UAT si organizatii civice din
Romania, pentru formularea si promovarea de propuneri alternative la politicile publice initiate de Guvern.
OS2. Formarea membrilor GT, pentru cresterea capacitatii de a identifica probleme in comunitate si a formula politici publice alternative.
OS3. Formularea propunerilor de Politici Publice.</t>
  </si>
  <si>
    <t>Persoane cu dizabilități - tranziția de la servicii rezidențiale la servicii în comunitate</t>
  </si>
  <si>
    <t xml:space="preserve">Accelerarea procesului de dezinstituționalizare a persoanelor adulte cu dizabilități concomitent cu proiectarea politicii publice și a instrumentelor de lucru pentru dezvoltarea de alternative de sprijin pentru viața independentă și integrare în comunitate și prevenirea re/instituționalizării
Obiectivele specifice ale proiectului
1. OS 1 – Elaborarea unei propuneri de politici publice pentru dezvoltarea de alternative de sprijin pentru viața independenta și
integrare în comunitate și prevenirea re/instituționalizării, bazata pe dovezi obținute din evaluarea ex ante
2. OS 2 – Proiectarea instrumentelor de lucru în domeniul serviciilor sociale pentru persoane adulte cu dizabilități.
3. OS 3 – Realizarea coordonării la nivel interinstituțional pentru evitarea suprapunerilor de inițiative și evitarea dublei finanțări.
</t>
  </si>
  <si>
    <t>AA1/02.08.2019</t>
  </si>
  <si>
    <t>Obiectivul general al proiectului îl constituie implementarea unor sisteme integrate de management al calități și performanței în vederea optimizării proceselor decizionale și de sprijin a cetăţenilor, susținut de o dezvoltare a abilităților personalului de la nivelul solicitantului.
Se urmărește implementarea unui Sistem de Management al Calității certificat conform Standardului Internațional ISO 9001:2015 (SMC) și a instrumentului de management al performanței Balance Scorecard (BSC).
OS.1 Elaborarea, dezvoltarea, implementarea și menținerea unui Sistem de Management al Calității în conformitate cu prevederile Standardului ISO 9001:2015 care să conducă la creșterea calității, eficienței și a transparenței serviciilor oferite precum și dezvoltarea unui proces de monitorizare și de evaluare a impactului net al serviciilor oferite.
OS.2 Elaborarea, dezvoltarea și implementarea unor sisteme de management al performanței în baza Balance ScoreCard.
OS.3 Dezvoltarea abilităților specifice ale personalului public în domeniul managementului calității în vederea elaborării, implementării și menținerii unor sisteme de management al calității și performanței la nivelul beneficiarului astfel încât să se mențină la un standard european calitatea serviciilor acordate. 
OS.4 Dezvoltarea de noi abilități ale personalului în vederea optimizării proceselor decizionale orientate catre cetateni.</t>
  </si>
  <si>
    <t>AA1/09.08.2019</t>
  </si>
  <si>
    <t>AA2/09.08.2019</t>
  </si>
  <si>
    <t>AA1/12.08.2019</t>
  </si>
  <si>
    <t>Întărirea capacității INA privind dezvoltarea de studii/ analize cu impact asupra sistemului de formare profesională în administrația publică</t>
  </si>
  <si>
    <t>1. SGG
2. ANFP</t>
  </si>
  <si>
    <t>Creșterea capacității MMJS de coordonare metodologică a SPAS-urilor în vederea îndeplinirii atribuțiilor si obligațiilor legale pe domeniul serviciilor sociale și a creșterii calității serviciilor oferite cetățenilor</t>
  </si>
  <si>
    <t>Întărirea capacității administrative a Autorității Naționale de Reglementare pentru Serviciile Comunitare de Utilități Publice pentru reglementarea, autorizarea, evaluarea și monitorizarea serviciilor comunitare de utilități publice</t>
  </si>
  <si>
    <t>Autoritatea Națională de Reglementare pentru Serviciile Comunitare de Utilități Publice</t>
  </si>
  <si>
    <t>Asociația Municipiilor din România</t>
  </si>
  <si>
    <t>AA 1/09.08.2019 prel 2L</t>
  </si>
  <si>
    <t>Extinderea instrumentelor de management al performanței la nivelul Primăriei Municipiului Galați prin implementarea CAF</t>
  </si>
  <si>
    <t>INSTITUTUL NATIONAL DE CERCETARI ECONOMICE "COSTIN C. KIRITESCU"</t>
  </si>
  <si>
    <t>AA1/14.08.2019</t>
  </si>
  <si>
    <t>Național</t>
  </si>
  <si>
    <t>Proiectul propus are ca scop îmbunătățirea cadrului normativ intern si instituțional privind managementul resurselor umane, prin asigurarea unui instrument modern si unitar de management al necesarului de resurse umane si prin îmbunătățirea mecanismelor instituționale si a instrumentelor specifice pentru planificarea strategica a resurselor umane la nivelul Serviciului Român de informații, respectiv dezvoltarea competențelor personalului din cadrul SRI în domeniul resurselor umane.</t>
  </si>
  <si>
    <t>1. UM 0472 BUCUREȘTI
2. ACADEMIA NATIONALA DE INFORMATII "MIHAI VITEAZUL" - UNITATEA MILITARA 0418 BUCURESTI
3. SERVICIUL ROMAN DE INFORMATII PRIN INSTITUTUL PENTRU TEHNOLOGII AVANSATE</t>
  </si>
  <si>
    <t>SERVICIUL ROMÂN DE INFORMAȚII PRIN UNITATEA MILITARĂ 0929 BUCUREȘTI</t>
  </si>
  <si>
    <t>INTELLIGENCE în serviciul cetățenilor</t>
  </si>
  <si>
    <t xml:space="preserve">Analiza sistemica si revizuirea cadrului procedural de management al resurselor umane si crearea unui nou set de instrumente
informatizate care sa permită gestiunea unitara, optimizarea si eficientizarea proceselor specifice de recrutare, selecție, formare, evaluare si managementul carierei personalului S.T.S., facilitând totodată interoperabilitatea si creșterea performanțelor angajaților din generații diferite.
Obiectivele specifice ale proiectului
1. Îmbunătățirea cadrului de politici si proceduri existente la nivelul STS în domeniul managementului resurselor umane.
2. Asigurarea gestionarii unitare a proceselor de recrutare, selecție, managementul performantei si managementul carierei pentru
personalul STS, prin dezvoltarea si implementarea de instrumente moderne.
3. Îmbunătățirea cunoștințelor si abilitaților profesionale ale personalului cu atribuii în gestionarea proceselor de recrutare, selecție, managementul performantei si managementul carierei la nivelul STS, prin organizarea si implementarea unor programe de formare si perfecționare (mentorat, coaching, cursuri pentru aptitudini tehnice si manageriale).
</t>
  </si>
  <si>
    <t>1. ACADEMIA DE STUDII ECONOMICE DIN BUCURESTI
2. UNITATEA MILITARA 01512/Conducere
3. UNITATEA MILITARA 02648</t>
  </si>
  <si>
    <t>SERVICIUL DE TELECOMUNICATII SPECIALE</t>
  </si>
  <si>
    <t>Optimizarea, eficientizarea cadrului procedural și digitalizarea proceselor  de management al resurselor umane din cadrul STS</t>
  </si>
  <si>
    <t>Proceduri Administrative Simplificate la Primăria Municipiului Vulcan</t>
  </si>
  <si>
    <t xml:space="preserve">Consolidarea capacitații Primăriei Municipiului Vulcan de a asigura calitatea și accesul la serviciile publice oferite exclusiv de primărie prin simplificarea procedurilor administrației locale si reducerea birocrației pentru cetățeni.
Obiectivele specifice ale proiectului
1. OS1. Îmbunătățirea procesului de planificare strategica si alocare a resurselor în cadrul Primăriei Municipiului Vulcan prin introducerea unui instrument informatic de colectare, consultare si votare a propunerilor de la cetățeni.
2. OS2. Implementarea unor masuri de simplificare pentru cetățeni, în corespondență cu Planul Integrat pentru simplificarea procedurilor administrative aplicabile cetățenilor, atât din perspectiva back-office (adaptarea procedurilor interne de lucru, digitalizarea arhivelor), cât si front-office.
3. OS3. Dezvoltarea cunoștințelor și abilitaților personalului din cadrul Primăriei Municipiului Vulcan în vederea sprijinirii masurilor vizate de proiect. In principal este avuta în vedere instruirea, evaluarea si certificarea competențelor dobândite pentru 75 de persoane din cadrul grupului țintă în ceea ce privește utilizarea mecanismelor de simplificare a procedurilor.
</t>
  </si>
  <si>
    <t>Introducerea de sisteme și standarde comune în administrația publică locală ce optimizează procesele orientate către cetățeni în Municipiul Carei</t>
  </si>
  <si>
    <t>Municipiul Carei</t>
  </si>
  <si>
    <t xml:space="preserve">Obiectivul general al proiectului consta în dezvoltarea capacitații instituționale si optimizarea activității la nivelul Municipiului Carei prin masuri implementate din perspectiva back-office (adaptarea procedurilor interne de lucru, digitalizarea arhivelor) si front-office (oferirea de servicii si informații accesibile tuturor cetățenilor), pentru serviciile publice furnizate de către administrația publica locala precum si dezvoltarea aptitudinilor angajaților.
Obiectivele specifice ale proiectului
1. OS1. Implementarea unor masuri în corespondenta cu Planul integrat pentru simplificarea procedurilor administrative pentru
cetățeni din perspectivele front-office si back-office prin achiziția si implementarea unei platforme integrate care va furniza digital fluxurile de lucru de baza din cadrul instituției si va asigura accesul online la serviciile publice gestionate de Municipiul Carei, pana in 2023.
2. OS2 .Dezvoltarea cunoștințelor si abilitaților a 30 de angajați din cadrul personalului de conducere si execuție al UAT Municipiul Carei, in vederea sprijinirii masurilor vizate de proiect prin formarea/instruirea utilizatorilor in ceea ce privește soluțiile informatice implementate in cadrul proiectului precum si a responsabilităților in materia comunicării, transparenta decizională si
managementul documentelor, pana in 2023.
</t>
  </si>
  <si>
    <t>Carei</t>
  </si>
  <si>
    <t>Dezvoltarea capacității administrative a Ministerului Mediului privind gestionarea situațiilor de urgență generate de riscurile specifice ministerului si a situațiilor privind starea mediului</t>
  </si>
  <si>
    <t>Serviciul de Telecomunicatii Speciale</t>
  </si>
  <si>
    <t>AA1/21.08.2019</t>
  </si>
  <si>
    <t>-</t>
  </si>
  <si>
    <t>Fundamentarea politicii de investiții pentru dezvoltarea socio-economică în perioada 2021-2030</t>
  </si>
  <si>
    <t>Consolidarea funcțiilor de management strategic la nivelul SGG</t>
  </si>
  <si>
    <t>Studii de impact pentru o reglementare mai buna!</t>
  </si>
  <si>
    <t>Sistem performant de management al resurselor umane din cadrul Ministerului Afacerilor Interne</t>
  </si>
  <si>
    <t xml:space="preserve">Dezvoltarea unui sistem unitar, coerent, predictibil si sustenabil de management al resurselor umane din cadrul Ministerului Afacerilor Interne
Obiectivele specifice ale proiectului
1. Dezvoltarea si implementarea de proceduri si instrumente unitare si moderne de management al resurselor umane din cadrul Ministerului Afacerilor Interne, adaptate specificului instituțional, prin:
a. identificarea unor modalității de îmbunătățire a procedurilor specifice managementului carierei personalului în cadrul MAI
b. dezvoltarea instrumentelor de previziune si planificare a resurselor umane
c. definirea profilului competențelor de resurse umane necesare pentru îndeplinirea unei funcții de conducere în cadrul MAI
2. Consolidarea capacitații structurilor de resurse umane ale MAI de a derula procese de resurse umane eficiente si flexibile,
particularizate în funcție de specificul instituțional, prin implementarea unui sistem informatic care sa servească evidenței si
gestiunii personalului, derulării proceselor de resurse umane si fundamentării politicilor de personal
3. Creșterea capacitații MAI pentru implementarea unor politici de personal adaptate specificului instituțional, prin:
a. asigurarea unei pregătiri adecvate a personalului MAI cu funcții de conducere în domeniul managementului resurselor umane si în domenii conexe activității de baza, precum cunoașterea personalului, evaluare comportamentala, negociere si mediere, gestionarea conflictelor
b. pregătirea suplimentara a personalului care își desfășoară activitatea în structurile de resurse umane în domeniul resurselor umane si în domenii conexe activității de baza, precum cunoașterea personalului, negociere si mediere, gestionarea conflictelor
</t>
  </si>
  <si>
    <t>AA3/29.08.2019</t>
  </si>
  <si>
    <t>Eficienta institutionala si buna guvernare la
nivelul Municipiului Moreni</t>
  </si>
  <si>
    <t>AA2/13.08.2019</t>
  </si>
  <si>
    <t>Eficientizarea proceselor interne ale primăriei și a interacțiunii cu cetățenii prin implementarea unui sistem informatic integrat și a unui portal de servicii electronice</t>
  </si>
  <si>
    <t>Municipiul Gheorgheni</t>
  </si>
  <si>
    <t>Obiectivul general al proiectului corelat cu obiectivul specific al apelului de proiecte CP12/2018 urmareste imbunatatirea capacitatii
institutionale si reducerea birocratiei pentru cetateni, prin dezvoltarea si implementarea unei solutii informatice integrate.
OS 1: Achizitionarea unui pachet de solutii informatice pentru simplificarea procedurilor administrative si reducere a birocratiei
pentru cetateni.
OS 2: Dezvoltarea si implementarea solutiei informatice inovative la nivelul institutiei publice.
OS 3: Instruirea personalului din cadrul UAT Toplita pentru utilizarea optima a solutiei informatice integrate prin proiect.</t>
  </si>
  <si>
    <t>PRO-ADMIN - Administratie locala performanta</t>
  </si>
  <si>
    <t xml:space="preserve">
Dezvoltarea si implementarea unor solutii informatice privind simplificarea procedurilor administrative in primaria Carcal, in vederea
cresterii capacitatii institutionale privind fundamentarea deciziilor si planificare strategica pe termen lung, precum si reducerea birocratiei,
prin dezvoltarea si implementarea unor sisteme informatice inovative pentru serviciile furnizate catre cetateni.
Obiectivele specifice ale proiectului
 Obs. 1) Introducerea si implementarea unui mecanism de bugetare participativa in scopul cresterii calitatii procesului decizional,
pentru a raspunde in mod fundamentat si coerent nevoilor comunitatii locale Caracal.
 Obs. 2) Consolidarea capacitatii institutionale privind planificarea si fundamentarea strategica, prin dezvoltarea si elaborarea
Strategiei de dezvoltare durabila a Municipiului Caracal pentru perioada 2021 -2027 si a PMUD
Obs. 3) Dezvoltarea, implementarea si susinerea de masuri de simplificare, atat din perspectiva back-office cât si front-office
pentru serviciile furnizate direct cetatenilor si mediului de afaceri din municipiului Caracal.
 Obs. 4) Dezvoltarea si implementarea unor programe de instruire specifice privind dezvoltarea competentelor si abilitatilor pentru
angajatii (demnitari, consilieri, personal de conducere si executie) din municipiului Caracal.</t>
  </si>
  <si>
    <t>Obiectivul general al proiectului/Scopul proiectului
Obiectivul general al proiectului consta in consolidarea capacitatii administrative a Municipiului Medias prin dezvoltarea capacitatii de
planificare strategica si prin simplificarea procedurilor administrative, corelata cu introducerea de metode electronice de gestionare si
management a documentelor administrative, fapt ce va determina cresterea calitatii actului administrativ pe termen lung. 
Obiectivele specifice ale proiectului
1. OS 1 Dezvoltarea capacitatii de planificare strategica la nivelul administratiei publice locale din Municipiul Medias prin realizarea
Strategiei Smart City orizont 2027 si a Strategiei de Dezvoltare Durabila pentru perioada 2021-2027
2. OS 2 Eficientizarea si simplificarea serviciilor furnizate cetatenilor de catre Primaria Muncipiului Medias prin implementarea unei
solutii de portal cu servicii digitale pentru cetateni, managementul documentelor, ERP si retrodigitalizarea arhivei
3. OS3-Intarirea capacitatii institutionale in cadrul Primariei Municipiului Medias prin specializarea angajatilor primariei pe teme
specifice proiectului (planificare strategica si utilizarea noului sistem informatic) ceea ce va determina motivarea si mobilizarea
acestora in directia inovatiei si in oferirea de servicii publice de calitate catre cetateni</t>
  </si>
  <si>
    <t>Centru operațional de management integrat pentru fundamentarea deciziilor în implementarea proiectelor strategice și informarea cetățenilor - COMUNIC</t>
  </si>
  <si>
    <t xml:space="preserve">Obiectivul general al proiectului/Scopul proiectului
Obiectivul general al proiectului constă în creșterea transparenței, eticii și integrității în cadrul Consiliului Județean Suceava și a unităților administrativ- teritoriale și instituțiilor publice din județul Suceava.
Acest obiectiv general încadrează proiectul în aria Axei prioritare 2. Administrație publică și sistem judiciar accesibile și transparente, Obiectivul specific 2.2. Creșterea transparenței, eticii și integrității în cadrul autorităților și instituțiilor publice din cadrul Programului Operațional Capacitate Administrativă 2014-2020.                                                                                                             Obiectivele specifice ale proiectului
1. Creșterea capacității administrației publice locale și instituțiilor publice din județul Suceava de elaborare, adoptare și implementare a normelor, mecanismelor și procedurilor în materie de etică, integritate și prevenire a corupției, în conformitate cu legislația națională.
2. Creșterea gradului de implementare a măsurilor de prevenire a corupției și a indicatorilor de evaluare la nivelul Consiliului Județean Suceava, a administrației publice locale și instituțiilor publice din județul Suceava.
3. Îmbunătățirea cunoștințelor și competențelor personalului administrației publice locale și instituțiilor publice din județul Suceava în ceea ce privește etica, integritatea și prevenirea corupției.
4. Educarea cetățenilor pentru a se implica activ în identificarea și combaterea cazurilor de corupție.
</t>
  </si>
  <si>
    <t>Extinderea sistemului de planificare strategică la nivelul ministerelor de resort-II</t>
  </si>
  <si>
    <t>Curtea de Conturi
Academia Română</t>
  </si>
  <si>
    <t>AA2 din 06.09.2019</t>
  </si>
  <si>
    <t>AA1/06.09.2019</t>
  </si>
  <si>
    <t>Județul Brașov</t>
  </si>
  <si>
    <t>AGENȚIA DE DEZVOLTARE DURABILĂ A JUDEȚULUI BRAȘOV</t>
  </si>
  <si>
    <t>Obiectivul general al proiectului:Creșterea performanței administrației publice din județul Brasov în domeniul planificarii strategice, prin corelarea obiectivelor strategice de
dezvoltare la nivelul județului pe termen mediu si lung cu execuția bugetară, prin prioritizarea si monitorizarea lucrărilor de investiții și implementarea de măsuri de simplificare a procedurilor administrative cu caracter general de tip front-office si back-office.</t>
  </si>
  <si>
    <t>Curtea de Conturi a României</t>
  </si>
  <si>
    <t>AA1/09.09.2019</t>
  </si>
  <si>
    <t>CCR-SAI pentru cetățean</t>
  </si>
  <si>
    <t>Promovarea politicilor publice la nivelul județului Arad</t>
  </si>
  <si>
    <t>Monitorizarea și evaluarea integrată a performanței serviciilor publice</t>
  </si>
  <si>
    <t>Obiectivul general al proiectului il reprezinta consolidarea capacitatii administratiei publice din Romania prin introducerea de sisteme si standarde comune care sa conduca la imbunatatirea activitatii de monitorizare si evaluare a performantei serviciilor publice furnizate.
Obiectivele specifice ale proiectului
1. OS1: Crearea unui cadru general unitar de monitorizare/evaluare a performantei serviciilor publice
2. OS2: Realizarea de unei analize integrate privind performanta actuala a serviciilor publice
3. OS4: Furnizarea unui cadru specific de imbunatatire a performantelor serviciilor comunitare de utilitati publice
4. OS4: Perfectionarea cunostintelor si dezvoltarea abilitatilor personalului din cadrul administratiei publice centrale</t>
  </si>
  <si>
    <t>AA4/10.09.2019</t>
  </si>
  <si>
    <t>Consolidarea capacității administrative a MADR susținută de planificare strategică și un sistem de politici publice bazate pe dovezi, sistematizarea și simplificarea procedurilor de lucru cu mediul de afaceri și cu cetățenii din România, cu accent pe zona montană</t>
  </si>
  <si>
    <t>Consolidarea capacității MADR de a elabora politici și reglementări specifice în vederea implementării unui sistem strategic național pentru trasabilitatea și integritatea produselor agroalimentare</t>
  </si>
  <si>
    <t>AA3 /13.09.2019</t>
  </si>
  <si>
    <t>Optimizarea procesului decizional si al planificării strategice și bugetare la nivelul Consiliului Județean Bihor</t>
  </si>
  <si>
    <t>Municipiul Oradea</t>
  </si>
  <si>
    <t>AA1/17.09.2019</t>
  </si>
  <si>
    <t>Soluții informatice integrate pentru optimizarea activității administrative, creșterea competentelor și a nivelului de calitate a serviciilor publice pentru cetățeni și mediul de afaceri la nivelul Municipiului Ploiești</t>
  </si>
  <si>
    <t>Municipiul Ploiești</t>
  </si>
  <si>
    <t>Consolidarea Sistemului Statistic National
si modernizarea proceselor de productie
statistica pentru efectuarea recensamintelor
nationale</t>
  </si>
  <si>
    <t>AA1-08.07.2019
AA2-20.09.2019</t>
  </si>
  <si>
    <t>AA 1/12.11.2018         AA 2/20.09.2019</t>
  </si>
  <si>
    <t>AA2/24.09.2019</t>
  </si>
  <si>
    <t>AA1/25.09.2019</t>
  </si>
  <si>
    <t>CAMERA DEPUTATILOR/DA</t>
  </si>
  <si>
    <t>Creșterea capacității administrative a Camerei Deputaților pentru furnizarea de servicii de calitate</t>
  </si>
  <si>
    <t xml:space="preserve">Obiectivul general al proiectului consta in creșterea capacității administrative a structurii organizatorice a serviciilor Camerei Deputaților prin măsuri de simplificare a furnizării serviciilor către beneficiari, susținute prin implementarea unor soluții informatice inovative. 
OS1. Optimizarea și simplificarea proceselor operaționale din cadrul Camerei Deputaților pentru reducerea cu cel puțin 20% a duratei pentru parcurgerea procedurilor administrative aferente serviciilor publice furnizate cetățenilor, prin digitalizarea fluxurilor de lucru din cadrul instituției.
OS2. Îmbunătățirea abilitaților si cunoștințelor personalului Camerei Deputaților  pentru înțelegerea abordării pe procese și implementarea măsurilor de simplificare implementate prin proiect, precum și pentru utilizarea sistemelor informatice dezvoltate prin proiect. Este avuta in vedere formarea/instruirea, evaluarea/testarea și certificarea competentelor/cunoștințelor dobândite pentru 100 de persoane din cadrul grupului țintă, in ceea ce privește susținerea măsurilor implementate in cadrul proiectului. </t>
  </si>
  <si>
    <t>AA1/26.09.2019</t>
  </si>
  <si>
    <t>AA3/27.09.2019</t>
  </si>
  <si>
    <t>Elaborarea politicii urbane ca instrument de consolidare a capacității administrative si de planificare strategică a zonelor urbane din România</t>
  </si>
  <si>
    <t>Dezvoltarea capacității instituționale a Ministerul Fondurilor Europene printr-un sistem integrat de management al calității</t>
  </si>
  <si>
    <t>EMOD - Dezvoltarea capacitații instituționale a Agenției Naționale de Integritate pentru eficientizarea fluxurilor interne de lucru si a modului de depunere a declarațiilor de avere si de interese în procesul electoral și annual</t>
  </si>
  <si>
    <t>AA1/01.10.2019</t>
  </si>
  <si>
    <t>Act aditional nr. 1</t>
  </si>
  <si>
    <t>Dezvoltarea și introducerea de sisteme și standarde în Ministerul Sănătății ce optimizează procesele decizionale privind activitatea de vaccinare în România - ROVAC</t>
  </si>
  <si>
    <t xml:space="preserve">Obiectivul general al ROVAC este de a intari capacitatea sistemului de sănătate publică în implementarea programelor naționale de vaccinare, cu scop principal de a crește și acoperi vaccinarea în populația generală, prin elaborarea de proceduri, metodologii, strategii, asigurarea de infrastructură și pilotarea de modele de bune practici și promovarea acestora.
Obiectiv specific nr. 1 al proiectului – Aplicarea sistemului de politici bazate pe dovezi în autoritățile și instituțiile publice centrale, inclusiv evaluarea ex ante a impactului, printr-o strategie nationala, o campanie de informare și conștientizare si asigurarea de infrastructură pentru vaccinare.
Obiectiv specific nr. 2 al proiectului – Imbunatațirea cunoștințelor și abilităților personalului din Ministerul Sanatatii și din structurile cu responsabilități în dezvoltarea și punerea în aplicare a politicilor și programelor de vaccinare și imunizare, prin participarea la programe de instruire.
</t>
  </si>
  <si>
    <t>Optimizarea managementului la nivelul sistemului judiciar. Componenta de instanțe judecatoresti</t>
  </si>
  <si>
    <t>AA2/01.10.2019</t>
  </si>
  <si>
    <t>AA1/27.09.2019</t>
  </si>
  <si>
    <t>Fundamentarea deciziilor si masuri pentru simplificarea procedurilor administrative pentru cetățeni la nivelul UAT Municipiul Bistrița</t>
  </si>
  <si>
    <t>Reducerea birocratiei și imbunatatirea procesului de luare a deciziei prin introducerea unor metode si sisteme coerente de planificare bugetara.
Descrierea obiectivelor specifice ale proiectului
1.  Simplificarea interacțiunii cetățenilor cu administrația publică locală și creșterea transparenței în luarea deciziilor prin implementarea de instrumente informatice de eGuvernare 
2.  Imbunatatirea procesului de alocare a resurselor in cadrul municipiului Bistrita prin implicarea cetățenilor și introducerea unui sistem modern de planificare bugetară, evaluare ex-ante și prioretizare a investițiilor , cu ajutorul instrumentelor informatice</t>
  </si>
  <si>
    <t>Obiectivul general al proiectului "Simplificarea procedurilor administrative si reducerea birocratiei pentru cetateni la nivelul Primariei Municipiului Sfantu Gheorghe" consta in simplificarea procedurilor administrative si reducerea birocratiei pentru cetatenii Mun Sfantu Gheorghe prin implementarea unor masuri de simplificare, atat din perspectiva back-office, cat si front-office pentru serviciile furnizate exclusiv de catre Primaria municipiului Sfantu Gheorghe.      
1. Asigurarea accesului online la serviciile gestionate exclusiv de primaria municipiului Sfantu Gheorghe - in termen de 30 luni de
la semnarea contractului de finantare.
2. Digitalizarea proceselor de administrare a documentelor- in termen de 30 de luni de la semnarea contractului de finantare.
3. Retro-digitalizarea documentelor din arhiva - in termen de 30 de luni de la semnarea contractului de finantare.</t>
  </si>
  <si>
    <t>Planificare Strategică și Implementarea de Proceduri pentru reducerea birocrației în Municipiul Baia Mare și Zona Metropolitană</t>
  </si>
  <si>
    <t>Municipiul Baia Mare</t>
  </si>
  <si>
    <t>ASOCIATIA DE DEZVOLTARE INTERCOMUNITARA ZONA METROPOLITANA BAIA MARE</t>
  </si>
  <si>
    <t xml:space="preserve">Obiectivul general al proiectului: Imbunatatirea proceselor de luare a deciziei si planificare strategica la nivelul Municipiului Baia Mare si al Asociatiei de Dezvoltare Intercomunitara Zona Metropolitana Baia Mare, prin introducerea unor metode si sisteme coerente de fundamentare a deciziilor, corelare cu resursele disponibile si pregatirea personalului aparatului tehnic de specialitate, pentru utilizarea acestor instrumente.
Obiectivele specifice ale proiectului
1. Îmbunatațirea procesului de planificare strategica – elaborare Plan Strategic Instituțional, prioritizare a investițiilor (educație,
sanatate, infrastructura si transport), actualizarea strategiilor (SIDU, PMUD, PAED), cresterea implicarii comunitații locale si
atragerea de investiții
2. Furnizarea instrumentelor software de interacțiune cu cetațeanul si implicare a comunitații locale în actul administrative în
domeniile eGuvernare si transport public local
</t>
  </si>
  <si>
    <t>Eficientizarea activităților de autorizare și control a operatorilor economici prin implementarea unui sistem informatic integrat dedicat</t>
  </si>
  <si>
    <t xml:space="preserve">Obiectivul general al proiectului il reprezinta consolidarea capacitatii institutionale a Ministerului Turismului, de dezvoltare si sustinere a
unui turism modern si competitiv in Romania, prin implementarea unui sistem informatic care sa permita optimizerea proceselor
decizionale orientate catre cetateni si mediul de afaceri in concordanta cu SCAP
OS1. Imbuntatirea capacitatii de management a Ministerului Turismului, pentru indeplinirea functiilor sale, prin realizarea unei analize a procedurilor existente la nivelul institutiei cu privire la depunerea documentelor necesare obtinerii autorizarii operatorilor
economici si la activitatea de control.
OS2. Consolidarea capacitatii Ministerului Turismului de a asigura calitatea si accesul la serviciile publice prin implementarea unui sistem informatic integrat pentru gestionarea online si in timp real a tuturor categoriilor de autorizatii emise.
OS3. Cresterea nivelului de pregatire a personalului Ministerului Turismului prin instruirea unui numar de 230 de angajati pentru utilizarea sistemului informatic integrat implementat precum si a procedurilor si a proceselor interne.
</t>
  </si>
  <si>
    <t>Îmbunatatirea capacitatii autoritatii publice centrale în domeniul protectiei mediului marin în ceea ce priveste monitorizarea, evaluarea, planificarea, implementarea si raportarea cerintelor stabilite în Directiva Cadru Strategia Marina si pentru gospodarirea integrata a zonei costiere</t>
  </si>
  <si>
    <t>1. ADMINISTRATIA NATIONALA "APELE ROMANE"                                                                                     2. INSTITUTUL NAŢIONAL DE CERCETARE-DEZVOLTARE MARINĂ "GRIGORE ANTIPA"</t>
  </si>
  <si>
    <t>Îmbunătăţirea sistemului de monitorizare a tranzacţiilor intracomunitare</t>
  </si>
  <si>
    <t xml:space="preserve">Obiectivul general al proiectului îl reprezintă consolidarea capacității Agenției Naționale de Administrare Fiscală de optimizare a proceselor decizionale orientate către cetăţeni şi mediul de afaceri, prin dezvoltarea și introducerea unui sistem informatic de monitorizare a tranzacțiilor intracomunitare.
Obiective specifice:
Reducerea poverii administrative şi a birocraţiei pentru cetăţeni şi mediul de afaceri prin elaborarea unei proceduri îmbunătățite şi simplificate de monitorizare a tranzacţiilor intracomunitare de bunuri;
2. Consolidarea capacității administrative în domeniul controlului tranzacţiilor intracomunitare de bunuri şi eficientizarea analizei de risc prin implementarea sistemului informatic de monitorizare;
3. Creșterea capacității administrative de control a Agenţiei în domeniul antifraudei fiscale prin gestionarea uniformă şi controlul eficient al documentelor privind tranzacţiile intracomunitare de bunuri;
4. Eficientizarea activităţii de prevenire şi combatere a evaziunii fiscale în domeniul comerţului intracomunitar ca urmare a încărcării și gestionării electronice prin aplicaţia informatică a informațiilor primite de la operatorii economici;
5. Creșterea gradului de conștientizare a mediului de afaceri și a nivelului conformării voluntare prin derularea campaniei de informare şi promovare a procedurii simplificate şi a sistemului informatic aferent;
6. Îmbunătățirea cunoștințelor și abilităților angajaţilor de la nivelul ANAF prin instruirea acestora în vederea însușirii procedurii îmbunătățite de monitorizare a tranzacţiilor intracomunitare şi utilizării sistemului informatic dezvoltat în cadrul proiectului.
</t>
  </si>
  <si>
    <t>AA1/14.10.2019</t>
  </si>
  <si>
    <t>Cresterea coerentei cadrului normativ si a eficientei reglementarilor tehnice in domeniul constructiilor</t>
  </si>
  <si>
    <t>Crearea cadrului strategic si operational
pentru planificarea si reorganizarea la nivel
national si regional a serviciilor de sanatate</t>
  </si>
  <si>
    <t>Cadrul strategic pentru dezvoltarea infrastructurii politicilor publice derulate de MRP</t>
  </si>
  <si>
    <t>AA 1/18.10.2019</t>
  </si>
  <si>
    <t>Îmbunătățirea cadrului de fundamentare și evaluare a politicilor publice de dezvoltare teritorială</t>
  </si>
  <si>
    <t xml:space="preserve">Îmbunătățirea capacității de fundamentare a deciziilor luate la nivelul MDRAP și punerea în aplicare a politicilor publice bazate pe dovezi.
Obiectivele specifice ale proiectului:
Elaborarea unei politici publice în domeniul programelor de investiții gestionate de MDRAP. 
Realizarea unei proceduri îmbunătățite de coordonare și cooperare interinstituțională pentru corelarea investițiilor de dezvoltare.
</t>
  </si>
  <si>
    <t>AA nr. 1/18.10.2019</t>
  </si>
  <si>
    <t>Întărirea capacității autorității publice centrale în domeniul apelor în scopul implementării etapelor a 2-a și a 3-a ale Ciclului II al Directivei Inundații - RO-FLOODS</t>
  </si>
  <si>
    <t>ADMINISTRATIA NATIONALA "APELE ROMANE"</t>
  </si>
  <si>
    <t>Obiectivul general  al proiectului este dezvoltarea la nivelul MRP a unui set de instrumente de planificare strategică prin fundamentarea unei noi Strategii pentru românii de pretutindeni 2021-2024, in vederea identificării de soluții specifice, ca răspuns la problemele particulare existente în fiecare comunitate românească din afara granițelor. Realizarea acestui obiectiv va contribui la atingerea Obiectivului specific 1.1. Dezvoltarea și introducerea de sisteme și standarde comune în administrația publică ce optimizează procesele decizionale orientate către cetățeni și mediul de afaceri, în concordanță cu SCAP, din cadrul Axei prioritare 1. Administrație publică și sistem judiciar eficiente a POCA 2014-2020. 
Obiective specifice:
Optimizarea procesele decizionale orientate către cetățenii români din afara granițelor și mediul de afaceri,  se va realiza prin îndeplinirea următoarelor obiective specifice:
1. Fundamentarea strategiilor și politicilor elaborate în domeniile de competență ale MRP, cu accent pe buna guvernare;
2. Realizarea unui Plan de optimizare și prioritizare a intervențiilor finanțate de MRP;
3. Îmbunătățirea abilităților personalui MRP în vederea elaborării unui set de instrumente de planificare strategică pentru românii de pretutindeni.</t>
  </si>
  <si>
    <t>Obiectivul general al proiectului îl reprezintă fundamentarea și sprijinirea măsurilor de implementare ce vizează adaptarea structurilor, optimizarea proceselor și pregătirea resurselor umane necesare îndeplinirii obligațiilor asumate prin Legea Apelor nr. 107/1996 cu modificarile și completările ulterioare, a H.G. 846/2010 privind aprobarea Strategiei Naționale de Management al Riscului la inundații pe termen mediu și lung, precum și conformarea cu cerințele Directivei 2007/60/EC privind evaluarea și gestionarea riscului la inundații în scopul consolidării capacității autorităților și instituțiilor publice din domeniul gopodăririi apelor și al managementului riscului la inundații.
Obiective specifice:
1 Hărți de hazard și hărți de risc la inundații in vederea pregatirii de catre autoritatile responsabile a raportarii acestora catre CE, etapa a 2 a pentru ciclul II de implementare a Directivei Inundatii, necesare pentru imbunatatirea planurilor de amenajare a teritoriului la nivel național, județean și zonal, a planurilor de urbanism - P.U.G., P.U.Z., P.U.D. si planurilor bazinale, judetene si locale de apărare împotriva inundațiilor, ghețurilor și poluărilor accidentale.
2 Versiune preliminara a Planurilor de Management al Riscului la Inundatii la nivelul bazinelor hidrografice (11 PMRI+PMRI Fluviul Dunarea) actualizate in vederea pregatirii de catre autoritatile responsabile a raportarii acestora catre CE, etapa a 3- a pentru ciclul II de implementare al Directivei Inundatii, care sa includa combinatii de masuri struturale/nestructurale, masuri verzi si de punere in siguranta a infrastructurii bazate pe analize cost-beneficiu si prioritizate conform metodologiilor realizate in cadrul proiectului; identificarea activitatilor viitoare pentru ciclul III de implementare al Directivei Inundatii si dezvoltarea de idei de proiecte/versiuni preliminare de fise de proiect. 
3 Portal GIS funcțional
4 Hotărâre de Guvern pentru aprobarea Planurilor de Management al Riscului la Inundatii- ciclul II in urma parcurgerii procedurii pentru Evaluarea Strategica de Mediu.
5 Cunoștințe și abilități imbunatatite ale personalului din autoritatile publice centrale ale Ministerului Apelor si Padurilor, , Ministerul Afacerilor Interne, Ministerul Dezvoltarii Regionale si Administratiei Publice, Ministerul Agriculturii si Dezvoltarii Rurale, Ministerul Transporturilor, Ministerul Energiei, Ministerul Finantelor Publice, Ministerul Mediului si din institutiile din subordonare/coordonare Administratia Nationala Apele Romane, Institutul National de Hidrologie si Gospodarirea Apelor Agentiile de mediu, Inspectoratul General pentru Situatii de Urgenta, Agentia Nationala de Imbunatatiri Funciare, Compania Nationala de Administrare a Infrastructurii Rutiere, Directii Regionale de Drumuri si Poduri , Romsilva si alte institutii si organizatii cu responsabilitati, in domeniul managementului riscului la inundatii si a implementarii Directivei Inundatii 60/2007/CE.</t>
  </si>
  <si>
    <t>Eliminarea factorilor pentru inflația de cauze, identificarea elementelor normative și a tendințelor de aglomerare - EFICIENTA</t>
  </si>
  <si>
    <t>CONSILIUL SUPERIOR AL MAGISTRATURII</t>
  </si>
  <si>
    <t>Proiectul are ca principală contribuție la program îmbunătățirea accesului la justiție printr-un proces transparent și predictibil de reducere a cauzelor care conduc la aglomerarea instanțelor şi implicit durata lungă de soluţionare. Mecanismele create prin intermediul proiectului sunt de natură să asigure un sistem transparent de intervenție şi soluţionare a cauzelor repetitive. Buna funcționare a justiţiei presupune capacitatea de a evalua continuu gradul de eficiență a sistemului raportat la durata procedurilor, practica uniformă, corelarea factorilor de legiferare cu cei de aplicare prin decizii judiciare, eliminarea cauzelor de aplicare neunitară şi nepredictibilă a cadrului de reglementare ori a deficiențelor de elaborare a normelor care conduc la dificultăți de aplicare în sistemul judiciar. 
Obiective specifice:
1 Elaborarea mecanismelor (metodologii şi instrumente) de avertizare timpurie a situațiilor de cauze repetitive;
2 Crearea unei platforme de dialog interinstituțional pentru îmbunătățirea reglementărilor ca urmare a datelor reieșite din gestionarea cauzelor în sistemul judiciar;
3 Realizarea studiilor pentru identificarea modificărilor legislative şi elaborarea proiectelor concrete, privind procedurile judiciare în cauzele civile, comerciale, de familie si contencios administrativ necesare gestionării cauzelor repetitive care aglomerează şi îngreunează soluționarea cu eficiență a cauzelor pe rolul instanțelor;
4 Elaborarea instrumentelor de politică publică (proceduri, instrumente şi campanie de conștientizare) pentru stimularea soluționării alternative a disputelor.</t>
  </si>
  <si>
    <t>ASOCIAȚIA CREST</t>
  </si>
  <si>
    <t>AA 1/ 12.04.2019, AA2/28.10.2019</t>
  </si>
  <si>
    <t>AA1/28.10.2019</t>
  </si>
  <si>
    <t>Judetul Olt</t>
  </si>
  <si>
    <t>Administratie eficienta, servicii de calitate la nivel judetean</t>
  </si>
  <si>
    <t xml:space="preserve">OS 1: Introducerea unor mecanisme si proceduri standard implementate la nivel local pentru fundamentarea deciziilor si planificarea strategica pe termen lung.
OS 2: Realizarea unor seturi de Proceduri simplificate pentru reducerea birocratiei pentru cetateni la nivel local, corelate cu Planul integrat de simplificare a procedurilor administrative pentru cetateni implementate.
OS 3: Cresterea nivelului de cunostinte si abilitati ale personalului Consiliului Judetean Olt, in vederea sprijinirii masurilor/actiunilor vizate de acest obiectiv specific.
</t>
  </si>
  <si>
    <t>Dezvoltarea capacității instituționale a Ministerului Sanătății și Direcțiilor de sănătate publică județene, respectiv a municipiului București pentru simplificarea procedurilor de reglementare sanitară</t>
  </si>
  <si>
    <t xml:space="preserve">OS1. Implementarea unor măsuri de simplificare pentru cetățeni și de reducere a poverii administrative pentru mediul de afaceri (digitalizarea serviciilor de avizare și autorizare, arhivarea electronică, retrodigitalizarea arhivei), pentru furnizarea digitală a serviciilor menționate și a fluxurilor de lucru de bază din cadrul instituției, în scopul eficientizării proceselor, reducând astfel durata procedurilor aferente serviciilor de avizare și autorizare furnizate exclusiv de către MS/DSP.                                                                                                                                                     OS2. Îmbunătățirea abilitaților și cunoștințelor personalului MS/DSP în utilizarea instrumentelor aferente măsurilor implementate prin proiect. Se urmareste formarea/instruirea și certificarea a 200 de persoane din cadrul grupului țintă (familiarizarea cu soluțiile implementate, însușirea cunoștințelor necesare utilizării aplicațiilor informatice, deprinderea funcționalităților și a modului de folosire, înțelegerea implicațiilor și avantajelor pentru realizarea obiectivelor specifice aferente proiectului).
</t>
  </si>
  <si>
    <t>Consolidarea capacitatii institutionale a autoritatilor administratiei publice centrale cu atributii în domeniu, în vederea cresterii calitatii serviciului public de politie locala</t>
  </si>
  <si>
    <t>AA2/01.11.2019</t>
  </si>
  <si>
    <t>FIECARE OM CONTEAZĂ! Evaluarea nevoilor persoanelor fără adăpost și a impactului serviciilor sociale existente asupra calitătii vietii acestora</t>
  </si>
  <si>
    <t>Dezvoltarea capacitatii administrative a MMJS de a-si fundamenta politicile publice care vizeaza persoanele fara adapost bazate pe dovezi ce optimizeaza procesele decizionale orientate catre cetateni si mediul de afaceri, în concordanta cu SCAP.
Scopul proiectului este de a dezvolta si introduce sisteme si standarde comune în administratia publica (o politica publica, o metodologie,
analiza localizarii în strada, cartografierea situatiei, un raport de analiza cantitativa si calitativa), realizarea unei diagnoze a nevoilor sociale
a persoanelor fara adapost, cresterea calitatii serviciilor oferite cetatenilor, respectarea transparentei si eficientei în elaborarea actului
administrativ si cresterea performantei profesionale a functionarilor publici.
1. O.S.1. Cresterea eficientei si eficacitatii politicilor publice care vizeaza persoanele fara adapost prin dezvoltarea unei metodologii de identificare a persoanelor fara adapost, reprezentarea geo-spatiala acestora, diagnoza nevoilor acestora si elaborarea unei politici publice în acest sens
2. O.S.2. Imbunatatirea nivelului de cunoastere a fenomenului persoanelor fara adapost, print realizarea unui raport de analiza cantitativa si calitativa a datelor culese din teren, insotit de recomandari privind serviciile oferite persoanelor acestui grup vulnerabil.
3. O.S. 3. Cresterea performantelor profesionale ale functionarilor publici prin participarea la cursurile de instruire în domeniul politicilor publice si interventiilor care vizeaza persoanele fara adapost precum si a utilizarii instrumentelor create.
4. O.S.4. Elaborarea si fundamentarea propunerii de politica publica privind persoanele fara adapost consultand reprezentanti ai AAPL, ONG-uri si alti factori interesati.</t>
  </si>
  <si>
    <t xml:space="preserve"> Proiect cu acoperire natională</t>
  </si>
  <si>
    <t>119 - Investitii în capacitatea institutională și în eficienta administratiilor și a serviciilor publice la nivel national, regional și local, în perspectiva realizării de reforme, a unei mai bune legiferări și a bunei guvernante</t>
  </si>
  <si>
    <t>AA2/07.10.2019</t>
  </si>
  <si>
    <t>AGENTIA NATIONALĂ PENTRU ARII NATURALE PROTEJATE</t>
  </si>
  <si>
    <t>AA1/08.11.2019</t>
  </si>
  <si>
    <t>AUTORITATEA NATIONALA PENTRU PERSOANELE CU DIZABILITĂȚI, COPIL ȘI ADOPȚII</t>
  </si>
  <si>
    <t>Ministerul Educației și Cercetării</t>
  </si>
  <si>
    <t>Ministerul Muncii și Protecției Sociale</t>
  </si>
  <si>
    <t>MINISTERUL ECONOMIEI, ENERGIEI ȘI MEDIULUI DE AFACERI</t>
  </si>
  <si>
    <t>MINISTERUL TRANSPORTURILOR, INFRASTRUCTURII ȘI COMUNICAȚIILOR</t>
  </si>
  <si>
    <t>MINISTERUL MUNCII ȘI PROTECȚIEI SOCIALE</t>
  </si>
  <si>
    <t>DEPARTAMENTUL PENTRU ROMÂNII DE PRETUTINDENI</t>
  </si>
  <si>
    <t>Obiectivul general al proiectului consta în dezvoltarea capacitații organizațiilor neguvernamentale si partenerilor sociali cu misiune în domeniul educației (inclusiv asociațiile de parinți si sindicatele din învațamânt) de a formula si promova propuneri alternative la politicile publice inițiate de Guvern, implicarea acestor organizați în consultarile aferente elaborarii noii legi a educației naționale si promovarea unor mecanisme de monitorizare si implicare care sa consolideze consultarea, transparența si standardizarea în administrația publica din domeniul educației.
OS1: Cresterea capacitații a 15 ONG-uri de a formula si promova politici publice alternative si de a înființa si participa la o rețea pe teme urgente si relevante de politici publice pentru domeniul educației, si anume utilizarea ITC în educație si utilizarea curriculumului la decizia scolii (CDS);
OS2: Dezvoltarea si promovarea a unui mecanism de monitorizare si a 2 politici publice alternative în domeniul educației.</t>
  </si>
  <si>
    <r>
      <t xml:space="preserve">
Obiective proiect
Creşterea transparenţei, eticii şi integrităţii la nivelul Municipiului Giurgiu, prin intermediul unor activitati care vizeaza identificarea riscurilor si vulnerabilitatilor la coruptie, realizarea de mecanisme si proceduri anticoruptie si aplicarea unitara a acestora, realizarea unor mecanisme de cooperare cu societatea civilă, precum si imbunătăţirea cunoştinţelor şi a competenţelor personalului propriu
Obiectivele specifice ale proiectului
1. Obs.1) Cresterea gradului de dezvoltare a capacitatii analitice a UAT-ului, de a efectua activităţi de evaluare a riscurilor si vulnerabilitatilor in vederea realizarii de actiuni concrete si eficiente de prevenire si combatere a coruptiei.
Pentru realizarea Obs.1) s-a avut în vedere activitatea A3 Dezvoltarea capacitatii analitice a UAT de a efectua activităţi de evaluare a riscurilor si vulnerabilitatilor in vederea realizarii de actiuni concrete si eficiente de combatere a coruptiei. Rezultatul 1 contribuie la atingerea acestuia.
2. Obs.2) Cresterea gradului de dezvoltare si implementare a unor proceduri de identificare a riscurilor si vulnerabilitatilor la coruptie, precum si a unor masuri concrete si modalitati de monitorizare permanenta a aplicarii acesteia, la nivel de UAT.
Pentru realizarea Obs.2) s-a avut în vedere activitatea A4. Dezvoltarea si operationalizarea la nivel de UAT a unor proceduri interne de sistem privind managementul riscurilor si vulnerabilitatilor la coruptie, precum si a unor masuri concrete si modalitati de monitorizare permanenta a aplicarii acesteia. Rezultatul 2 contribuie la atingerea acestuia.
3. Obs.3) Sustinerea dezvoltarii si implementarii unui mecanism de cooperare cu societatea civila si alte autoritati/institutii publice, prin infiintarea unui grup de actiune privind prevenirea si combaterea coruptiei (GAPCC) si prin dezvoltarea unor proceduri organizatorice si a mecanismului de cooperare si functionare a GAPCC.
 Pentru realizarea Obs.3) s-a avut în vedere activitatea A5 Elaborarea şi implementarea unui mecanism de cooperare cu societatea civilă, precum şi cu alte autorităţi/institutii publice, privind monitorizarea şi evaluarea implementării măsurilor anticorupţie. Rezultatul 3 contribuie la atingerea acestuia.
4. Obs.4) Sustinerea dezvoltarii si diseminarii unui instrument pentru facilitarea intelegerii mecanismelor de aplicare a cadrului legal in domeniul eticii si integritatii, prin modele de buna practica.
 Pentru realizarea Obs.4) s-a avut în vedere activitatea A.6. Dezvoltarea si diseminarea unui instrument care sa vina in sprijinul unei mai bune intelegeri a mecanismelor de aplicare a cadrului legal în domeniul eticii şi integritatii, prin intermediul modelelor de buna practica. Rezultatul 4 contribuie la atingerea acestuia.
5. Obs.5) Cresterea gradului de informare a cetatenilor, prin organizarea si implementarea unei campanii inovative de educatie anticoruptie in randul acestora.
 Pentru realizarea Obs.5) s-a avut în vedere activitatea A7 Organizarea si implementarea unei campanii de educatie anticoruptie in randul cetatenilor. Rezultatul 5 contribuie la atingerea acestuia.
6. Obs.6) Cultivarea si dezvoltarea cunostintelor, competentelor si abilitatilor angajatilor din administratia publica locala, prin participarea la programe de educatie in domeniul prevenirii si combaterii coruptiei, precum si de dobandire de competente privind </t>
    </r>
    <r>
      <rPr>
        <b/>
        <sz val="12"/>
        <rFont val="Calibri"/>
        <family val="2"/>
        <scheme val="minor"/>
      </rPr>
      <t xml:space="preserve">etica si integritatea, inclusiv prin abordarea temelor de devoltare durabila, egalitate de </t>
    </r>
    <r>
      <rPr>
        <sz val="12"/>
        <rFont val="Calibri"/>
        <family val="2"/>
        <scheme val="minor"/>
      </rPr>
      <t>şanse, nediscriminare şi egalitate de gen.
 Pentru realizarea Obs.6) s-a avut în vedere activitatea A.8. Dezvoltarea si implementarea unor programe de educatie in domeniul prevenirii si combaterii coruptiei, precum si de dobandire de competente privind etica si integritatea pentru angajatii (demnitari, consilieri, personal de conducere si executie) din administratia publica locala. Rezultatul 6 contribuie la atingerea acestuia.</t>
    </r>
    <r>
      <rPr>
        <b/>
        <sz val="12"/>
        <rFont val="Calibri"/>
        <family val="2"/>
        <scheme val="minor"/>
      </rPr>
      <t xml:space="preserve">
</t>
    </r>
  </si>
  <si>
    <r>
      <rPr>
        <b/>
        <sz val="12"/>
        <rFont val="Calibri"/>
        <family val="2"/>
        <scheme val="minor"/>
      </rPr>
      <t>Obiectivul general</t>
    </r>
    <r>
      <rPr>
        <sz val="12"/>
        <rFont val="Calibri"/>
        <family val="2"/>
        <scheme val="minor"/>
      </rPr>
      <t xml:space="preserve"> al proiectului vizeaza cresterea capacitatii administratiei publice, a asociatiilor de pacienti si partenerilor sociali in dezvoltarea unui sistem performant de evaluare, benchmarking, optimizare si formulare de politici publice alternative in domeniul sanatatii, avand la baza analize stiintifice privind tehnologiile medicale, prin definirea si aplicarea unor indicatori cheie, adaptati contextului national,
de masurare a cost-eficacitatii interventiilor si investitiilor.
</t>
    </r>
    <r>
      <rPr>
        <b/>
        <sz val="12"/>
        <rFont val="Calibri"/>
        <family val="2"/>
        <scheme val="minor"/>
      </rPr>
      <t>Obiectivele specifice ale proiectului</t>
    </r>
    <r>
      <rPr>
        <sz val="12"/>
        <rFont val="Calibri"/>
        <family val="2"/>
        <scheme val="minor"/>
      </rPr>
      <t xml:space="preserve">
1. Obiectivul specific nr. 1 urmareste dezvoltarea capacitatii a 40 de reprezentanti, provenind din minim 30 de asociatii si federatii de pacienti, de a formula politici publice alternative in domeniul sanatatii, atat la nivel central cat si la nivel local, utilizand instrumente de masura adecvate si recunoscute international privind evaluarea rezultatelor/impactului tehnologiilor medicale, prin organizarea a 2 sesiuni de formare.
2. Obiectivul specific nr. 2 vizeaza imbunatatirea fundamentarii de baze stiintifice a proceselor decizionale orientate catre cetateni, prin aplicarea unei cercetari calitative si cantitative la nivel national de validare a valorilor normative ale instrumentului de evaluare
a calitatii vietii EQ-5D si evaluare a starii de sanatate a populatiei Romaniei.
3. Obiectivul specific nr. 3 îsi propune încurajarea dialogului social si civic intre autoritatile publice, centrale si locale, din domeniul
sanatatii, asociatiile de pacienti si partenerii sociali de profil prin organizarea a doua mese rotunde, in cadrul caror vor fi dezbatute propunerile de politici publice alternative in domeniul evaluarii tehnologiilor medicale.
4. Obiectivul specific nr. 4 tineste aducerea unei contributii semnificative la imbunatatirea rationalizarii cadrului de politica publica privind alocarea resurselor materiale si financiare in domeniul sanatatii, prin formularea si promovarea a 4 politici publice
alternative in domeniul evaluarii tehnologiilor de sanatate.</t>
    </r>
  </si>
  <si>
    <t>SIMCA - Standarde și Instrumente în Implementarea Managementului Calității Administrative la nivelul Primăriei Municipiului Craiova</t>
  </si>
  <si>
    <r>
      <t>As</t>
    </r>
    <r>
      <rPr>
        <sz val="12"/>
        <color theme="1"/>
        <rFont val="Calibri"/>
        <family val="2"/>
        <scheme val="minor"/>
      </rPr>
      <t>ociația "Institutul pentru Politici Publice"</t>
    </r>
  </si>
  <si>
    <r>
      <t>“Calitate, eficiență și performanță a managementului la nivelul UAT Municipiul Zalău (CEP UAT Zalău)</t>
    </r>
    <r>
      <rPr>
        <i/>
        <sz val="12"/>
        <color theme="1"/>
        <rFont val="Calibri"/>
        <family val="2"/>
        <scheme val="minor"/>
      </rPr>
      <t>”</t>
    </r>
  </si>
  <si>
    <t>1. Ministerul Muncii și Protecției Sociale
2. Agenția Națională a Funcționarilor Publici</t>
  </si>
  <si>
    <t>MINISTERUL LUCRĂRILOR PUBLICE, DEZVOLTĂRII ȘI ADMINISTRAȚIEI (Institutul Național de Administrație)</t>
  </si>
  <si>
    <t>1. Patronatul Serviciilor Publice
2. MINISTERUL ECONOMIEI, ENERGIEI ȘI MEDIULUI DE AFACERI</t>
  </si>
  <si>
    <t>1. MINISTERUL ECONOMIEI, ENERGIEI ȘI MEDIULUI DE AFACERI (INSTITUTUL NAŢIONAL DE     ADMINISTRAŢIE)                      2. AGENTIA NATIONALA A FUNCTIONARILOR PUBLICI</t>
  </si>
  <si>
    <t>AA1/13.11.2019</t>
  </si>
  <si>
    <t>IP16/2019</t>
  </si>
  <si>
    <t>Oficiul Național pentru Achiziții Centralizate</t>
  </si>
  <si>
    <t>Dezvoltarea și implementarea unor mecanisme electronice integrate pentru desfășurarea și
monitorizarea achizițiilor centralizate</t>
  </si>
  <si>
    <t>1. MINISTERUL AFACERILOR INTERNE/MAI/DSU
2. CONSILIUL NATIONAL DE SOLUTIONARE A CONTESTATIILOR/Serviciul economic</t>
  </si>
  <si>
    <t xml:space="preserve">Întărirea capacității O.N.A.C. și a partenerilor prin utilizarea de instrumente inovatoare necesare operaționalizării și eficientizării procesului de achiziții centralizate și reducerii neregulilor, precum și prin clarificarea rolurilor și competențelor structurilor implicate în pregătirea și gestionarea achizițiilor publice, în contextul complexității procesului generat de elementele de noutate privind colectarea simultană/agregarea nevoilor, standardizarea specificațiilor tehnice a produselor/serviciilor achiziționate de O.N.A.C.
Obiectivele specifice:
1. Îmbunătățirea cooperării intra și interinstituțională dintre principalele instituții publice implicate în gestionarea sistemului de achiziții centralizate şi utilizatori 
2. Creșterea calității procesului de achiziții publice centralizate prin eficientizarea practicilor interne de lucru ale ONAC și operaționalizarea procedurilor de atribuire centralizată
3. Reducerea barierelor administrative în domeniul achizițiilor centralizate din sectorul serviciilor medicale de urgență prin extinderea mandatului ONAC și stabilirea rolurilor înte principalii actori implicați 
4. Accesibilizarea practicii judiciare a CNSC prin realizarea unei analize pentru identificarea principalelor probleme, reclamate prin contestații, în atribuirea produselor/ serviciilor care pot face obiectul achizițiilor centralizate în vederea reducerii neregulilor
5.  Dezvoltarea unor mecanisme electronice integrate pentru planificare și monitorizarea procedurilor de atribuire centralizate în vederea creșterii transparenței și randamentului sistemului pentru o utilizare mai eficientă a fondurilor publice.
6. Îmbunătățirea competențelor și cunoștințelor personalului ONAC și al partenerilor
</t>
  </si>
  <si>
    <t>Consolidarea capacității Arhivelor Naționale
de furnizare a serviciilor publice (eVITALA)</t>
  </si>
  <si>
    <t>Arhivele Naționale</t>
  </si>
  <si>
    <t>Obiectivul general al proiectului este consolidarea capacității Arhivelor Naționale de furnizare a serviciilor publice, prin simplificare și modernizare normativă și de infrastructura.
Obiectivele specifice ale proiectului
1. Sistematizarea și simplificarea fondului activ al legislației prin elaborarea unor norme metodologice în aplicarea Legii Arhivelor, pentru transformarea digitală a evidenței arhivistice.
2. Simplificare procedurala și reducere a birocrației prin elaborarea unui regulament de acces la cercetare si a 2 proceduri subsecvente.
3. Reducerea poverii administrative pentru cetățeni și organizații prin accesibilizarea online a instrumentelor de evidență arhivistică, stabilirea de criterii pentru digitalizarea de acces si înlocuire, precum și pentru planificarea condițiilor de păstrare și conservare
arhivă în vederea accesului îmbunatățit la documente.
4. Dezvoltarea cunostințelor și abilităților personalului din Arhivele Naționale, prin organizarea de instruiri privind normativele întocmite și folosirea optimă a instrumentelor informatice pentru exploatarea conținutului informațional furnizat în proiect.
5. Sprijinirea dezvoltării la nivel local prin elaborarea și adoptarea unui Plan de acțiune pentru cresterea calității serviciilor de conservare, depozitare și acces la sediile ANR in scopul cresterii calității serviciilor publice oferite de structurile teritoriale (județene și din municipiul Bucrești) ale Arhivelor Naționale.</t>
  </si>
  <si>
    <t>AA2/18.12.2019</t>
  </si>
  <si>
    <t>AA2/18.11.2019</t>
  </si>
  <si>
    <t>AA 2/11.11.2019 prelungire</t>
  </si>
  <si>
    <t>AA1/19.11.2019</t>
  </si>
  <si>
    <t>Dezvoltarea, stimularea și eficientizarea muncii prin agent de muncă temporară și a serviciilor de formare profesională pentru o piață a muncii competitivă și performantă</t>
  </si>
  <si>
    <t>AA4/22.11.2019</t>
  </si>
  <si>
    <t>AA3/25.11.2019</t>
  </si>
  <si>
    <t>AA1/26.11.2019</t>
  </si>
  <si>
    <t>Act adițional nr. 2/27.11.2019 modif fse, bn si cp</t>
  </si>
  <si>
    <t>Îmbunătățirea procesului de reglementare în domeniul transplantului</t>
  </si>
  <si>
    <t>AA1/20.09.2018
AA2/19.09.2019
AA3/02.12.2019</t>
  </si>
  <si>
    <t>Agentia Nationala Anti-Doping</t>
  </si>
  <si>
    <t>OS1. Imbunatatirea cadrului metodologic privind combaterea dopajului în sport, cu accent pe măsuri de conștientizare și prevenire a dopajului în sport prin realizarea, testarea si adoptarea a 4 metodologii de lucru și a unui studiu.                                                                                                        OS2. Actualizarea si imbunatatirea cadrului legislativ pentru implementarea reglementărilor internaționale privind combaterea dopajului în sport, inclusiv a sistemului de monitorizare a dopajului și prevenirea și combaterea traficului ilicit de substanțe dopante cu grad mare de risc, definit și dezvoltat prin realizarea a 5 initiative legislative in consultare activa publica                                                                                                                        OS3. Îmbunătățirea procesului de management și digitalizarea fluxurilor de lucru din cadrul ANAD prin dezvoltarea și implementarea unei platforme informatice pentru servicii electronice care va asigura accesul online la serviciile publice de avizare/autorizare gestionate de ANAD și va furniza digital fluxurile de lucru asociate proceselor de avizare/autorizare din cadrul instituției                                                                                      OS4. Imbunatatirea comopetentelor personalului ANAD prin realizarea unei metodologii de formare a personalului si derularea a 4 programe de formare pentru 49 de angajati ai ANAD</t>
  </si>
  <si>
    <t>Ajustarea legislației relevante privind combaterea dopajului în sport</t>
  </si>
  <si>
    <t>AA2/22.10.2019         AA3/09.12.2019</t>
  </si>
  <si>
    <t>Modernizarea sistemului de evaluare a dizabilităţii din România</t>
  </si>
  <si>
    <t xml:space="preserve">Obiectivul general al proiectului/Scopul proiectului:
Realizarea si implementarea, printr-o abordare in acord cu prevederile Conventiei ONU pentru drepturile persoanelor cu dizabilitati, a unui set de criterii medico-psiho-sociale în vederea încadrării în grad de handicap a persoanelor cu dizabilitati, mecanism ce devine etapa de bază pentru intervenţii individualizate și dezvoltarea serviciilor necesare, precum și pentru utilizarea eficientă a resurselor financiare din cadrul sistemului de protecție.                                                                                                                                                                                                                                                                              OS1. Sistematizarea legislatiei si operationalizarea unui cadru institutional functional în sistemul de evaluare a dizabilității în România, bazat pe o abordare in acord cu obligatiile Romaniei ca stat parte la Conventia ONU pentru protectia drepturilor persoanelor cu dizabilitati                                                                                                                                                                                                                                                                                                                                           OS 2. Cresterea nivelului de expertiza si competenta atat pentru specialistii in cadrul administratiei publice centrale, cat si pentru specialistii din cadrul serviciilor locale de evaluare pentru incadrare in handicap a persoanelor cu dizabilitati. </t>
  </si>
  <si>
    <t>AA1/07.03.2019     AA2/09.12.2019</t>
  </si>
  <si>
    <t>AA2/13.12.2019</t>
  </si>
  <si>
    <t>AA2/13.12.2019 prelungire 5 luni + 1 lună</t>
  </si>
  <si>
    <t>AA1/10.12.2019</t>
  </si>
  <si>
    <t>AA1/21.12.2018
AA2/17.12.2019</t>
  </si>
  <si>
    <t>Sistem de monitorizare a fluxurilor de deșeuri menajere și similare în scopul îmbunătățirii mecanismelor de gestionare a instrumentului economic ”Plătește Pentru Cât Arunci</t>
  </si>
  <si>
    <t>Ministerul Mediului, Apelor și Pădurilor</t>
  </si>
  <si>
    <t>ACADEMIA DE STUDII ECONOMICE DIN BUCURESTI</t>
  </si>
  <si>
    <t>Consolidarea capacitatii institutionale a Ministerului Mediului si a unitatilor din subordine pentru
imbunatatirea politicilor din domeniul biodiversitatii</t>
  </si>
  <si>
    <t xml:space="preserve">1. UNIVERSITATEA DIN        BUCURESTI                                2.INSTITUTUL DE BIOLOGIE                                    3.  AGENTIA NATIONALA PENTRU PROTECTIA MEDIULUI         </t>
  </si>
  <si>
    <t>Consolidarea capacitaþii instituþionale pentru îmbunataþirea politicilor din domeniul schimbarilor
climatice si adaptarea la efectele schimbarilor climatice</t>
  </si>
  <si>
    <t>1. AGENTIA NATIONALA PENTRU PROTECTIA MEDIULUI                                  2. GARDA NATIONALA DE MEDIU                                       3. UNIVERSITATEA DIN BUCURESTI                                 4. AGENŢIA NAŢIONALĂ PENTRU ARII NATURALE PROTEJATE</t>
  </si>
  <si>
    <t>AA2/26.08.2019;
AA3/18.12.2019</t>
  </si>
  <si>
    <t>AA2/13.09.2019
AA3/13.12.2019</t>
  </si>
  <si>
    <t>AA1/19.12.2019</t>
  </si>
  <si>
    <t>Îmbunătățirea Calității și Performanței Serviciilor Spitalicești prin Evaluarea Costurilor și Standardizare (CaPeSSCoSt)</t>
  </si>
  <si>
    <t>1. ȘCOALA NAȚIONALĂ DE SĂNĂTATE PUBLICĂ, MANAGEMENT ȘI PERFECȚIONARE ÎN DOMENIUL SANITAR BUCUREȘTI                                2.AUTORITATEA NAŢIONALĂ DE MANAGEMENT AL CALITĂŢII ÎN SĂNĂTATE       CASA NATIONALA DE ASIGURARI DE SANATATE</t>
  </si>
  <si>
    <t>INSTITUTUL NATIONAL DE STATISTICA</t>
  </si>
  <si>
    <t>Management performant la nivelul DGRIP, DGCTI, DSG și instituțiile prefectului</t>
  </si>
  <si>
    <t xml:space="preserve">Ministerul Afacerilor Interne </t>
  </si>
  <si>
    <t>Obiectivul general al proiectului este crearea si dezvoltarea unui cadru unitar pentru managementul calitații si performanței la nivelul DGRIP, DGCTI, DSG si la nivelul celor 42 Instituții ale Prefectului.
Obiectivele specifice ale proiectului:
1. Eficientizarea activitații organizaționale prin implementarea Instrumentului de auto-evaluare a modului de funcționare a instituțiilor administrației publice (CAF) in DGRIP, DGCTI si cele 42 Instituții ale Prefectului.
2. Cresterea performanței organizaționale prin implementarea sistemului integrat de management al performanței organizaționale compus din sistemul de management Balanced Scorecard (BSC) implementat la nivelul DGRIP, DGCTI si 42 Instituții ale Prefectului si din Document Management System (DMS) mplementat la nivel central (DGRIP, DGCTI, DSG) si Instituții ale
Prefectului invederea autoamatizarii fluxurilor de colaborare pe orizontala intre prefecturi si pe veriticala intre DGRIP si prefecturi.
3. Cresterea capacitații personalului de a implementa sisteme si instrumente unitare de management al calitații si performanței prin pregatirea specifica a personalului din cadrul MAI (DGRIP, DGCTI, DSG) si al celor 42 Instituții ale Prefectului.</t>
  </si>
  <si>
    <t>În implementare</t>
  </si>
  <si>
    <t>Cresterea capacitatii administrative a ANC si MMJS prin sistematizare si simplificare legislativa in domeniul calificarilor</t>
  </si>
  <si>
    <t>AUTORITATEA NATIONALA PENTRU CALIFICARI A.N.C.</t>
  </si>
  <si>
    <t>MINISTERUL MUNCII SI JUSTITIEI SOCIALE/secretar general</t>
  </si>
  <si>
    <t>Obiectivul general al proiectului este de a dezvolta și implementa standarde pentru creșterea calității educației și formării profesionale în Romania prin eficientizarea fondului de reglementare pentru definirea calificărilor și prin armonizarea legislației care vizează sistemul național de calificări.
Obiectivele specifice ale proiectului:
1. OS1 – revizuirea reglementarilor privind sistemul national al calificarilor prin completarea fondului legislativ existent cu un numar de 5 propuneri de acte normative..
2.OS2 – dezvoltarea unui instrument standardizat de evaluare pentru calificari in vederea cresterii calitatii procesului de evaluare a competentelor profesionale.
3. OS3 – operationalizarea registrului national al calificarilor prin corelarea calificarilor cu COR si CNC prin elaborarea/revizuirea unui numar de 250 standarde ocupationale.
4. OS4 – dezvoltarea competentelor personalului ANC si MMJS, de la nivel central și din structuri subordonate, pentru transpunerea unitară a legislației din domeniul calificărilor si pentru comunicare transparentă și eficientă cu stakeholderii.</t>
  </si>
  <si>
    <t>Creșterea gradului de transparență în administrația publică locală și facilitarea accesului cetățeanului la serviciile publice în format electronic la nivelul Municipiului Brad</t>
  </si>
  <si>
    <t>Brad</t>
  </si>
  <si>
    <t>Obiectivul general al proiectului constă în consolidarea capacității instituționale și eficientizarea activității la nivelul Municipiului Brad, prin simplificarea procedurilor administrative și reducerea birocrației pentru cetățeni, implementând măsuri din perspectivă back-office (adaptarea procedurilor interne de lucru, digitalizarea arhivelor), și front-office pentru serviciile publice furnizate.
Obiectivele specifice ale proiectului
1. OS1. Implementarea unor măsuri de simplificare pentru cetățeni, în legătură cu Planul integrat pentru simplificarea procedurilor administrative aplicabile cetățenilor, atât din perspectivă back-office (adaptarea procedurilor interne de lucru, digitalizarea arhivelor), cât și front-office. În acest sens sunt avute în vedere achiziția și implementarea unei platforme integrate pentru arhivarea electronică, respectiv a unei platforme integrate (portal web, aplicație pentru dispozitive mobilă) pentru servicii electronice complete (inclusiv semnătură electronică), a unui terminal interactiv de tip self-service pentru servicii electronice. Platforma integrată pentru servicii electronice este bazată pe implementarea următoarelor principii: One Stop Shop pentru livrarea de servicii publice electronice; utilizarea inteligentă a informațiilor disponibile prin aplicarea principiului înregistrării "o singură dată" a datelor – conceptul  de identitate electronică a cetățeanului; spațiul privat virtual al cetățeanului în relația cu primăria.
2. OS2. Dezvoltarea cunoștințelor și abilităților personalului din cadrul Municipiului Brad, în vederea sprijinirii măsurilor vizate de proiect. Este avută în vedere formarea/instruirea, evaluarea/testarea și certificarea competențelor/cunoștințelor dobândite pentru 55 persoane din cadrul grupului țintă, în ceea ce privește utilizarea soluțiilor informatice implementate în cadrul proiectului . Obiectivul general al serviciilor de instruire îl constituie familiarizarea cu componentele soluţiei informatice implementate, prin însuşirea cunoştinţelor necesare utilizării aplicaţiilor, deprinderea funcţionalităţilor și a modului de folosire a acestora, înțelegerea implicațiilor și avantajelor raportate la realizarea obiectivelor specifice aferente proiectului.</t>
  </si>
  <si>
    <t>EDU Digital - Propunere alternativa de politica publica pentru simplificarea cadrului legislativ în educaþie</t>
  </si>
  <si>
    <t>AA1/20.08.2019            AA2/19.12.2019</t>
  </si>
  <si>
    <t>Sistem INTEGRAT de Management în Sistemul de Asigurari Sociale de Sanatate</t>
  </si>
  <si>
    <t>CASA NAȚIONALĂ DE ASIGURARI DE SĂNĂTATE</t>
  </si>
  <si>
    <t>AA/03.02.2020</t>
  </si>
  <si>
    <t>Omdrapfe nr. 222/23.01.18; Omlpda nr. 991/03.02.2020</t>
  </si>
  <si>
    <t>Întărirea capacității autorității publice centrale în domeniul managementului apelor în scopul implementării Strategiei Naționale de Management al Riscului la Inundații (SNMRI) pe termen mediu și lung</t>
  </si>
  <si>
    <t>finalizat</t>
  </si>
  <si>
    <t>Cresterea capacitatii institutionale pentru dezvoltarea nationala coordonata a ingrijirilor paleative si ingrijirilor la domiciliu (PAL PLAN)</t>
  </si>
  <si>
    <t>1. CASA NATIONALA DE ASIGURARI DE SANATATE    2. AUTORITATEA NAŢIONALĂ DE MANAGEMENT AL CALITĂŢII ÎN SĂNĂTATE  3.MINISTERUL MUNCII ȘI PROTECȚIEI SOCIALE          4. FUNDATIA HOSPICE CASA SPERANTEI</t>
  </si>
  <si>
    <t>Obiectiv general: Proiectul vizeaza crearea si introducere a unui mecanism unitar si fluent de planificare, dezvoltare, evaluare si monitorizare a unui sistem national de ingrijiri paliative (IP) si de ingrijiri generale la domiciliu (ID), in sensul ingrijirilor medicale si serviciilor de îngrijire personală (activităţi de bază ale vieţii zilnice si activităţi instrumentale ale vieţii zilnice), pentru asigurarea asistentei persoanelor suferind de boli cronice progresive sau incurabile, si a celor cu grad ridicat de dependenta.                                                                                            OS 1: Dezvoltarea capacității autorităților publice centrale de a elabora politici publice bazate pe dovezi in vederea cresterii accesului la servicii de calitate. 
OS 2:Dezvoltarea coordonata la nivel national si integrarea IP si ID in sistemul de sanatate                                                                                                                         OS 3: Armonizarea si simplificarea reglementarilor legislative privind ingrijirile paliative si ingrijirile la domiciliu pentru cresterea accesului la servicii de calitate</t>
  </si>
  <si>
    <t>în implementare</t>
  </si>
  <si>
    <t>AA3/02.03.2020</t>
  </si>
  <si>
    <t>CP 13 more/2019</t>
  </si>
  <si>
    <t>Instrumente pentru reducerea birocrației în serviciile de asistență socială la nivelul Sectorului 1 al Municipiului București</t>
  </si>
  <si>
    <t>DIRECTIA GENERALA DE ASISTENTA SOCIALA SI PROTECTIA COPILULUI SECTOR 1</t>
  </si>
  <si>
    <t>Cresterea calitatii serviciilor publice si simplificare adminisrativa</t>
  </si>
  <si>
    <t>DIRECTIA GENERALA DE ASISTENTA SOCIALA SI PROTECTIA COPILULUI SECTOR 3</t>
  </si>
  <si>
    <t>AA1/21.11.2019; AA2/20.03.2020</t>
  </si>
  <si>
    <t>AA1/19.03.2020</t>
  </si>
  <si>
    <t>Valoarea neeligibilă a proiectului</t>
  </si>
  <si>
    <t>CP 13 less/2019</t>
  </si>
  <si>
    <t>Municipiul Blaj – Administratie publica
inteligenta si participativa</t>
  </si>
  <si>
    <t>Promovarea dezvoltarii urbane durabile prin
elaborarea documentelor de planificare
strategica pentru perioada 2021-2027 -
PLANIFIC</t>
  </si>
  <si>
    <t>Continuarea simplificarii procedurilor
administrative si reducerea birocraþiei
pentru cetaþeni prin digitalizarea serviciilor
publice</t>
  </si>
  <si>
    <t>Ialomita</t>
  </si>
  <si>
    <t>Strategie inteligentă bazată pe integrare și urbanizare smart - SIBIU SMART</t>
  </si>
  <si>
    <t>Planificare strategică în municipiul Deva pe termen mediu și lung și acces mai facil al cetățenilor la servicii publice gestionate partajat de către UAT municipiul Deva</t>
  </si>
  <si>
    <t>Obiectivul general al proiectului
Consolidarea capacitatii institutionale si eficientizarea activitatilor la nivelul Municipiului Deva prin utilizarea mecanismelor/ instrumentelor de planificare strategica pe termen mediu si lung in procesul de dezvoltare economico sociala a municipiului in perioada programatica 2021-2027 si ulterior si simplificarea procedurilor administrative si reducerea birocratiei pentru cetateni implementand masuri din perspectiva back-office cat si front-office pentru servicii partajate in responsabilitatea administratiei publice locale.
Obiectivele specifice ale proiectului
1. OS1 - Asigurarea unei mobilitati urbane durabile in municipiul Deva prin eleborarea unui Plan de mobilitate urbana durabila ca
instrument strategic de planificare a dezvoltarii in perioada programatica 2021-2027.
2. OS2 - Asigurarea unei dezvoltari durabile si coerente in municipiul Deva prin elaborarea unei Strategii integrate pentru dezvoltare
urbana (SIDU) ca instrument strategic de planificare a dezvoltarii in perioada programatica 2021-2027
3. OS3 - Implementarea unor proceduri simplificate in domeniul serviciilor partajate pentru reducerea birocratiei pentru cetateni, in
corespondenta cu Planul integrat pentru simplificarea procedurilor administrative aplicabile cetatenilor, atat din perspectiva backoffice
cat si front-office.</t>
  </si>
  <si>
    <t>Optimizarea proceselor orientate către cetățeni în Municipiul Onești</t>
  </si>
  <si>
    <t>119 - Investiții în capacitatea instituțională și în eficiența administrațiilor și a serviciilor publice la nivel național, regional și local, în perspectiva realizării de reforme, a unei mai bune legiferări și a bunei guvernanțe119 - Investiții în capacitatea instituțională și în eficiența administrațiilor și a serviciilor publice la nivel național, regional și local, în perspectiva realizării de reforme, a unei mai bune legiferări și a bunei guvernanțe</t>
  </si>
  <si>
    <t>Planificarea si managementul mobilității urbane durabile prin elaborarea PMUD</t>
  </si>
  <si>
    <t>REFORMA - Investiții pentru creșterea
capacitații instituționale și eficienta serviciilor administrației publice locale</t>
  </si>
  <si>
    <t>AA nr.3/07.05.2020 prelungire si modif fse, bn si cp</t>
  </si>
  <si>
    <t>Servicii publice partajate digitalizate -
Continuarea simplificarii procedurilor
administrative si reducerea birocratiei
pentru cetateni in Municipiul Giurgiu
(SEPAR)</t>
  </si>
  <si>
    <t>Simplificarea procedurilor administrative si
elaborare SIDU si PMUD la nivelul
Municipiului Râmnicu Vâlcea</t>
  </si>
  <si>
    <t>Consolidarea capacitații instituționale si eficientizarea activitații la nivelul Municipiului Drobeta Turnu
Severin</t>
  </si>
  <si>
    <t>Planificare strategică și implementarea de proceduri și instrumente informatice pentru simplificarea procedurilor administrative și reducerea birocrației pentru cetățeni în domeniul socio-medical și planificare urbană la nivelul Municipiului Reghin</t>
  </si>
  <si>
    <t>Municipiul Reghin</t>
  </si>
  <si>
    <t>Dezvoltarea capacității de planificare strategică și implementare a unui sistem informatic integrat în municipiul Piatra Neamț</t>
  </si>
  <si>
    <t>Obiectivul general al proiectului consta in consolidarea capacitatii administrative a Municipiului Piatra Neamt prin dezvoltarea capacitatii de
planificare strategica si prin simplificarea procedurilor administrative, corelata cu introducerea unui sistem informatic de servicii electronice
integrat cu o platforma de management informational geografic - GIS, fapt ce va determina cresterea calitatii actului administrativ pe
termen lung.
Obiectivele specifice ale proiectului
1. OS 1. Dezvoltarea capacitatii de planificare strategica la nivelul administratiei publice locale din Municipiul Piatra Neamt prin
realizarea Strategiei Smart City si Strategiei de dezvoltare durabila 2021 – 2027.
2. OS 2. Eficientizarea si simplificarea serviciilor furnizate cetatenilor de catre Primaria Muncipiului Piatra Neamt prin implementarea
unui sistem informatic de servicii electronice integrat cu o platforma de management informational geografic – GIS.
3. OS 3. Promovarea modernizarii in administratia publica locala din Municipiul Piatra Neamt prin specializarea angajatilor primariei
pe teme specifice proiectului (planificare strategica si utilizarea noului sistem informatic) ceea ce va determina motivarea si
mobilizarea acestora in directia inovatiei si in oferirea de servicii publice de calitate catre cetateni.</t>
  </si>
  <si>
    <t>Implementarea cadrului instituțional de dezvoltare strategică la nivelul Județului Timiș</t>
  </si>
  <si>
    <t>Județul Timiș</t>
  </si>
  <si>
    <t>Simplificare administrativă extinsă și Planificare strategică integrată pentru cetățenii municipiului Sighișoara</t>
  </si>
  <si>
    <t>Obiectivul general al proiectului vizeaza cresterea capacitații administrative a Municipiului Sighisoara prin fundamentarea procesului
decizional si planificarii strategice si implementarea unor masuri de simplificare a procedurilor administrative în beneficiul cetațenilor.
Obiectivele specifice ale proiectului
1. OS1. Fundamentarea procesului de planificare strategica si bugetara la nivelul Municipiului Sighisoara prin Strategiei de
Dezvoltare Locala a Municipiului Sighisoara pentru perioada 2021-2027 si a Planului strategic institutional aferent perioadei
2021-2022.
2. OS2. Sustinerea masurilor de simplificare atat din perspectiva back-office cat si front-office prin implementarea unei solutii
informatice de lucru colaborativ si digitalizarea a 11 formulare de asistenta sociala.
3. OS3. Îmbunatatirea cunostintelor si abilitatilor personalului din cadrul Primariei, Consiliului Local si Directiei de Asistenta Sociala.</t>
  </si>
  <si>
    <t>Planificare strategică și financiară în județul Sălaj</t>
  </si>
  <si>
    <t>Echilibru și Dinamism</t>
  </si>
  <si>
    <t xml:space="preserve">   AA1/24.07.2019  AA2/18.05.2020 prelungire 5 luni, fse, bn, cp</t>
  </si>
  <si>
    <t>Fundamentarea deciziilor, planificare strategică și măsuri simplificate pentru cetățeni la nivelul administrației publice a municipiului Călărași</t>
  </si>
  <si>
    <t>Călărași</t>
  </si>
  <si>
    <t>i.R.E.M - Institutii Responsabile, Eficienta Manageriala</t>
  </si>
  <si>
    <t>Organizarea unei Planificări Echilibrate a Nevoilor Municipiului Reșița - O.P.E.N. Municipiul Reșița</t>
  </si>
  <si>
    <t>Universitatea Babes Bolyai</t>
  </si>
  <si>
    <t>Municipiul Reșița</t>
  </si>
  <si>
    <t>Fundamentarea deciziilor, planificarea strategică si masuri de simplificare pentru cetățeni la nivelul Municipiului Marghita</t>
  </si>
  <si>
    <t>Municipiul Marghita</t>
  </si>
  <si>
    <t>Obiectivul general al proiectului este consolidarea capacitatii administrative a Municipiului Marghita prin implementarea de masuri
pentru imbunatatirea planificarii strategice, respectiv masuri de simplificare pentru cetateni.
1. OS1. Imbunatatirea planificarii strategice a Municipiului Marghita pentru perioada 2021-2027 prin elaborarea urmatoarelor documente
strategice:
- Strategia integrata de dezvoltare urbana a Municipiului Marghita,
- Planul de mobilitate urbana durabila a Municipiului Marghita, respectiv
- Programul de Imbunatatire a Eficientei Energetice a Municipiului Marghita.
2. OS2: Simplificarea procedurilor administrative si reducerea birocratiei pentru cetateni prin achizitia de date din teren si integrarea
acestora intr-o solutie geospatiala (GIS) aferenta intravilanului Municipiului Marghita.</t>
  </si>
  <si>
    <t>Marghita</t>
  </si>
  <si>
    <t>Planificare strategică, simplificare administrativă și optimizare a unor servicii pentru cetățeni, la nivelul județului Buzău</t>
  </si>
  <si>
    <t>Obiectivul general al proiectului a constat în îmbunatatirea accesibilitatii zonelor turistice cu potential demonstrat ale judetului Buzau si a
mobilitatii populatiei, bunurilor si serviciilor, în vederea stimularii economice durabile.
Obiectivul specific al proiectului l-a reprezentat reabilitarea si modernizarea, într-o perioada de 27 de luni, a retelei de 57,89 km drumuri
din zona Pietroasele – Merei – Monteoru – Vernesti – Hales – Ciuta, judetul Buzau.</t>
  </si>
  <si>
    <t>Fundamentarea procesului decizional strategic în vederea promovării dezvoltării urbane durabile – PROSPER</t>
  </si>
  <si>
    <t>Împreună pentru Ialomița – Strategia de dezvoltare a județului Ialomița 2021-2027 și servicii publice accesibile pentru cetățeni</t>
  </si>
  <si>
    <t>Județul Ialomița</t>
  </si>
  <si>
    <t>Obiectivul general al proiectului este: Imbunatatirea procesului decizional si de planificare strategica la nivelul CJ Ialomita prin
introducerea unor mecanisme si proceduri standard (metode si instrumente) de fundamentare a deciziilor, corelarea acestora cu resursele
existente si care pot fi atrase, simplificarea proceselor care vizeaza interactiunea directa cu cetatenii si dezvoltarea competentelor
personalului aparatului de specialitate in vederea implementarii si utilizarii acestora.
Obiectivele specifice ale proiectului
1. OS 1 - Consolidarea procesului decizional, a capacitatii de planificare strategica la nivelul CJ Ialomita prin elaborarea Strategiei
de Dezvoltare a Judetului Ialomita 2021-2027 si dezvoltarea competentelor angajatilor CJ Ialomita in domeniul planificarii
strategice
2. OS 2 - Simplificarea si eficientizarea serviciilor partajate specifice oferite cetatenilor din Judetul Ialomita prin dezvoltarea si
implementarea unui sistem informatic care sa permita depunerea documentatiei online de catre cetateni pentru serviciile oferite
3. OS 3 – Simplificarea si eficientizarea accesului la documente cu valoare operationala in prezent (din perspectiva back-office, dar
cu impact real la nivelul beneficiarului final - cetateanul), prin retro-digitalizarea arhivei CJ Ialomita</t>
  </si>
  <si>
    <t>Investiții integrate și complementare în măsuri
de planificare strategice și măsuri de simplificare la nivelul Municipiului Ploiești</t>
  </si>
  <si>
    <t>Servicii publice partajate eficiente -
Continuarea simplificării procedurilor administrative și reducerea birocrației pentru cetățeni prin
digitalizarea serviciilor publice partajate în Municipiul Caransebeș (SPRE)</t>
  </si>
  <si>
    <t>Acțiuni pentru o administrație publică deschisă și receptivă la soluții inovatoare</t>
  </si>
  <si>
    <t>Municipiul Orșova</t>
  </si>
  <si>
    <t>Orsova</t>
  </si>
  <si>
    <t>Planificare Strategică - Municipiul Vaslui</t>
  </si>
  <si>
    <t>Planificare strategică și măsuri de simplificare pentru cetățeni la nivelul Municipiului Târgu Mureș</t>
  </si>
  <si>
    <t>Municipiul Târgu Mureș</t>
  </si>
  <si>
    <t>Obiectivul general al proiectului consta in consolidarea capacitatii administrative a Municipiului Tirgu Mures prin dezvoltarea capacitatii de
planificare strategica si prin simplificarea procedurilor administrative, corelata cu introducerea de metode electronice de gestionare si
management a documentelor administrative, fapt ce va determina cresterea calitatii actului administrativ pe termen lung.
Obiectivele specifice ale proiectului
1. OS 1 Dezvoltarea capacitatii de planificare strategica la nivelul administratiei publice locale din Municipiul Tirgu Mures prin
actualizarea Strategiei Integrata de Dezvoltare Urbana, actualizarea Planului de Mobilitate Urbana Durabila si realizarea
Strategiei Smart City
2. OS2 Eficientizarea si simplificarea serviciilor gestionate partajat catre Primaria Muncipiului Tirgu Mures prin implementarea unei
solutii de portal cu servicii digitale si retrodigitalizarea arhivei
3. OS3-Intarirea capacitatii institutionale in cadrul Primariei Municipiului Tirgu Mures prin specializarea angajatilor primariei pe teme
specifice proiectului (planificare strategica si utilizarea noului sistem informatic) ceea ce va determina motivarea si mobilizarea
acestora in directia inovatiei si in oferirea de servicii publice de calitate catre cetateni</t>
  </si>
  <si>
    <t>DINAMIC – Dâmbovița – interacțiuni la nivel administrativ între modernizare, interconectivitate, competențe</t>
  </si>
  <si>
    <t>Dambovita</t>
  </si>
  <si>
    <t>Consolidarea capacității administrative prin adoptarea de instrumente ale planificării strategice pentru buna gestiune financiară a proceselor dezvoltării locale în Municipiul Dej</t>
  </si>
  <si>
    <t>Consolidarea Capacității Administrative a UAT Municipiul Brad</t>
  </si>
  <si>
    <t>Municipiul Brad</t>
  </si>
  <si>
    <t>Obiectivul general al proiectului il reprezinta consolidarea capacitatii administrative si eficientizarea activitatii la nivelul autoritatii publice
locale prin fundamentarea deciziilor si planificarea strategica pe termen lung, prin corelarea SIDU si PMUD cu documente strategice
nationale pentru perioada 2021-2027.
Obiectivele specifice ale proiectului
1. Dezvoltarea capacitatii administrative necesare a Municipiului Pitesti in vederea fundamentarii deciziilor si planificarii strategice pe
termen lung urmare a actualizarii Strategiei integrate de dezvoltare urbana si a Planului de mobilitate urbana durabila pentru
urmatorul cadru financiar aferent perioadei 2021 – 2027
2. Imbunatatirea cunostintelor si abilitatilor personalului de conducere si executie din Primaria Municipiului Pitesti, in vederea
sprijinirii masurilor vizate de proiect.</t>
  </si>
  <si>
    <t>BISTRIȚA 2030</t>
  </si>
  <si>
    <t>OBIECTIVE SPECIFICE:                                                                                                                                                                                       1. Actualizarea Strategiei de Dezvoltare Locala (SIDU) si a Planului de Mobilitate Urbana Durabila (PMUD) pentru urmatoarea perioada de programare a fondurilor europene 2021-2027;
2. Realizarea Planului Strategic Institutional (PSI) aferent perioadei 2021-2022;
3. Dezvoltarea abilitatilor unui numar de 40 de angajati/ alesi locali ai Municipiului Bistrita, prin organizarea unui curs de formare in domeniul planificare strategica si unui schimb de experienta la care vor participa 12 persoane</t>
  </si>
  <si>
    <t>Municipiul Bistrița</t>
  </si>
  <si>
    <t>Digitalizare, eficiență, transparență pentru cetățeni - DETC</t>
  </si>
  <si>
    <t>Digitalizarea serviciilor sociale și medicale
aflate în competenta Consiliului Județean Brașov</t>
  </si>
  <si>
    <t>DGASPC BRASOV</t>
  </si>
  <si>
    <t>Municipiul Câmpulung Moldovenesc</t>
  </si>
  <si>
    <t>Planificare strategică și simplificarea procedurilor administrative la nivelul Municipiului Câmpulung Moldovenesc</t>
  </si>
  <si>
    <t>Câmpulung Moldovenesc</t>
  </si>
  <si>
    <t>Îmbunătățirea capacității de planificare prin actualizarea documentelor strategice și creșterea calității serviciilor furnizate de Municipiul Iași</t>
  </si>
  <si>
    <t>Municipiul Iași</t>
  </si>
  <si>
    <t>Obiectivul general al proiectului
Imbunatatirea procesului de luare a deciziei la nivelul Municipiului Iasi prin introducerea unor metode si sisteme coerente de fundamentare
a deciziilor, corelarea acestora cu resursele disponibile si pregatirea personalului aparatului de specialitate in vederea utilizarii acestor
instrumente.
Obiectivele specifice ale proiectului
1. Imbunatatirea corelarii intre masurile si planurile de actiune din principalele documente de politici publice si activitatile de
planificare bugetara si alocare a resurselor de catre autoritatea publica locala Municipiul Iasi prin actualizarea Strategiei Integrate
de Dezvoltare Urbana a Municipiului Iasi si a Planului de Mobilitate Urbana Durabila pentru Polul de Crestere Iasi pentru perioada
post 2020.
2. Implementarea unor masuri de simplificare in corespondenta cu Planul Integrat pentru simplificarea procedurilor administrative din
perspectiva back-office (adaptarea procedurilor interne de lucru, digitalizarea arhivelor).
3. Dezvoltarea cunostintelor si abilitatilor personalului din cadrul Primariei Municipiului Iasi, in vederea sprijinirii masurilor vizate de
proiect. Este avuta in vedere formarea si certificarea competentelor/cunostintelor dobândite pentru 30 persoane din cadrul
grupului tinta, in domeniul planificarii strategice si al politicilor publice locale. Obiectivul general al serviciilor de instruire il
constituie familiarizarea persoanelor din grupul tinta cu implicatiile conceptului de planificarea strategica. De asemenea, sunt
vizate dezvoltarea competentele si abilitatilor a 110 persoane angajate in cadrul Directiei Generale Economice si Finante Publice
Locale pentru utilizarea sistemelor informatice aferente sistemului de arhivare digitala a documentelor.</t>
  </si>
  <si>
    <t>Asistență socială integrată in Municipiul Lugoj prin digitalizarea serviciilor publice partajate și continuarea simplificării procedurilor administrative și reducerii birocrației pentru cetățeni - ASIGUR</t>
  </si>
  <si>
    <t>Municipiul Lugoj</t>
  </si>
  <si>
    <t>Consiliul Local Lugoj – Direcția de Asistență Publică Comunitară Lugoj</t>
  </si>
  <si>
    <t>Planificare strategică și simplificarea procedurilor administrative la nivelul Municipiului Fălticeni</t>
  </si>
  <si>
    <t>Municipiul Fălticeni</t>
  </si>
  <si>
    <t>Fălticeni</t>
  </si>
  <si>
    <t>AA1/03.06.2020 prelungire</t>
  </si>
  <si>
    <t>AA4/02.03.2020              AA5/02.06.2020 durata, VTE, FSE, UE, CP</t>
  </si>
  <si>
    <t>Proceduri simplificate de reducere a birocrației pentru cetățeni</t>
  </si>
  <si>
    <t>Municipiul Odorheiu Secuiesc</t>
  </si>
  <si>
    <t>Odorheiu Secuiesc</t>
  </si>
  <si>
    <t>135061</t>
  </si>
  <si>
    <t>Dezvoltare strategică și eficiența administrativă - Județul Dolj</t>
  </si>
  <si>
    <t>Obiectivele specifice ale proiectului
1. Obiectiv specific 1: Imbunatatirea procesului decizional, a planificarii strategice la nivelul Consiliului Judetean Dolj pentru perioada
2021-2027.
2. Obiectiv specific 2 Simplificarea accesului cetatenilor la serviciile gestionate de catre Consiliul Judetean Dolj in domeniul
urbanismului si amenajarii teritoriului - competente partajate.
3. Obiectiv specific 3 Imbunatatirea cunostintelor si abilitatilor personalului din cadrul Consiliului Judetean Dolj, in domeniile:
fundamentarea deciziilor si planificare strategica; instrumente de simplificare a accesului cetatenilor la servicii de urbanism si
amenajarea teritoriului.</t>
  </si>
  <si>
    <t>Management administrativ performant și orientat către cetățeni la nivelul UAT - Județul Suceava</t>
  </si>
  <si>
    <t>Judetul Suceava</t>
  </si>
  <si>
    <t>Simplificarea procedurilor administrative la nivelul Municipiului Vatra Dornei</t>
  </si>
  <si>
    <t>Municipiul Vatra Dornei</t>
  </si>
  <si>
    <t>Inovare și performanță în administrația publică a Consiliului Județean Vrancea</t>
  </si>
  <si>
    <t>Obiectivul general al proiectului este Cresterea calitatii si a performantei serviciilor publice din cadrul CJ Vrancea, ca urmare a
implementarii de strategii pe termen lung si a aplicarii de masuri de reducere a birocratiei si simplificare a procedurilor pentru cetatenii
Judetului Vrancea.
Modelul reuneste functii complementare necesare (Mecanisme si proceduri standard implementate la nivel local pentru fundamentarea
deciziilor si planificarea strategica pe termen lung, Proceduri simplificate pentru reducerea birocratiei pentru cetateni la nivel local corelate
cu Planul integrat de simplificare a procedurilor administrative pentru cetateni implementate, Cunostinte si abilitati ale personalului din
autoritatile si institutiile publice locale imbunatatite, in vederea sprijinirii masurilor/actiunilor vizate in proiect) pentru a genera un impact pe
termen lung care sa contribuie la o mai buna functionare a administratiei publice locale, astfel incat sa se alinieze la nivelul standardelor
europene din punct de vedere al calitatii si managementului serviciilor publice.</t>
  </si>
  <si>
    <t>Judetul Vrancea</t>
  </si>
  <si>
    <t>Simplificarea procedurilor administrative la nivelul Municipiului Gherla</t>
  </si>
  <si>
    <t>Municipiul Gherla</t>
  </si>
  <si>
    <t>Gherla</t>
  </si>
  <si>
    <t>Accesul direct al cetățeanului la serviciile socio-medicale ale Municipiului Baia Mare</t>
  </si>
  <si>
    <t>Planificare strategică și simplificare administrativă pentru cetățenii municipiului Codlea</t>
  </si>
  <si>
    <t>Performanță, transparență și eficiență în slujba cetățeanului în administrația locală Dorohoi</t>
  </si>
  <si>
    <t>Municipiul Dorohoi</t>
  </si>
  <si>
    <t>Asociația Centrul de Resurse în domeniul Științelor Socio-Umane</t>
  </si>
  <si>
    <t>Consolidarea capacitatii administrative si cresterea calitatii si eficientei serviciilor publice gestionate partajat de catre Municipiul Dorohoi
prin investitii integrate de simplificare a procedurilor institutionale si de reducere a birocratiei pentru cetateni, corelate cu dezvoltarea
capacitatii de planificare strategica pe termen lung.
Obiectivele specifice ale proiectului
1. OS1. Implementarea unui sistem informatic integrat, care sa sustina simplificarea si optimizarea procedurilor administrative pentru
cetateni la nivelul municipiului Dorohoi atât din perspectiva back-office, cât si front-office, inclusiv digitalizarea partiala a arhivei;
2. OS2. Îmbunatatirea procesului decizional si a capacitatii de planificare strategica din cadrul UAT Dorohoi prin elaborarea
Strategiei integrate de dezvoltare urbana (SIDU) si a Planului de mobilitate urbana durabila (PMUD), documente strategice care
sa raspunda nevoilor si exigentelor de finantare pentru urmatoarea perioada de programare a fondurilor europene 2021 – 2027;</t>
  </si>
  <si>
    <t>Dorohoi</t>
  </si>
  <si>
    <t>AA2/19.02.2020, I3 - durata , AA4/16.06.2020</t>
  </si>
  <si>
    <t>Educația - un pas înainte!</t>
  </si>
  <si>
    <t>Planificare strategică și digitalizare urbană
pentru municipiul Roman</t>
  </si>
  <si>
    <t>Acțiuni de simplificare a procedurilor administrative și de planificare strategică pentru cetățenii din municipiul Oradea și zona metropolitană</t>
  </si>
  <si>
    <t>Obiectivul general al proiectului
Consolidarea capacitatii administrative la nivelul administratiei publice locale din Municipiul Oradea si Zona Metropolitana prin dezvoltarea
de mecanisme si documente de planificare stategica, precum si simplificarea administrativa a serviciilor publice orientate catre cetateni.
Acestea vor viza procesul de planificare strategica de durata, imbunatatirea abilitatilor personalului Primariei Municipiului Oradea si
continuarea implementarii masurilor de reducere a birocratiei pentru cetateni.
Obiectivele specifice ale proiectului
1. Imbunatatirea, integrarea si extinderea procesului de planificare strategica pentru perioada 2021-2027 la nivelul Municipiului
Oradea si Zonei Metropolitana Oradea.
2. Simplificarea procedurilor administrative in vederea reducerii birocratiei pentru cetatenii din Municipiul Oradea.
3. Imbunatatirea cunostintelor si abilitatilor personalului din cadrul Primariei Municipiului Oradea in domenii-cheie privind dezvoltarea
teritoriala integrata.</t>
  </si>
  <si>
    <t>Eficiență și performanță în administrația publică locală a municipiului Botoșani</t>
  </si>
  <si>
    <t>Obiectivul general: Imbunatatirea planificarii strategice, simplificarea procedurilor administrative si reducerea birocratiei, prin dezvoltarea si
implementarea urmatoarelor masuri: actualizarea si implementarea unor strategii de dezvoltare in plan local, o solutie informatica unitara,
cat si dezvoltarea cunostintelor personalului de la nivelul UAT Mun.Botosani in scopul implementarii si utilizarii optime a masurilor realizate
in proiect.
Obiectivele specifice ale proiectului
1. Obiectiv specific 1.Imbunatatirea procesului de planificare strategica la nivelul UAT Mun. Botosani prin actualizarea si
implementarea unei Strategii integrate de dezvoltare urbana (SIDU) si a unui Plan de mobilitate urbana durabila (PMUD) a
Municipiului Botosani aferente perioadei 2021-2027.
2. Obiectiv specific 2. Dezvoltarea si implementarea unei solutii informatice unitare care sa sustina simplificarea procedurilor
administrative si reducerea birocratiei in Municipiului Botosani.
3. Obiectiv specific 3. Instruirea personalului din cadrul UAT Municipiului Botosani pentru planificare strategica si utilizarea optima a
solutiei informatice unitare prin proiect.</t>
  </si>
  <si>
    <t>Municipiul Alba Iulia</t>
  </si>
  <si>
    <t>Cresterea calitatii procesului decizional la nivelul UAT Alba Iulia pentru a raspunde in mod fundamentat si coerent nevoilor comunitatii
locale.
Obiectivele specifice ale proiectului
1. OS1 Dezvoltarea de instrumente de fundamentare si planificare a deciziilor la nivelul UAT Alba Iulia prin actualizarea PMUD pe
parcursul a 18 luni
2. OS2 Dezvoltarea si implementarea unei platforme de date deschise orientate catre publicul larg in vederea reducerii birocratiei
pentru cetatenii UAT Alba Iulia pe parcursul a 18 luni
3. OS3 Dezvoltarea cunostintelor si abilitatilor personalului din cadrul UAT Alba Iulia in vederea sprijinirii masurilor si actiunilor vizate
de proiect pentru 28 persoane</t>
  </si>
  <si>
    <t>AA nr.1/18.11.2019                  Nota suspendare 2 luni, IL4/29.04.2020</t>
  </si>
  <si>
    <t>Planificare strategică și simplificarea procedurilor administrative în Municipiul Râmnicu Sărat</t>
  </si>
  <si>
    <t>Planificare strategica si accesibilizare a serviciilor oferite de administrația locală în municipiul Carei</t>
  </si>
  <si>
    <t>Bacău Smart County</t>
  </si>
  <si>
    <t>Autoritatea Națională de Reglementare în Domeniul Energiei</t>
  </si>
  <si>
    <t>Dezvoltarea capacității instituționale a Autorității Naționale de Reglementare în Domeniul Energiei pentru simplificarea procesului de schimbare a furnizorului de energie electrica si de gaze naturale</t>
  </si>
  <si>
    <t>Măsuri și instrumente pentru planificare strategica si simplificare a procedurilor administrative în Municipiul Câmpia Turzii</t>
  </si>
  <si>
    <t>Municipiul Câmpia Turzii</t>
  </si>
  <si>
    <t>Câmpia Turzii</t>
  </si>
  <si>
    <t>eTurda – Debirocratizare prin digitalizare în administrația publică</t>
  </si>
  <si>
    <t>Continuarea simplificării procedurilor administrative și reducerea birocrației pentru cetățeni prin digitalizarea serviciilor publice</t>
  </si>
  <si>
    <t>Planificarea strategică teritorială și soluții integrate pentru simplificarea procedurilor administrative la nivelul Municipiului Orăștie</t>
  </si>
  <si>
    <t>Sistem integrat de management al fluxurilor interne si furnizarea de servicii partajate către cetățeni</t>
  </si>
  <si>
    <t>Implementare soluții informatice integrate pentru simplificarea procedurilor administrative vizând competențele partajate, în cadrul Primăriei Municipiului Huși</t>
  </si>
  <si>
    <t>Municipiul Pașcani</t>
  </si>
  <si>
    <t>Soluții integrate, mecanisme și procedure pentru fundamentarea deciziilor, planificarea strategică și simplificarea procedurilor administrative la nivelul Municipiului Pașcani</t>
  </si>
  <si>
    <t>Județul Vâlcea – ORIZONT 2030</t>
  </si>
  <si>
    <t>Vâlcea</t>
  </si>
  <si>
    <t>Inovare prin Informatizare la nivelul Consiliului Județean Sibiu</t>
  </si>
  <si>
    <t>Judetul Sibiu</t>
  </si>
  <si>
    <t>AA1/08.07.2020, diminuare buget</t>
  </si>
  <si>
    <t>O administrație eficientă și servicii de calitate la nivelul municipiului</t>
  </si>
  <si>
    <t>Implementarea unui sistem informatic de digitalizare a proceselor de administrare a informatiei si documentelor si simplificarea relatiei cu
cetatenii prin comunicare online pentru competente partajate ale UAT-ului, eficientizarea activitatilor de tip back-office si front-office si
îmbunatatirea planificarii strategice, contribuie la cresterea calitatii si eficientei serviciilor furnizate de administratia publica la nivelul
Municipiului Fetesti.
Obiectivele specifice ale proiectului
1. OS 1: Implementarea unor mecanisme noi pentru planificare strategica pe termen lung - Strategia de Dezvoltare urbana 2021 –
2027, a Planului de Mobilitate Urbana 2021 – 2027 si elaborarea Planului Strategic Institutional 2021 – 2022, pentru a creste
eficienta actiunilor adimintrative la nivelul Municipiului Fetesti.
OS 1 se va îndeplini prin activitatea 3 si va conduce la atingerea rezultatului de program POCA R1.
2. OS 2: Configurarea si implementarea unui sistem informatic de digitalizare a proceselor de administrare a informatiei si
documentelor si simplificarea relatiei cu cetatenii luand in cinsiderare competente partajate si retro-digitalizarea documentelor din
arhiva institutiei.
OS 2 se va îndeplini prin activitatea 4 si va conduce la atingerea rezultatului de program POCA R3.
3. OS 3: Îmbunatatirea abilitatilor si cunostintelor personalului Municipiului Fetesti - 65 de persoane din diferite niveluri ierarhice
(personal de conducere si de executie) din cadrul Municipiului pe teme specifice (ex. planificare strategica, planificare bugetara,
politici locale, fundamentare, elaborare, implementare, monitorizare si evaluare a deciziilor la nivelul administratiei publice locale,
etc).
OS 3 se va îndeplini prin activitatea 5 si va conduce la atingerea rezultatului de program POCA R5.</t>
  </si>
  <si>
    <t>PAC: Implicarea comunității și planificare strategică - O primărie mai aproape de cetățeni!</t>
  </si>
  <si>
    <t>Municipiul Alexandria</t>
  </si>
  <si>
    <t>Obiectivul general al proiectului vizeaza imbunatatirea procesului decizional, a planificarii strategice si executiei bugetare si crearea de
masuri de simplificare pentru cetateni in concordanta cu SCAP, la nivelul Primariei Municipiului Alexandria.
Astfel, proiectul propus spre finantare urmareste consolidarea capacitatii administrative a institutiei in vederea formularii de politici publice
si planificarii strategice institutionale, pe de-o parte si pe de alta parte, implementarea unor sisteme informatice pentru optimizarea
modului de lucru intern al angajatilor Primariei municipiului Alexandria, inclusiv prin digitalizarea arhivei de documente, precum si
dezvoltarea si cresterea gradului de sofisticare a serviciilor online furnizate catre cetateni, contribuind astfel la indeplinirea obiectivului
specific 2.1 al POCA "Introducerea de sisteme si standarde comune in administratia publica locala ce optimizeaza procesele orientate
catre beneficiari in concordanta cu SCAP".
Totodata, implementarea acestui proiect va avea ca efect imbunatatirea proceselor interne ale institutiei si serviciile furnizate catre
cetateni/mediu de afaceri, contribuind la atingerea obiectivelor Strategia pentru consolidarea administratiei publice 2014-2020 (SCAP) -
II.4 (Solutii IT pentru eficientizarea administratiei publice) si II.5 (Imbunatatirea proceselor interne la nivelul institutiilor publice), III.1
(Reducerea birocratiei pentru cetateni) si III.2. (Reducerea birocratiei pentru mediul de afaceri), IV. (Consolidarea capacitatii administratiei
publice de a asigura calitatea si accesul la serviciile publice).
Obiectivele specifice ale proiectului
1. OS 1. Imbunatatirea procesului decizional, a planificarii strategice si a executiei bugetare la nivelul Primariei Municipiului
Alexandria. In vederea atingerii acestui obiectiv specific in cadrul proiectului vor fi dezvoltate: un set de criterii de prioritizare a
investitiilor in sectoare precum educatie, sanatate, asistenta sociala si infrastructura; 4 politici publice ce necesita resurse
financiare din bugetele institutiei aferente anilor 2021 - 2022; Planul strategic institutional aferent institutiei (PSI), Strategia de
dezvoltare locala a Municipiului Alexandria, si totodata, actualizat Planul de Mobilitate Urbana Durabila. OS 1 corespunde
rezultatului de program R1 – Mecanisme si proceduri standard implementate la nivel local pentru fundamentarea deciziilor si
planificarea strategica pe termen lung.
2. OS 2. Implementarea unor sisteme informatice pentru optimizarea modului de lucru intern al angajatilor Primariei Municipiului
Alexandria, inclusiv prin digitalizarea arhivei de documente, precum si dezvoltarea si cresterea gradului de sofisticare a serviciilor
online furnizate catre cetateni. OS 2 corespunde rezultatului de program R3 - Proceduri simplificate pentru reducerea birocratiei
pentru cetateni la nivel local corelate cu Planul integrat de simplificare a procedurilor administrative pentru cetateni implementate.
3. OS 3. Imbunatatirea abilitatilor si constintelor personalului din cadrul Primariei municipiului Alexandria pentru utilizarea sistemelor
informatice dezvoltate prin proiect si pentru gestionarea documentelor electronice. OS 3 corespunde rezultatului de program R5 -
Cunostinte si abilitati ale personalului din autoritatile si institutiile publice locale imbunatatite, in vederea sprijinirii
masurilor/actiunilor vizate de acest obiectiv specific.</t>
  </si>
  <si>
    <t>Planificare Strategică și Management Educațional Modern în Municipiul Zalău</t>
  </si>
  <si>
    <t>Cresterea calitatii procesului decizional la nivelul Municipiului Zalau în ceea ce priveste mobilitatea urbana si îmbunatatirea serviciilor
publice oferite prin formare profesionala.
Obiectivele specifice ale proiectului
1. Elaborarea Planului de Mobilitate Urbana Durabila la nivelul mun. Zalau si a zonei functionale, pentru perioada de programare
2021 - 2027
2. Formare profesionala pentru 90 persoane - alesi locali si angajati ai Primariei Mun. Zalau</t>
  </si>
  <si>
    <t>Soluții informatice integrate pentru simplificarea procedurilor administrative, reducerea birocrației si îmbunătățirea organizării instituționale</t>
  </si>
  <si>
    <t>Mediaș</t>
  </si>
  <si>
    <t>Administrație deschisă pentru cetățenii municipiului Sebeș</t>
  </si>
  <si>
    <t>Obiectivul general consta in simplificarea accesului la servicii pentru cetateni la nivelul administratiei publice locale si in cresterea calitatii
si eficientei serviciilor publice furnizate la nivelul UAT Municipiul Sebes, judetul Alba, din Regiunea Centru, prin investitii integrate si
complementare conform reglementarilor europene si nationale.
Obiectivele specifice ale proiectului
1. OS 2. Masuri de simplificare a procedurilor administrative si reducerea birocratiei prin digitizarea arhivelor si implementarea unor
sisteme informatice pentru eficientizarea serviciilor de baza de la nivelul Municipiului Sebes.
2. OS 3. Imbunatatirea competentelor profesionale a unui numar de 30 persoane din toate nivelurile ierarhice din cadrul UAT
Municipiul Sebes pe teme specifice, stabilite în urma unei analize de nevoi.</t>
  </si>
  <si>
    <t>Dezvoltarea sistemului informatic național integrat de evidență a creanțelor provenite din infracțiuni</t>
  </si>
  <si>
    <t xml:space="preserve">PARCHETUL DE PE LINGA INALTA CURTE DE CASATIE SI JUSTITIE     </t>
  </si>
  <si>
    <t>AA2/13.07.2020 durata, buget (0,01)</t>
  </si>
  <si>
    <t>Planificare strategică și simplificare proceduri administrative în municipiul Mangalia</t>
  </si>
  <si>
    <t>AA2/24.10.2019, I3,            AA3/14.07.2020 ue, bn, cb, cp</t>
  </si>
  <si>
    <t xml:space="preserve">AA nr.1/13.02.2020          AA nr. 2/14.05.2020 durata              </t>
  </si>
  <si>
    <t>Municipiul Constanța</t>
  </si>
  <si>
    <t>Asociația de Dezvoltare Intercomunitară Zona Metropolitană Constanța</t>
  </si>
  <si>
    <t>Obiectivul general al proiectului il reprezinta optimizarea procesului decizional si eficientizarea activitatii la nivelul Ministerului Turismului prin sistematizarea si reglementarea legislatiei care guverneaza domeniul turismului, in vederea indeplinirii functiilor si realizarii obiectivelor strategice din domeniile coordonate, conform mandatului institutional.                                                                                                                                                                                  1. OS 1: Identificarea, fundamentarea si formularea unei politici publice in domeniul turismului identitar.
2. OS 2: Diagnoza si analiza comparativa a cadrului normativ în vigoare incident domeniului turismului, identificarea redundanetelor
si anacronismelor, simplificarea, actualizarea si sistematizarea fondului legislativ activ al legislatiei din domeniul turismului;
3. OS 3: Dezbaterea propunerilor de simplificare, actualizare si sistematizare a legislatiei care reglementeaza domeniul turismului.</t>
  </si>
  <si>
    <t>Judetul Caraș-Severin</t>
  </si>
  <si>
    <t>Dezvoltare durabilă, eficiență și reducere a birocrației în județul Caraș-Severin</t>
  </si>
  <si>
    <t>AA1/23.07.2020 buget</t>
  </si>
  <si>
    <t>COMPAS - Competitivitate si Operativitate prin investiții în Măsuri pentru Proceduri Administrative Simplificate</t>
  </si>
  <si>
    <t>AA2/29.01.2020        AA3/28.07.2020 durata</t>
  </si>
  <si>
    <t>Analiza funcțională și strategia de dezvoltare a sistemului judiciar post 2020 (ASJ)</t>
  </si>
  <si>
    <t>Consolidarea capacitatii sistemului judiciar de a furniza servicii eficiente, de calitate, si accesibile
Obiectivele specifice ale proiectului
1. Eficientizarea administrarii justitiei prin elaborarea unor instrumente moderne de management care sa fundamenteze deciziile cheie la nivelul sistemului judiciar</t>
  </si>
  <si>
    <t>Elaborarea Strategiei integrate de
dezvoltare urbana a zonei metropolitane
Cluj pe perioada 2021-2030, prin actualizare
SIDU existent</t>
  </si>
  <si>
    <t>Consolidarea capacității organizaționale și administrative a Consiliului Superior al Magistraturii</t>
  </si>
  <si>
    <t>Obiectivele specifice ale proiectului
1. Dezvoltarea capacitații instituționale a Consiliului Superior al Magistraturii, prin implementarea unei soluții informatice de
gestionare a activitații aparatului tehnic si de relaționare cu alte instituții/organizații din interiorul si din afara sistemului judiciar.
2. Dezvoltarea profesionala si a abilitaților manageriale ale personalului din cadrul Consiliului Superior al Magistraturii, prin
achiziționarea de servicii de formare profesionala</t>
  </si>
  <si>
    <t>Optimizarea managementului la nivelul sistemului judiciar. Componenta de parchete</t>
  </si>
  <si>
    <t>Obiectivul general al acestui proiect este imbunatatirea capacitatii manageriale a Ministerului Public, ca parte esentiala a sistemului de
justitie in materie penala, prin implementarea unor instrumente standard de management integrat la nivelul unitatilor teritoriale ale
parchetelor, cu scopul de a crea premisele necesare pentru un proces predictibil de luare a deciziilor manageriale, in special in privinta
componentelor de resursa umana, capacitate de gestionare a volumului de munca, estimare corecta a necesarului de resursa umana si
distribuire a sarcinilor la nivelul procurorilor din cadrul aceleiasi unitati teritoriale.
Obiectivele specifice ale proiectului
1. Redimensionarea strategiei organizationale la nivelul Ministerului Public prin elaborarea unui instrument unitar de management
axat indeosebi pe cuantificarea volumului si complexitatii muncii si sarcinilor specifice ce cad in sarcina magistratilor din cadrul
parchetelor.
2. Consolidarea instrumentelor de gestiune manageriala la nivel micro si macro in cadrul parchetelor, prin dezvoltarea si
implementarea unei solutii informatice de calcul dinamic al volumului si complexitatii activitatii procurorilor.
3. Imbunatatirea strategiei de administrare a resurselor umane la nivelul parchetelor, prin identificarea unor solutii optime de
imbunatatire a legislatiei primare si secundare aplicabile.</t>
  </si>
  <si>
    <t>CPCI – Creșterea performanței și calității instituționale prin îmbunătățirea sistemului de evaluare și asistență psihologică la nivelul sistemului judiciar</t>
  </si>
  <si>
    <t>Obiectivul general al acestui proiect este imbunatatirea sistemelor de recrutare a judecatorilor si procurorilor si de asistenta si evaluare
psihologica a acestora pe intreg parcursul evolutiei profesionale, inclusiv sub aspectul accesului in functii de conducere, in scopul final al
cresterii calitatii actului de justitie si imbunatatirii performantei profesionale a sistemului judiciar in ansambul sau.
Obiectivele specifice ale proiectului
1. Perfectionarea sistemelor de evaluare psihologica a judecatorilor si procurorilor
2. Modernizarea procedurilor de evaluare prin implementarea unei solutii informatice integrate
3. Optimizarea mecanismului de asistenta psihologica a judecatorilor si procurorilor</t>
  </si>
  <si>
    <t>Omdrapfe nr.  1227/28.02.2019 , Omdlpl/06.08.2020 durata si buget si renuntare la partener</t>
  </si>
  <si>
    <t>AA1/27.11.2019 FSE SI CP                         AA2/08.05.2020 durata, FSE, BN si CP                               AA3/06.08.2020 durata</t>
  </si>
  <si>
    <t>Întărirea capacității de procesare și analiză a datelor referitoare la criminalitatea organizată și creșterea capacității administrative a Ministerului Public</t>
  </si>
  <si>
    <t xml:space="preserve">1. IGPR                                        2. Ministerul Justitiei 3. Institutul National de Statistica                       4. IGPF </t>
  </si>
  <si>
    <t>Creșterea performanței în administrația publică a Municipiului Medgidia prin crearea și implementarea de instrumente, mecanisme si politici publice adecvate</t>
  </si>
  <si>
    <t>Municipiul Medgidia</t>
  </si>
  <si>
    <t>CRSSU</t>
  </si>
  <si>
    <t>Consolidarea capacitatii administrative si cresterea calitatii si eficientei serviciilor publice gestionate partajat de catre Municipiul Medgidia
prin dezvoltarea capacitatii de planificare strategica pe termen lung, corelata cu investitii integrate si complementare de simplificare a
procedurilor institutionale, precum si cu dezvoltarea competentelor profesionale ale personalului UAT, în scopul implementarii optime a
sistemului informatic propus prin proiect.
Obiectivele specifice ale proiectului
1. OS1. Implementarea unui sistem informatic integrat, care sa sustina simplificarea si optimizarea procedurilor administrative pentru
cetateni la nivelul municipiului Medgidia atât din perspectiva back-office, cât si front-office, inclusiv digitalizarea partiala a arhivei;
2. OS2. Îmbunatatirea procesului decizional si a capacitatii de planificare strategica din cadrul UAT Medgidia prin elaborarea
Strategiei integrate de dezvoltare urbana (SIDU) si a Planului de mobilitate urbana durabila (PMUD), documente strategice care
sa raspunda nevoilor si exigentelor de finantare pentru urmatoarea perioada de programare a fondurilor europene 2021 – 2027;
3. OS3. Îmbunatatirea competentelor profesionale a personalului din toate nivelurile ierarhice din cadrul administratiei publice locale,
în vederea sprijinirii masurilor vizate de proiect.</t>
  </si>
  <si>
    <t>Medgidia</t>
  </si>
  <si>
    <t>Politici sociale performante – strategie națională pentru implementarea performantă a politicilor familiale</t>
  </si>
  <si>
    <t>AGENTIA NATIONALA PENTRU PLATI SI INSPECTIE SOCIALA</t>
  </si>
  <si>
    <t>Casa Națională de Pensii Publice</t>
  </si>
  <si>
    <t>Eficientizarea activității CNPP pentru determinarea legislației aplicabile lucrătorilor migranți, la nivelul sistemului public de pensii din România</t>
  </si>
  <si>
    <t>Stabilirea de Valori Limita de Emisie
diferențiate (VLE) pentru apele uzate din surse industriale și agro-zootehnice din România</t>
  </si>
  <si>
    <t>AA1/12.08.2020 pelungire si diminuare buget</t>
  </si>
  <si>
    <t>AA8 /03.09.2018 prel. Proiect 45L               AA9/11.02.2019 realoc.sume                 AA 10/03.07.2019 prel. 50 L  AA11/14.02.2020, fse, bn               AA12/18.05.2020 prelundire cu 2 luni, fse, cp AA13/12.08.2020 durata</t>
  </si>
  <si>
    <t>IP 17/2019 (MySMIS:POCA/627/1/1)</t>
  </si>
  <si>
    <t>Optimizarea Planului Național de Cancer</t>
  </si>
  <si>
    <t>Obiectivul general al proiectului il reprezinta dezvoltarea si introducerea de sisteme si standarde comune în domeniul cancerului menite sa
optimizeze procesele decizionale - reprezentate de reglementari (acte normative, proceduri, ghiduri, etc.)
Obiectivele specifice ale proiectului
1. OS 1: Actualizarea Planului National de Cancer si adoptarea acestuia avand la baza imbunatatirea politicilor publice si cresterea
calitatii reglementarilor in domeniul sanatatii intr- o perioada de 25 de luni de la semnarea contractului de finantare.
2. OBS 3. Dezvoltarea abilitatilor si cunostinelor unui numar de numar de 50 persoane, personal din autoritatile si institutiile publice
centrale – respectiv Ministerul Sanatatii si Casa Nationala a Asigurarilor de Sanatate, reprezentati ai Ministerului Sanatatii,
implicati de cele mai multe ori în procesele de legiferare, pentru utilizarea instrumentelor specifice de politica publica intr-o
perioada de 25 de luni de la semnarea contractului de finantare</t>
  </si>
  <si>
    <t>Ministerul Afacerilor Interne prin Direcția Generală de Protecție Internă</t>
  </si>
  <si>
    <t>Extinderea capabilităților investigative ale sistemului de apărare cibernetică de la nivelul Ministerului Afacerilor Interne CYBINT</t>
  </si>
  <si>
    <t>Inspectoratul General pentru Situații de Urgență</t>
  </si>
  <si>
    <t>Consolidarea cadrului de reducere a riscului de dezastre și a sistemului de apărare împotriva incendiilor la nivel național</t>
  </si>
  <si>
    <t>AA2/21.08.2020 durata si ue si cb</t>
  </si>
  <si>
    <t>AA1/24.08.2020 durata</t>
  </si>
  <si>
    <t>AA1/21.08.2020 durata</t>
  </si>
  <si>
    <t>Servicii de consiliere juridica pentru victime ale unor abuzuri sau nereguli din administratie si justitie</t>
  </si>
  <si>
    <t>Aplicarea sistemului de politici bazate pe dovezi în Ministerul Mediului, Apelor și Pădurilor pentru sistematizarea si simplificarea legislației din domeniul deșeurilor si realizarea unor proceduri simplificate pentru reducerea poverii administrative pentru mediul de afaceri în domeniul schimbărilor climatice</t>
  </si>
  <si>
    <t>„Pro-Abil”- Consolidarea capacității Agenției Naționale
pentru Plăți și Inspecție Socială de implementare prevederilor legislative din domeniul protecției
sociale</t>
  </si>
  <si>
    <t>ANPIS</t>
  </si>
  <si>
    <t>Creșterea capacității administrative a MFP și a instituțiilor subordonate în vederea îmbunătățirii interacțiunii cetățenilor și mediului de afaceri pentru obținerea de documente din arhiva instituției</t>
  </si>
  <si>
    <t>Creșterea capacității administrative a MFP și a instituțiilor subordonate în vederea îmbunătățirii interacțiunii cetățenilor și mediului de afaceri pentru obținerea de servicii electronice extinse prin portalul ANAF</t>
  </si>
  <si>
    <t>AP2/11i/2.1</t>
  </si>
  <si>
    <t>AP2/11i/2.2</t>
  </si>
  <si>
    <t>AP2/11i/2.3</t>
  </si>
  <si>
    <t>Dezvoltarea unor instrumentate de analiză și intervenție la nivel comunitar pentru perioada de programare 2021-2027</t>
  </si>
  <si>
    <t>Școala Națională de Studii Politice și Administrative</t>
  </si>
  <si>
    <t>AA1/17.07.2020 durata, ue, cb                                              AA2/21.09.2020 durata</t>
  </si>
  <si>
    <t xml:space="preserve">AA1/02.07.2020 prelungire durata                  AA2/22.09.2020 durata </t>
  </si>
  <si>
    <t xml:space="preserve"> Municipiul Codlea</t>
  </si>
  <si>
    <t>Sector 6 București</t>
  </si>
  <si>
    <t>Sector 5 București</t>
  </si>
  <si>
    <t>Sector 1 București</t>
  </si>
  <si>
    <t>Sector 3 București</t>
  </si>
  <si>
    <t>Municipiul Oltenița</t>
  </si>
  <si>
    <t>Municipiul Cluj-Napoca</t>
  </si>
  <si>
    <t>Județul Cluj</t>
  </si>
  <si>
    <t>Județul Constanța</t>
  </si>
  <si>
    <r>
      <t xml:space="preserve">Municipiul </t>
    </r>
    <r>
      <rPr>
        <sz val="12"/>
        <color theme="1"/>
        <rFont val="Calibri"/>
        <family val="2"/>
        <scheme val="minor"/>
      </rPr>
      <t>Galați</t>
    </r>
  </si>
  <si>
    <t>Județul Gorj</t>
  </si>
  <si>
    <t>Municipiul Târnăveni</t>
  </si>
  <si>
    <t xml:space="preserve">Municipiul Câmpina
</t>
  </si>
  <si>
    <t>Municipiul Roșiorii de Vede</t>
  </si>
  <si>
    <t>Municipiul Caransebeș</t>
  </si>
  <si>
    <t>Municipiul Focșani</t>
  </si>
  <si>
    <t>AA 1/18.05.2020 prelungire 3 luni  AA2/5.10.2020 durata</t>
  </si>
  <si>
    <t>Management de calitate si performanță în cadrul MEEMA, pentru reducerea poverii administrative si dezvoltarea imm-urilor inovatoare</t>
  </si>
  <si>
    <t>AA1/16.10.2019                                           AA2/13.02.2020 prelungire   AA nr. 3/Nota suspendare 3 luni/ 24.04.2020  AA4/13.10.2020 durata</t>
  </si>
  <si>
    <t>AA1/13.10.2020 ue, bn, cb</t>
  </si>
  <si>
    <t>AA1/26.02.2020 AA2/13.10.2020 durata, buget</t>
  </si>
  <si>
    <t>Consolidarea capacității de reglementare, implementare, evaluare și derulare a activităților de soluționare alternativa a litigiilor desfășurate de entități aflate în coordonarea Ministerului Economiei, Energiei și Mediului de Afaceri și Autorității Naționale pentru Protecția Consumatorilor</t>
  </si>
  <si>
    <t>ANPC</t>
  </si>
  <si>
    <t>AA1/16.10.2020 durata, ue, cb</t>
  </si>
  <si>
    <t xml:space="preserve">Obiectivul general al proiectului vizeaza Optimizarea proceselor orientate catre cetațenii municipiului Târgu Jiu prin introducerea de sisteme si standarde comune în administrația publica locala.
Obiectivele specifice ale proiectului
1. OS1. Mecanisme si proceduri standard implementate la nivelul municipiului Targu Jiu pentru fundamentarea deciziilor si planificarea
strategica pe termen lung
2. OS2. Îmbunatatirea cunostintelor si abilitatilor personalului din Primaria Municipiului Târgu Jiu în vederea implementarii de mecanisme
si proceduri pentru fundamentarea deciziilor si planificarea strategica
</t>
  </si>
  <si>
    <t>AA1/23.12.2019 durata</t>
  </si>
  <si>
    <t>AA2/06.09.2019                         AA4/ 21.08.2020 durata si buget    AA5/26.11.2020</t>
  </si>
  <si>
    <t>AA1/26.11.2020 durata</t>
  </si>
  <si>
    <t>Act aditional nr. 1 , AA2/21.10.2020 durata  AA3/26.11.2020 durata</t>
  </si>
  <si>
    <t xml:space="preserve">IP13/2019 (MySMIS:POCA/ 486/1/1) </t>
  </si>
  <si>
    <t>Consolidarea cooperării dintre Ministerul Lucrărilor Publice, Dezvoltării și Administrației și structurile asociative ale autorităților administrației publice locale</t>
  </si>
  <si>
    <t>1. AMR                                         2. UNCJR                                   3. ACoR                                      4. AOR</t>
  </si>
  <si>
    <t>AA1/3.12.2020 durata</t>
  </si>
  <si>
    <t>Autoritatea pentru Digitalizarea României</t>
  </si>
  <si>
    <t>Cadru strategic pentru adoptarea și
utilizarea de tehnologii inovative în administrația publică 2021-2027 – soluții pentru
eficientizarea activității</t>
  </si>
  <si>
    <t>Universitatea Tehnică
din Cluj - Napoca</t>
  </si>
  <si>
    <t>Obiectivul general al proiectului consta în realizarea unei analize nationale corelata cu strategiile internationale în vederea utilizarii de
tehnologii inovative cu scopul eficientizarii activitatii institutionale în relatia cu cetatenii, care reprezinta un demers natural în contextul
necesitatii definirii prioritatilor de finantare pentru România în perioada 2021-2027.
Obiectivele specifice ale proiectului
1. Dezvoltarea de sisteme si instrumente de management
2. Îmbunatatirea politicilor publice si cresterea calitatii reglementarilor</t>
  </si>
  <si>
    <t>Dezvoltarea capacităţii Ministerului Mediului,
Apelor și Pădurilor privind elaborarea politicilor şi măsurilor naţionale necesare în vederea
respectării angajamentelor naţionale de reducere a emisiilor de anumiţi poluanţi atmosferici
până în anul 2030</t>
  </si>
  <si>
    <t>ANPM</t>
  </si>
  <si>
    <t>Transparență si competență în sectorul public</t>
  </si>
  <si>
    <t>UNIVERSITATEA BABES
BOLYAI</t>
  </si>
  <si>
    <t xml:space="preserve">IP 18/2020 (MYSMIS: POCA/831/1/2) </t>
  </si>
  <si>
    <t>AA1/11.03.2020 AA2/9.12.2020 durata</t>
  </si>
  <si>
    <t>AA1/14.12.2020 durata</t>
  </si>
  <si>
    <t>Autoritatea Navală Română</t>
  </si>
  <si>
    <t>Creșterea capacității administrative a Autorității Navale Române pentru reducerea birocrației pentru cetățeni și mediul de afaceri</t>
  </si>
  <si>
    <t>Spre guvernarea digitală. Starea civilă electronică în cadrul Arhivelor Naționale ale României (eANR)</t>
  </si>
  <si>
    <t>IP20/2020 (MySMIS: POCA/897/1/1)</t>
  </si>
  <si>
    <t>Dezvoltarea unui Cadru Strategic Integrat în domeniul protecției sociale și ocupării forței de muncă</t>
  </si>
  <si>
    <t>Autoritatea pentru Administrarea Activelor Statului</t>
  </si>
  <si>
    <t>Sistem integrat de management pentru administrarea eficientă a activelor statului</t>
  </si>
  <si>
    <t>Oficiul Român pentru Drepturile de Autor</t>
  </si>
  <si>
    <t>eORDA – simplificarea procedurilor administrative și facilitarea serviciilor publice în mediul digital, în domeniul drepturilor de autor și conexe</t>
  </si>
  <si>
    <t>Autoritatea Națională pentru Protecția Consumatorilor</t>
  </si>
  <si>
    <t>Reducerea poverii administrative pentru cetățeni și mediul de afaceri în domeniul protecției consumatorilor</t>
  </si>
  <si>
    <t>Dezvoltarea capacităţii României ca stat donator de asistenţă oficială pentru dezvoltare şi asistenţă umanitară – instrument integrat RoAID: planificare, dezvoltare, implementare şi evaluare</t>
  </si>
  <si>
    <t>1.  AGENTIA DE COOPERARE
INTERNATIONALA PENTRU DEZVOLTARE                                   2. SNSPA</t>
  </si>
  <si>
    <t>Ministerul Culturii</t>
  </si>
  <si>
    <t>Viziune strategică și coerentă pentru sectorul cultural</t>
  </si>
  <si>
    <t>INCFC</t>
  </si>
  <si>
    <t>Strategia pentru managementul comunicării guvernamentale a României</t>
  </si>
  <si>
    <t>Asociatia ,,EUROCOMUNICARE"</t>
  </si>
  <si>
    <t>Obiectivul general urmarit prin proiect este imbunatatirea si abordarea unitara a comunicarii guvernamentale la nivelul administratiei
publice centrale din Romania, in vederea consolidarii capacitatii acesteia, precum si pentru asigurarea unei transparente sporite in
interiorul si exteriorul sistemului administrativ.
Obiectivele specifice ale proiectului
1. Analiza capacitatii institutionale privind comunicarea strategica la nivelul administratiei publice centrale din Romania
2. Creareaunui think tank care sa contribuie la dezvoltarea comunicarii guvernamentale
3. Elaborarea Strategiei pentru managementul comunicarii guvernamentale a Romaniei
4. Dezvoltarea nivelului de pregatire profesionala a personalului din administratia publica centrala</t>
  </si>
  <si>
    <t>Consolidarea sistemului de management prin implementarea Cadrului comun de autoevaluare (CAF) și sistemului de management al calității conform ISO 9001:2015</t>
  </si>
  <si>
    <t>Planificare strategică privind consolidarea rezilienţei în faţa dezinformării şi a ameninţărilor de tip hibrid</t>
  </si>
  <si>
    <t>Noi instrumente pentru strategia națională privind educația continuă a adulților din România - Edu-C-Ad</t>
  </si>
  <si>
    <t>Obiectivul general al proiectului consta în elaborarea „Strategiei Nationale pentru Educatia Continua a Adultilor 2021-2027”.
Obiectivele specifice ale proiectului
1. Diagnoza competentelor si abilitatilor cognitive cheie ale adultilor din România si a nevoilor lor de educatie continua.
2. Elaborarea Strategiei nationale pentru educatia continua a adultilor 2021-2027.
3. Elaborarea si înaintarea pe circuitul de avizare MEC a unei propuneri de act normativ pentru aprobarea Strategiei nationale
pentru educatia continua a adultilor 2021-2027.
4. Dezvoltarea cunostintelor si abilitatilor personalului MEC si MMPS, inclusiv structuri subordonate, pentru a raspunde problemelor
din domeniul educatiei continue a adultilor.</t>
  </si>
  <si>
    <t>AA1/23.12.2020 durata</t>
  </si>
  <si>
    <t>Ministerul Energiei</t>
  </si>
  <si>
    <t>Ministerul Economiei, Antreprenoriatului și
Turismului</t>
  </si>
  <si>
    <t>AA1/16.09.2019 durata              AA2/6.03.2020</t>
  </si>
  <si>
    <t xml:space="preserve">Ministerul Finanțelor </t>
  </si>
  <si>
    <t>Ministerul Dezvoltării, Lucrărilor Publice și Administrației</t>
  </si>
  <si>
    <t>Ministerul Investițiilor Și Proiectelor Europene/DGMRU-SACA</t>
  </si>
  <si>
    <t>Agenția Națională de Administrare Fiscală/Cabinet Secretar General</t>
  </si>
  <si>
    <t>Ministerul Afacerilor Interne/DGMRU</t>
  </si>
  <si>
    <t>Ministerul Agriculturii și Dezvoltării Rurale</t>
  </si>
  <si>
    <t>AA1/09.11.2018; AA2/09.08.2019;
AA3/18.12.2019   AA4/21.09.2020 durata AA5/22.01.2021 buget</t>
  </si>
  <si>
    <t>AA1/25.01.2021 durata</t>
  </si>
  <si>
    <t xml:space="preserve">                                                 AA1/08.12.2016; AA2/28.04.2017; AA3/18.01.2018; AA4/08.04.2019; AA5/19.03.2020; AA6/27.07.2020 durata; AA7/3.02.2021 durata si buget</t>
  </si>
  <si>
    <t>AA1/14.10.2020 durata AA2/8.02.2021 durata</t>
  </si>
  <si>
    <t>AA1/29.07.2020 AA2/11.02.2021 durata</t>
  </si>
  <si>
    <t>AA1/11.02.2021 durata</t>
  </si>
  <si>
    <t>Dezvoltarea sistemului electronic de management al cauzelor – ECRIS V</t>
  </si>
  <si>
    <t xml:space="preserve">1. PARCHETUL DE PE LÂNGA INALTA CURTE DE CASATIE                                    2. CONSILIUL SUPERIOR AL MAGISTRATURII </t>
  </si>
  <si>
    <t xml:space="preserve">IP19/2020 (MySMIS: POCA/837/2/3) </t>
  </si>
  <si>
    <t>AP2/11i /2.3</t>
  </si>
  <si>
    <t>AA1/12.02.2021 durata</t>
  </si>
  <si>
    <t>AA2/19.09.2019 AA3/22.02.2021 durata, ue, cb</t>
  </si>
  <si>
    <t>AA1/25.02.2021 durata</t>
  </si>
  <si>
    <t>Autoritatea Națională pentru Restituirea Proprietăților</t>
  </si>
  <si>
    <t>Creșterea capacității administrative a ANRP în vederea eficientizării procesului de restituire a proprietăților</t>
  </si>
  <si>
    <t>Ministerul Transporturilor și Infrastructurii</t>
  </si>
  <si>
    <t xml:space="preserve">Ministerul Energiei </t>
  </si>
  <si>
    <t>AA1/2.03.2021 durata</t>
  </si>
  <si>
    <t>Agenția Națională Antidrog</t>
  </si>
  <si>
    <t>Simplificarea procedurilor administrative și reducerea birocrației pentru mediul de afaceri în domeniul operațiunilor cu precursori de droguri (RNP)</t>
  </si>
  <si>
    <t>Ministrul Afacerilor Interne - Direcția Generală pentru Comunicații și Tehnologia Informației - Partener</t>
  </si>
  <si>
    <t>AA1/16.03.2021 durata</t>
  </si>
  <si>
    <t>E-ARM - Sistem de implementare și gestionare a bazelor de date din domeniul arme și explozivi și extindere sistemului bazei naționale de date precursori de explozivi</t>
  </si>
  <si>
    <t>Inspectoratul General al Poliției Române</t>
  </si>
  <si>
    <t>AA1/02.04.2019 PRELUNGIRE 10 LUNI AA2/9.04.2020 durata     AA3/7.10.2020 ue, bn AA4/19.03.2021 durata</t>
  </si>
  <si>
    <t>AA1/29.07.2020 durata si buget AA2/19.03.2021 durata si buget</t>
  </si>
  <si>
    <t>AA1/19.03.2021 durata</t>
  </si>
  <si>
    <t>AA1/25.03.2021 durata</t>
  </si>
  <si>
    <t>AA1/29.03.2021 durata</t>
  </si>
  <si>
    <t>AA1/1.04.2021 durata si bn si cb</t>
  </si>
  <si>
    <t>Ministerul Cercetarii, Inovarii si Digitalizarii</t>
  </si>
  <si>
    <t>AA1/12.04.2021 durata</t>
  </si>
  <si>
    <t>AA1/15.12.2020 durata AA2/15.04.2021 durata</t>
  </si>
  <si>
    <t>AA1/16.04.2021 durata</t>
  </si>
  <si>
    <t>AA1/19.04.2021 durata si buget</t>
  </si>
  <si>
    <t>AA1/22.03.2021 durata AA2/26.04.2021 durata</t>
  </si>
  <si>
    <t>AA1/26.04.2021 durata</t>
  </si>
  <si>
    <t>AA1/10.05.2021 durata</t>
  </si>
  <si>
    <t>AA1/5.05.2021 durata si buget</t>
  </si>
  <si>
    <t>Cresterea capacității sistemului CDI de a răspunde provocarilor globale. Consolidarea capacității
anticipatorii de elaborare a politicilor publice bazate pe dovezi</t>
  </si>
  <si>
    <t>AA1/24.05.2021 durata</t>
  </si>
  <si>
    <t>Omdrap nr. 5844/03.10.2018   OMDRAP/11.12.2020 Ordin 760/3.06.2021 durata</t>
  </si>
  <si>
    <t>AA1/3.06.2021 durata</t>
  </si>
  <si>
    <t>AA1/2.06.2021 durata</t>
  </si>
  <si>
    <t>AA1/22.08.2019   AA2/11.06.2021durata</t>
  </si>
  <si>
    <t>AA1/11.06.2021 buget</t>
  </si>
  <si>
    <t>AUTORITATEA NATIONALA PENTRU PERSOANELE CU DIZABILITĂȚI, COPII ȘI ADOPȚII</t>
  </si>
  <si>
    <t>AA1/17.06.2021 durata si ue+cb</t>
  </si>
  <si>
    <t>AA1/03.05.2017; AA2/28.06.2017; AA3/30.07.2018;  AA4/12.08.2019   AA5/8.10.2020 durata; AA6/23.06.2021 durata;</t>
  </si>
  <si>
    <t xml:space="preserve">1.  UNITATEA EXECUTIVA PENTRU FINANTAREA INVATAMANTULUI SUPERIOR, A CERCETARII,
DEZVOLTARII SI INOVARII/Centrul pentru Politici Publice in Invatamantul Superior, Stiinta, Inovare
si Antreprenoriat                                </t>
  </si>
  <si>
    <t>Ministerul Educației</t>
  </si>
  <si>
    <t>AA1/29.06.2020;  AA2/23.10.2020 ue, cb ; AA3/23.06.2021 durata</t>
  </si>
  <si>
    <t>Ordin nr. 794/14.06.2021 durata si buget</t>
  </si>
  <si>
    <t>AA1/1.07.2021 durata</t>
  </si>
  <si>
    <t>AA1/28.10.2019  AA2/1.07.2021 durata si ue, bn, cb, cp</t>
  </si>
  <si>
    <t>OMDRAP nr. 3247/25.11.2019/Actul adițional nr.2/25.11.2019, Omdlpd din 14.09.2020 durata si buget; Ordin 339/9/03/2021 buget; Ordin 973/8.07.2021 durata si buget</t>
  </si>
  <si>
    <t>AA1/19.08.2020 prelungire 3 luni AA2/14.07.2021 durata</t>
  </si>
  <si>
    <t>AA 1/12.03.2020 AA2/27.11.2020 ue, cb AA3/18.03.2021 buget AA4/20.07.2021 durata si cb si bn</t>
  </si>
  <si>
    <t>AA1/21.05.2021 duarata, bn, elimin partener, AA2/22.07.2021</t>
  </si>
  <si>
    <t>INA</t>
  </si>
  <si>
    <t>AA3/04.09.2019; suspendat din 09.04.2020 pt 2 luni AA5/22.09.2020 buget AA6/22.12.2020 buget si durata AA7/21.07.2021 durata</t>
  </si>
  <si>
    <t>AA1/28.07.2021 durata</t>
  </si>
  <si>
    <t>AA1/22.02.2021 AA2/5.08.2021 durata si ue, bn, cb</t>
  </si>
  <si>
    <t>AA6 /16.07.19   AA8/26.26.2020 Fonduri EU si CB                   AA9/10.08.2021 durata</t>
  </si>
  <si>
    <t>ASOCIATIA PENTRU IMPLEMENTAREA DEMOCRATIEI (pana pe 29 martie 2021)</t>
  </si>
  <si>
    <t>AA1/12.08.2021 durata</t>
  </si>
  <si>
    <t>IP 21/2021 (MySMIS: POCA/934/1/4)</t>
  </si>
  <si>
    <t>Dezvoltarea competențelor personalului
implicat în procesul de achiziții publice în administrația publică din România</t>
  </si>
  <si>
    <t>AA1/11.06.2021 durata AA2/23.08.2021 durata</t>
  </si>
  <si>
    <t>AA1/23.08.2021 durata</t>
  </si>
  <si>
    <t>AA1/25.08.2021 durata</t>
  </si>
  <si>
    <t>AA1/05.02.2021 durata AA2/25.08.2021 durata</t>
  </si>
  <si>
    <t>AA1/02.07.2020  durata AA2/26.08.2021 durata</t>
  </si>
  <si>
    <t>AA1/8.09.2021 durata</t>
  </si>
  <si>
    <t>AA1/7.09.2021 durata</t>
  </si>
  <si>
    <t>AA1/13.09.2021 durata</t>
  </si>
  <si>
    <t>AA1/18.03.2021 durata, buget AA2/13.09.2021 durata</t>
  </si>
  <si>
    <t>AA1/30.09.2020 buget AA2/22.02.2021 AA3/28.04.2021 buget  AA4/13.09.2021 durata</t>
  </si>
  <si>
    <t>AA1/14.09.2020 durata AA2/13.09.2021 durata si buget</t>
  </si>
  <si>
    <t>CP15less/2021</t>
  </si>
  <si>
    <t>Consolidarea capacitatii analitice a Municipiului Lugoj prin cresterea transparentei, eticii si integritatii
referitoare la prevenirea coruptiei</t>
  </si>
  <si>
    <t>Obiectivul general al proiectului consta in consolidarea capacitatii analitice a Municipiului Lugoj prin cresterea transparentei, eticii si
integritatii referitoare la prevenirea coruptiei, prin dezvoltarea de proceduri anticoruptie, inclusiv a unor masuri concrete si modalitati de
monitorizare permanenta a aplicarii acestora, corelate cu campanii sectoriale de informare publica in vederea cresterii gradului de
constientizare a cetatenilor si a nivelului de educatie anticoruptie in randul angajatilor din administratia publica locala.
Obiectivele specifice ale proiectului
1. OS 1 Dezvoltarea capacitatii analitice la nivelul administratiei publice locale din Municipiul Lugoj prin realizarea de actiuni
concrete si eficiente de combatere a coruptiei conform cerintelor HG 599/2018 si SR ISO 37001.
2. OS 2 Cresterea transparentei, eticii si integritatii referitoare la prevenirea coruptiei prin elaborarea unor proceduri anticoruptie,
precum si a unor masuri concrete si modalitati de monitorizare permanenta a aplicarii acestora.
3. OS 3 Cresterea gradului de constientizare si a nivelului de educatie anticoruptie in randul cetatenilor precum si dobandirea de
competente privind etica si integritatea pentru angajatii din administratia publica locala.</t>
  </si>
  <si>
    <t>AA1/17.09.2021 durata</t>
  </si>
  <si>
    <t>AA1/21.09.2021 durata</t>
  </si>
  <si>
    <t>AA1/12.08.2019               AA2/18.09.2020 durata si diminuare buget AA3/16.03.2021 durata AA4/17.09.2021 durata</t>
  </si>
  <si>
    <t>AA1/30.08.2021 prorata (ue, cb, bn)</t>
  </si>
  <si>
    <t>AA1/27.09.2021 durata</t>
  </si>
  <si>
    <t>AA1/29.09.2021 durata si ub, cb</t>
  </si>
  <si>
    <t>AA2/30.09.2020 durata, ue, cb                                AA3/4.10.2021 durata</t>
  </si>
  <si>
    <t>AA1/11.02.2021 durata AA2/7.10.2021 durata</t>
  </si>
  <si>
    <t>Integritatea, etica și transparența - condiție esențială pentru o administrație eficientă</t>
  </si>
  <si>
    <t>Integritate și transparență</t>
  </si>
  <si>
    <t>Sprijin pentru implementarea de instrumente anticorupție în administrația Județului Botoșani</t>
  </si>
  <si>
    <t>Județul Botoșani</t>
  </si>
  <si>
    <t xml:space="preserve"> Botoșani</t>
  </si>
  <si>
    <t>AA1/12.10.2021 durata</t>
  </si>
  <si>
    <t>Județul Satu Mare</t>
  </si>
  <si>
    <t>Creșterea transparenței, eticii și integrității în
administrația publică din județul Satu Mare</t>
  </si>
  <si>
    <t>Dezvoltarea si consolidarea capacitații administrative a instituției prin eficientizarea activitaților de prevenire si combatere a corupției în
administrația publica locala, promovarea eticii si integritații pentru îmbunatațirea performanțelor în activitate a cresterii transparenței în
procesului decizional, precum si îmbunatațirea cunostințelor si a competențelor personalului si alesilor locali.
Obiectivele specifice ale proiectului
1. 1. OS 1 - Cresterea gradului de implementare a masurilor de prevenire a corupției si a indicatorilor de evaluare.
2. OS 2 - Cresterea gradului de constientizare a efectelor corupției la nivelul personalului din administrația publica locala
cât si în rândul cetațenilor.
3. OS 3 - Îmbunatațirea cunostințelor si a competențelor personalului si alesilor locali în ceea ce priveste masurile
anticorupție</t>
  </si>
  <si>
    <t>Etică și integritate în administrația locală a Municipiului Focșani</t>
  </si>
  <si>
    <t>Consolidarea capacitatii analitice a Municipiului 
Câmpina prin creșterea transparenței, eticii și integrității referitoare la prevenirea corupției</t>
  </si>
  <si>
    <t>Obiectivul general al proiectului consta in consolidarea capacitatii analitice a Municipiului Campina prin cresterea transparentei, eticii si
integritatii referitoare la prevenirea coruptiei, prin dezvoltarea de proceduri anticoruptie, inclusiv a unor masuri concrete si modalitati de
monitorizare permanenta a aplicarii acestora, corelate cu campanii sectoriale de informare publica in vederea cresterii gradului de
constientizare a cetatenilor si a nivelului de educatie anticoruptie in randul angajatilor din administratia publica locala.
Obiectivele specifice ale proiectului
1. OS 1 Dezvoltarea capacitatii analitice la nivelul administratiei publice locale din Municipiul Campina prin realizarea de actiuni
concrete si eficiente de combatere a coruptiei conform cerintelor HG 599/2018 si SR ISO 37001.
2. OS 2 Cresterea transparentei, eticii si integritatii referitoare la prevenirea coruptiei prin elaborarea unor proceduri anticoruptie,
precum si a unor masuri concrete si modalitati de monitorizare permanenta a aplicarii acestora
3. OS 3 Cresterea gradului de constientizare si a nivelului de educatie anticoruptie in randul cetatenilor precum si dobandirea de
competente privind etica si integritatea pentru angajatii din administratia publica locala</t>
  </si>
  <si>
    <t>Campina</t>
  </si>
  <si>
    <t>Creșterea gradului de implementare a măsurilor 
anticorupție în Municipiul Brad</t>
  </si>
  <si>
    <t>Creşterea gradului de implementare a măsurilor anticorupţie la nivelul Municipiului Brad, prin intermediul unor activităţi care vizează
identificarea riscurilor si vulnerabilităţilor la corupţie, realizarea de mecanisme si proceduri anticorupţie si aplicarea unitara a acestora,
realizarea unor mecanisme de cooperare cu societatea civila, precum si îmbunătăţirea cunoştinţelor si a competentelor personalului
propriu.
Obiectivele specifice ale proiectului
1. OS 1 - Creşterea gradului de implementare a măsurilor de prevenire a corupţiei şi a indicatorilor de evaluare.
2. OS 2 - Creşterea gradului de conştientizare a efectelor corupţiei la nivelul personalului din administraţia publică locală cât şi în
rândul cetăţenilor.
3. OS 3 - Îmbunătăţirea cunoştinţelor şi a competenţelor personalului şi aleşilor locali în ceea ce priveşte măsurile anticorupţie.</t>
  </si>
  <si>
    <t>Transparență, etică și integritate în administrația publică din Județul Brăila</t>
  </si>
  <si>
    <t>Direcția Generală Anticorupție</t>
  </si>
  <si>
    <t>Dezvoltarea si consolidarea capacitatii administrative prin eficientizarea masurilor de asigurare a transparentei, eticii si integritatii la
nivelul administratiei publice din Judetul Braila
Obiectivele specifice ale proiectului
1. Cresterea capacitatii administrative a UAT Judetul Braila in domeniul transparentei, eticii si integritatii prin implementarea
sistemului de management anti-mita ISO 37001
2. Cresterea gradului de constientizare a efectelor coruptiei prin desfasurarea unei campanii de constientizare publica la nivelul
Judetului Braila
3. Promovarea transparentei, eticii si integritatii in exercitarea functiei publice prin imbunatatirea cunostintelor si competentelor
personalului Consiliului Judetean Braila si al institutiilor subordonate</t>
  </si>
  <si>
    <t>Măsuri active de prevenire a corupției prin acțiuni de educare și conștientizare la nivel instituțional la nivelul județului Prahova</t>
  </si>
  <si>
    <t>Creșterea transparenței, eticii și integrității la nivelul județului Constanța</t>
  </si>
  <si>
    <t>Direcția Generală Anticorupție/ Unitatea de implementare a proiectelor</t>
  </si>
  <si>
    <t>AA1/26.10.2021 buget</t>
  </si>
  <si>
    <t>AA4 /17.02.2020 AA5/20.10.2020 durata, buget                    AA6/9.06.2021 durata  AA7/27.10.2021 durata</t>
  </si>
  <si>
    <t>AA1/09.03.2021 durata   AA2/27.10.2021 durata</t>
  </si>
  <si>
    <t>Implementarea măsurilor anticorupție la nivelul
UAT Municipiul Hunedoara</t>
  </si>
  <si>
    <t>Consolidarea capacității Municipiului Cluj-Napoca în implementarea măsurilor anticorupție</t>
  </si>
  <si>
    <t>Dezvoltarea si consolidarea capacitatii administrative a Municipiului Cluj-Napoca prin eficientizarea activitatilor de prevenire si combatere a coruptiei în administratia publica locala, promovarea eticii si integritatii pentru îmbunatatirea performantelor în activitate, cresterea transparentei în procesului decizional, precum si îmbunatatirea cunostin?elor si a competentelor personalului si alesilor locali.
Obiectivele specifice ale proiectului
1. 1. OS 1 - Cresterea gradului de implementare a masurilor de prevenire a coruptiei si a indicatorilor de evaluare.
2. OS 2 - Cresterea gradului de constientizare a efectelor coruptiei la nivelul personalului din administratia publica locala cât si în
rândul cetatenilor.
3. OS 3 - Îmbunatatirea cunostintelor si a competentelor personalului si alesilor locali în ceea ce priveste masurile anticoruptie</t>
  </si>
  <si>
    <t>AA1/15.02.2021 durata AA4/29.10.2021 durata</t>
  </si>
  <si>
    <t>Municipiul Sighetu Marmației</t>
  </si>
  <si>
    <t>Etică și integritate în Municipiul Sighetu
Marmației</t>
  </si>
  <si>
    <t>Sighetu Marmației</t>
  </si>
  <si>
    <t>Municipiul Miercurea Ciuc</t>
  </si>
  <si>
    <t>Prevenirea corupției la Primăria Miercurea Ciuc</t>
  </si>
  <si>
    <t>Miercurea Ciuc</t>
  </si>
  <si>
    <t>Integritate, etică și strategie anticorupție în Municipiul Roșiori de Vede</t>
  </si>
  <si>
    <t>Obiectiv general: Prevenirea coruptiei, cresterea transparentei, eticii si integritatii in cadrul institutiei UAT Municipiul Rosiorii de Vede prin
implementarea unor masuri de prevenire a coruptiei, aplicarea unitara a mecanismelor, procedurilor si normelor de etica si integritate si
imbuntatirea cunostintelor si competentelor in ceea ce priveste prevenirea coruptiei.
Obiectivele specifice ale proiectului
1. OS1:Cresterea nivelului de integritate si rezistenta la riscurile generate de corup?ie în cadrul UAT Municipiul Rosiorii de Vede prin
realizare de documente specifice.
2. OS2: Cresterea gradului de constientizare a riscurilor generate de corup?ie atât în rândul ceta?enilor cât si al personalului din
administratia publica.
3. OS3: Cresterea gradului de pregatire profesionala a personalului din cadrul Primariei Rosiorii de Vede.</t>
  </si>
  <si>
    <t>Sprijinirea măsurilor referitoare la prevenirea
corupției la nivelul Primăriei Municipiului Onești</t>
  </si>
  <si>
    <t>INTEGRITATEA DE LA A LA Z</t>
  </si>
  <si>
    <t>Oltenița</t>
  </si>
  <si>
    <t>Imbunatatirea capacitatii administrative a Primariei Municipiului Oltenita si Serviciilor/Directiilor publice aflate in subordinea Consiliului Local al Municipiului Oltenita de a creste integritatea si preveni coruptia, prin dezvoltarea si implementarea unor masuri de prevenire si diminuare a coruptiei.
Obiectivele specifice ale proiectului
1. Cresterea nivelului de integritate si rezistenta la riscurile generate de coruptie in cadrul UAT Municipiul Oltenita si
Serviciile/Directiile subordonate Consiliului Local al Municipiului Oltenita
2. Cresterea gradului de constientizare a riscurilor generate de coruptie la nivelul personalului din Primaria municipiului Oltenita si
Directiilor subordonate Consiliului Local, precum si al cetatenilor.                                                                                                         3.Cresterea gradului de pregatire profesionala a personalului din cadrul Primariei municipiului Oltenita, Serviciilor/Directiilor
subordonate Consiliului Local al Municipiului Oltenita si alesilor locali, in ceea ce priveste prevenirea coruptiei.</t>
  </si>
  <si>
    <t>Măsuri pentru creșterea transparenței, eticii și integrității la Primăria Municipiului Brașov</t>
  </si>
  <si>
    <t>AA1/10.01.2020                       AA2/29.09.2020 durata si buget AA3/12.04.2021 durata  AA4/3.11.2021 durata</t>
  </si>
  <si>
    <t>AA1/3.11.2021 durata si buget</t>
  </si>
  <si>
    <t>COMPATRIOT - COmunitate iMPlicAtă împoTRIva cOrupȚiei</t>
  </si>
  <si>
    <t>Obiectivul general al proiectului consta in cresterea transparentei, eticii si integritatii in cadrul Primariei Municipiului Reghin si a entitatilor subordonate, in concordanta cu procesul de eficientizare a serviciilor publice locale si a principiilor unei mai bune legiferari si a bunei guvernante.
Obiectivele specifice ale proiectului
1. OS1 - Constientizarea opiniei publice din Municipiul Reghin cu privire la problemele generate de fenomenul coruptiei la nivel local.
Prin actiuni online si offline, minim 4000 de persoane vor avea o interactiune cu proiectul.
2. OS2 - Imbunatatirea cunostintelor si competentelor pentru 25 de angajati ai UAT Reghin in ceea ce priveste prevenirea si
combaterea coruptiei, prin facilitarea accesului la programe de formare profesionala.
3. OS3 - Dezvoltarea instrumentelor informatice de sondaj a populatiei si monitorizare a riscurilor de coruptie in Municipiul Reghin,
prin elaborarea si implementarea unor mecanisme moderne de cooperare cu societatea civila pentru monitorizarea si evaluarea
implementarii masurilor anticoruptie.</t>
  </si>
  <si>
    <t>Implementarea unor măsuri anticorupție la nivelul UAT Municipiul Râmnicu Vâlcea</t>
  </si>
  <si>
    <t>AA1/5.11.2021 durata</t>
  </si>
  <si>
    <t>Consolidarea capacității analitice a
Municipiului Medgidia prin creșterea transparenței, eticii și integrității referitoare la
prevenirea corupției</t>
  </si>
  <si>
    <t>Obiectivul general al proiectului consta in consolidarea capacitatii analitice a Municipiului Medgidia prin cresterea transparentei, eticii si integritatii referitoare la prevenirea coruptiei, prin dezvoltarea de proceduri anticoruptie, inclusiv a unor masuri concrete si modalitati de monitorizare permanenta a aplicarii acestora, corelate cu campanii sectoriale de informare publica in vederea cresterii gradului de constientizare a cetatenilor si a nivelului de educatie anticoruptie in randul angajatilor din administratia publica locala.
Obiectivele specifice ale proiectului
1. OS 1 Dezvoltarea capacitatii analitice la nivelul administratiei publice locale din Municipiul Medgidia prin realizarea de actiuni
concrete si eficiente de combatere a coruptiei conform cerintelor HG 599/2018 si SR ISO 37001.
2. OS 2 Cresterea transparentei, eticii si integritatii referitoare la prevenirea coruptiei prin elaborarea unor proceduri anticoruptie,
precum si a unor masuri concrete si modalitati de monitorizare permanenta a aplicarii acestora.
3. OS 3 Cresterea gradului de constientizare si a nivelului de educatie anticoruptie in randul cetatenilor precum si dobandirea de
competente privind etica si integritatea pentru angajatii din administratia publica locala.</t>
  </si>
  <si>
    <t>Mecanisme eficiente în vederea prevenirii corupției în administrația județului Brașov</t>
  </si>
  <si>
    <t>AA1/26.05.2020 durata AA3/17.05.2021 durata AA4/15.11.2021 durata</t>
  </si>
  <si>
    <t>AA1/14.05.2020 fse, bn si cp                     AA2/18.11.2021 durata si Bn, cb, cp</t>
  </si>
  <si>
    <t>Județul Vâlcea - Pro integritate!</t>
  </si>
  <si>
    <t>Dezvoltarea capacitatii institutionale a Consiliului Judetean Vâlcea de a creste integritatea si a reduce vulnerabilitatile la coruptie, prin
cresterea gradului de implementare a masurilor referitoare la prevenirea coruptiei prevazute în Planul de integritate al Consiliului Judetean Vâlcea, îmbunatatirea cunostintelor si a competentelor personalului din cadrul institutiei în domeniul prevenirii coruptiei, transparentei, eticii si integritatii, precum si prin cresterea nivelului de constientizare si educatie al personalului din cadrul institutiilor si autoritatile publice locale, alesilor locali si a cetatenilor judetului Vâlcea.
Obiectivele specifice ale proiectului
1. Cresterea gradului de implementare a masurilor referitoare la prevenirea coruptiei si a indicatorilor de evaluare în cadrul
Consiliului Judetean Vâlcea, prin implementarea metodologiei de identificare a riscurilor si vulnerabilitatilor la coruptie,
dezvoltarea procedurilor operationale/de sistem specifice si implementarea si certificarea standardului anti-mita ISO 37001. 
2. Cresterea gradului de constientizare a coruptiei atât în rândul cetatenilor cât si al personalului din administratia publica din judetul
Vâlcea, prin realizarea unui sondaj referitor la perceptia publica privind coruptia în judetul Vâlcea, organizarea unei campanii de
constientizare a publicului, elaborarea si distribuirea unui ghid de bune practici privind prevenirea coruptiei, a incidentelor de
integritate si a conflictelor de interese.
3. Cresterea nivelului de educatie anticoruptie în rândul personalului din cadrul Consiliului Judetean Vâlcea, prin organizarea de
cursuri de formare profesionala în domeniul prevenirii coruptiei, transparentei, eticii si integritatii.</t>
  </si>
  <si>
    <t>ISPAM – Instrumente Standardizate și Proceduri Anti Mită pentru UAT Județul Neamț</t>
  </si>
  <si>
    <t>Cresterea transparentei, integritatii, reducerea vulnerabilitatilor si prevenirea riscurilor de coruptie in cadrul U.A.T Judetul Neamt prin
implementarea unui sistem integrat, inovator si flexibil de prevenire a coruptiei, constituit din instrumente si proceduri anticoruptie
standardizate, imbunatatirea cunostintelor si a competentelor personalului si actiuni de comunicare cu societatea civila si alte
autoritati/institutii publice.
Obiectivele specifice ale proiectului
1. OS 1 Reducerea vulnerabilitatii la coruptie prin implementarea standardului ISO37001 in cadrul U.A.T. Judetul Neamt
2. OS 2 Cresterea nivelului de educatie anticoruptie in randul personalului de conducere si de executie din cadrul U.A.T. Judetul
Neamt, institutiilor si serviciilor publice subordonate, prin organizarea de cursuri de formare in domeniul prevenirii coruptiei
3. OS 3 Dezvoltarea si implementarea unui mecanism de cooperare cu societatea civila pentru eficientizarea, monitorizarea si
evaluarea implementarii masurilor anticoruptie la nivelul U.A.T Judetul Neamt</t>
  </si>
  <si>
    <t>Municipiul Târgoviște alege integritatea!</t>
  </si>
  <si>
    <t>Municipiul Târgoviște</t>
  </si>
  <si>
    <t>AA1/28.07.2021 durata  AA2/22.11.2021 durata</t>
  </si>
  <si>
    <t>AA1/21.05.2021 durata AA2/18.11.2021 suspendare proiect 12 luni</t>
  </si>
  <si>
    <t>Promovarea principiilor de etică, transparență și
integritate la nivelul UAT Orșova</t>
  </si>
  <si>
    <t>Asociația pentru
Implementarea
și Dezvoltarea
Culturii
Antreprenoriale</t>
  </si>
  <si>
    <t>Sprijinirea masurilor de prevenire a coruptiei la nivelul UAT Orsova.
Obiectivele specifice ale proiectului
1. OS1: Aplicarea unitara a normelor, mecanismelor si procedurilor in materie de etica si integritate la nivelul UAT Orsova
2. OS2: Cresterea gradului de implementare a masurilor referitoare la prevenirea coruptiei si a indicatorilor de evaluare in autoritatile
si institutiile publice
3. OS3: Imbunatatirea cunostintelor si a competentelor personalului din UAT Orsova in ceea ce priveste prevenirea coruptiei</t>
  </si>
  <si>
    <t>Dezvoltarea măsurilor referitoare la prevenirea corupției în Municipiul Toplița</t>
  </si>
  <si>
    <t>Obiectivul general al proiectului consta in cresterea transparentei, eticii si integritatii in cadrul Municipiului Toplita, in concordanta cu
procesul de eficientizare a serviciilor publice locale si a principiilor unei mai bune legiferari si a bunei guvernante.
Obiectivele specifice ale proiectului
1. OS1 - Constientizarea opiniei publice din Municipiul Toplita cu privire la problemele generate de fenomenul coruptiei in autoritatile
publice locale. Prin actiuni online si offline, minim 2000 de persoane vor avea o interactiune cu proiectul.
2. OS2 - Imbunatatirea cunostintelor si competentelor pentru 50 de angajati ai UAT Toplita in ceea ce priveste prevenirea si
combaterea coruptiei, prin facilitarea accesului la programe de formare profesionala.
3. OS3 - Imbunatatirea procedurilor operationale din cadrul UAT Toplita cu privire la masurile preventive anticoruptie.</t>
  </si>
  <si>
    <t>Dezvoltarea capacității de administrare a datoriei publice guvernamental prin utilizarea instrumentelor financiare derivate</t>
  </si>
  <si>
    <t>Obiectivul General al proiectului este ca, prin dezvoltarea unui set de instrumente în domeniul costurilor şi al calităţii în sănătate şi a cadrului unitar de utilizare a acestora, să sprijine procesul de elaborare şi implementare a politicilor de sănătate bazate pe dovezi, contribuind astfel, la îmbunătăţirea calităţii şi performanţei serviciilor spitaliceşti din România.
Obiectivele specifice ale proiectului
1. Sistematizarea procesului de colectare şi prelucrare a datelor utilizate pentru calculul costurilor serviciilor spitaliceşti în
România, prin elaborarea şi implementarea instrumentelor unitare, necesare în analiza şi evaluarea serviciilor de sănătate.
2. Elaborarea şi adoptarea unor standarde de cost pentru primele 20 cele mai frecvente patologii - cazuri internate în
regim de spitalizare continuă, ceea ce va permite consolidarea capacităţii administrative de planificare strategică şi financiară la
nivelul sistemului de sănătate.
3. Sistematizarea şi simplificarea actelor normative incidente în domeniul calităţii serviciilor de sănătate.</t>
  </si>
  <si>
    <t>Obiectiv general: Simplificarea procedurilor administrative la nivelul Municipiului Alba Iulia, pentru diverse categorii de beneficiari, in corespondenta cu Planul integrat pentru simplificarea procedurilor administrative aplicabile cetatenilor, in termen de 22 luni.                                                                      OS1. Dezvoltarea unei solutii informatice de facilitare a accesului on-line, a diferitelor categorii de beneficiari, la servicii furnizate exclusiv de administratia publica locala, la nivelul Municipiului Alba Iulia, in termen de 18 luni de la initierea procesului.
OS2. Imbunatatirea performantelor la nivelul Municipiului Alba Iulia, prin dezvoltarea abilitatilor de furnizare si promovare a unor servicii publice de calitate, a 75 de persoane, angajati si alesi locali ce vor participa la 1 Curs de pregatire a personalului in vederea promovarii serviciilor oferite de administratia publica locala, in termen de 22 luni.</t>
  </si>
  <si>
    <t>Sustinerea implementarii unui management performant la nivelul Municipiului Alba Iulia, in corespondenta cu Strategia de Consolidare a Administratiei Publice, in termen de 24 luni.                                                                                                                                                                                       OS1. Elaborarea si implementarea unui numar de 2 strategii de planificare pe termen lung, la nivelul Municipiului Alba Iulia, in termen de 15 luni de la initierea procesului.                                                                                                                                                                                                                        OS2.Dezvoltarea si implementarea la nivelul Municipiului Alba Iulia, a 2 mecanisme de colaborare si consultare cu actori relevanti pentru sustinerea dezvoltarii locale, in termen de 12 luni de la initierea procesului.</t>
  </si>
  <si>
    <t>Obiectivul general al proiectului/Scopul proiectului
Planificare strategica si implementarea de masuri care vizeaza adaptarea structurii administrative existente, optimizarea proceselor
orientate catre cetateni, precum si infiintarea si utilizarea centrului de inovare si imaginatie civica în planificarea strategica a proceselor de
inovare sociala, pentru cresterea transparentei decizionale si simplificarea procedurilor oferite cetatenilor municipiului Blaj.
Obiectivele specifice ale proiectului
 1. Elaborarea documentelor strategice ce vor sta la baza obţinerii finanţărilor din politica de coeziune aferente perioadei 2021-
2027, inclusiv Strategia integrată de dezvoltare urbană (SIDU), şi Planul de mobilitate urbană durabilă (PMUD).
Obiectivul specific presupune elaborarea Strategiei integrate de dezvoltare urbană si a Planului de mobilitate urbană durabilă,
documente care vor sta la baza obţinerii finanţărilor din politica de coeziune aferente perioadei 2021-2027. In plus, se vor elabora
o serie de studii, cercetări de piaţă, analize si strategii pe domenii specifice de dezvoltare locala, care vor fundamenta deciziile
UAT Municipiul Blaj pe termen lung.
2. Infiintarea Centrului de Inovare si Imaginatie Civica (CIIC) si dezvoltarea mecanismelor în vederea optimizarii proceselor
decizionale orientate catre cetateni si mediul de afaceri din Municipiul Blaj.
Obiectivul specific propune infiintarea CIIC si implementarea de mecanisme de colaborare si consultare între actorii relevanti pe
domenii specifice de competenta pentru sustinerea dezvoltarii la nivel local.
3. Dezvoltarea si implementarea unui sistem electronic de digitalizare si simplificare a serviciilor publice oferite cetatenilor
Municipiului Blaj, tinand cont de competentele partajate ale acestuia cu autoritatile administratiei publice centrale, prin
implementarea sistemului informatic geospatial (GIS).
Obiectivul specific asigura sustinerea de masuri de simplificare, furnizate de UAT Municipiul Blaj prin competente partajate cu
autoritatile administratiei publice centrale.
4. Retro-digitalizarea documentelor din arhiva si crearea infrastructurii necesare arhivarii electronice a documentelor tradiţionale
existente în arhiva instituţiei, care prezintă valoare operaţională în prezent.
Obiectivul presupune crearea unei arhive de copii digitale ale documentelor tradiţionale existente în arhiva instituţiei, care prezintă
valoare operaţională în prezent. Se vor arhiva electronic documentele institutiei cu termen de pastrare de peste 4 ani, dar nu mai
vechi de 10 ani.
5. Formarea/instruirea functionarilor publici si contractuali, inclusiv a factorilor de decizie la nivel politic, în planificare strategica si
utilizarea instrumentelor digitale.</t>
  </si>
  <si>
    <t>Obiectivul general al proiectului/Scopul proiectului
Optimizarea activităţii la nivelul Consiliului Judeţean Arad prin introducerea sistemului de management al calităţii ISO 9001.
Obiectivele specifice ale proiectului
1. OS1 Implementarea sistemului de management al calităţii şi obţinerea certificării ISO 9001
OS2 Îmbunătăţirea cunoştinţelor şi abilităţilor angajaţilor Consiliului Judeţean Arad, prin instruirea si diseminarea rezultatelor în
urma implementării standardelor ISO 9001, care să asigure o mai bună administrare a patrimoniului judeţului şi organizarea mai
eficientă.</t>
  </si>
  <si>
    <t>ePS2 - Servicii online pentru cetateni</t>
  </si>
  <si>
    <t>Imbunatatirea capacitatii administrative a Consiliului Judetean Constanța</t>
  </si>
  <si>
    <t>“Corectitudine, legalitate, etică într-o
administrație publică responsabilă (CLEAR)”</t>
  </si>
  <si>
    <t>Obiectivul general al proiectului/Scopul proiectului
Obiectivul general al proiectului este creşterea transparenţei actului administrativ în Municipiul Vaslui prin implementarea de mecanisme şi
măsuri de prevenire a fenomenului de corupţie, pregătirea personalului din cadrul instituţiei şi informarea cetăţenilor privind coruptia.
Obiectivul este în concordanţa cu obiectivele axei prioritare 2 din POCA în care sunt sprijinite autorităţile şi instituţiile publice locale să-si
dezvolte şi să implementeze un sistem de management performant prin intermediul obiectivului specific 2.2 „Creşterea transparenţei ,
eticii şi integrităţii în cadrul autorităţilor şi instituţiilor publice”.
Prezentul obiectiv este de asemenea în deplina concordanţă şi cu obiectivele generale ale Municipiului Vaslui, care urmareste să-si
îmbunătăţească activitatea orientată către cetăţean, să-si eficientizeze rezultatele obţinute, să-şi îmbunătăţească continuu imaginea astfel
încât să poată raspunde cât mai eficient cerinţelor şi asteptărilor cetaţenilor municipiului Vaslui.
Prin îndeplinirea acestui obiectiv se va genera un efect pozitiv pe termen lung asupra tuturor factorilor implicaţi (personal propriu, aleşi
locali, instituţii aflate în coordonare/ subordonare, instituţii partenere, persoane fizice şi persoane juridice şi alte instituţii relevante locale
sau centrale prin oferirea de servicii în condiţii de maximă transparenţă şi legalitate.
Obiectivele specifice ale proiectului
1. OS1 Sprijinirea Municipiului Vaslui pentru dezvoltarea unui sistem unitar de etică, integritate şi prevenire a corupţiei prin
elaborarea şi adoptarea de proceduri operaţíonale, ghiduri şi instrumente suport.
2. OS2 Îmbunătăţirea cunoştinţelor şi competenţelor personalului din administraţia Municipiului Vaslui în ceea ce priveşte prevenirea
corupţiei .
3. OS3 Informarea şi conştientizarea personalului si cetăţenilor din Municipiul Vaslui cu privire la impactul fenomenului corupţiei.</t>
  </si>
  <si>
    <r>
      <t>FEDERA</t>
    </r>
    <r>
      <rPr>
        <sz val="12"/>
        <color theme="1"/>
        <rFont val="Calibri"/>
        <family val="2"/>
        <scheme val="minor"/>
      </rPr>
      <t>ŢIA NAŢIONALĂ A SINDICATELOR MUNCII ȘI PROTECŢIEI SOCIALE</t>
    </r>
  </si>
  <si>
    <t>Obiectivul general al proiectului il constituie imbunatatirea managementului calitatii si performantei serviciilor publice la nivelul Municipiului Alba Iulia.
Obiectivele specifice ale proiectului:
OS.1 Proiectarea, implementarea unui sistem de management al calitatii si obtinerea certificarii ISO 9001 2015 pentru Municipiul Alba Iulia
OS.2 Cresterea performantei serviciilor publice adresate cetatenilor Municipiului Alba Iulia prin extinderea platformei de proximitate bazata pe beaconi pe parcursul a 12 luni.</t>
  </si>
  <si>
    <t>Integritatea - conditie esentiala pentru o
administratie eficienta</t>
  </si>
  <si>
    <t>BI Smart Alba Iulia</t>
  </si>
  <si>
    <t>Consolidarea capacității administrative locale prin planificare strategică eficientă</t>
  </si>
  <si>
    <t>PRO-CERTIF – dezvoltarea și utilizarea sustenabilă a managementului calității în administraţia publică băcăuană</t>
  </si>
  <si>
    <t>Sprijinirea mdunicipiului Bacău pentru asigurarea managementului performantei și calității</t>
  </si>
  <si>
    <t>Îmbunatatirea procesului decizional si reducerea birocratiei la nivelul Consiliului Judeþean Brasov</t>
  </si>
  <si>
    <t>Planificare Strategică Integrată și administrație publică eficientă la nivelul Polului de Creștere Zona Metropolitană Constanța</t>
  </si>
  <si>
    <t>CIVIC - CONSULTARE, INOVARE, VOLUNTARIAT, INFORMATIZARE ȘI COMUNICARE ÎN MUNICIPIUL BĂILEȘTI</t>
  </si>
  <si>
    <t>Centru de inovație și excelență în domeniul politicilor publice de tineret</t>
  </si>
  <si>
    <t>Zero birocrație - mecanism integrat de identificare si simplificare a sarcinilor administrative pentru mediul de afaceri si pentru cetațeni</t>
  </si>
  <si>
    <t>Implicare civică pentru formularea propunerilor alternative de politici publice în educație</t>
  </si>
  <si>
    <t>Politici Publice in Economie Sociala - P.P.E.S</t>
  </si>
  <si>
    <t>RePas - Responsabilitate si parteneriat pentru sănătate</t>
  </si>
  <si>
    <t>Societatea civilă dezvoltă politici publice</t>
  </si>
  <si>
    <t>Implicare, colaborare şi sprijin reciproc pentru un viitor mai bun al tinerilor!</t>
  </si>
  <si>
    <t>STAND UP - Creșterea participării și rolului societății civile în influențarea și îmbunătățirea politicilor publice</t>
  </si>
  <si>
    <t>VALUEMED - Elaborarea de politici publice în domeniul sănătății prin utilizarea studiilor de evaluare a tehnologiilor medicale</t>
  </si>
  <si>
    <t>ALTERNATIVe</t>
  </si>
  <si>
    <t>Reteaua Nationala a Organismélór Rome RNOR</t>
  </si>
  <si>
    <t>Creșterea capacității ONG-urilor de a formula și promova propuneri alternative la politicile publice inițiate de Guvern în domeniul egalității de șanse între femei și bărbați</t>
  </si>
  <si>
    <t>Romanian Urban Index – Sistem independent de monitorizare al serviciilor publice</t>
  </si>
  <si>
    <t>LINC - creșterea capacității administrației publice centrale în prevenirea și identificarea cazurilor de conflicte de interese, incompatibilității și averi nejustificate</t>
  </si>
  <si>
    <t>Servicii sociale pentru fiecare vârstnic – pachet de achiziții de servicii în fiecare comunitate</t>
  </si>
  <si>
    <t>Acces egal la educatie pentru minoritațile
etnice din România</t>
  </si>
  <si>
    <t xml:space="preserve">AA1/24.11.2021 durata si buget </t>
  </si>
  <si>
    <t>AA1/26.10.2021 durata AA2/26.11.2021 durata</t>
  </si>
  <si>
    <t xml:space="preserve"> Județul Dolj</t>
  </si>
  <si>
    <t>Pașcani</t>
  </si>
  <si>
    <t xml:space="preserve">Municipiul Târnăveni </t>
  </si>
  <si>
    <t>Piatra Neamț</t>
  </si>
  <si>
    <t>Vrancea</t>
  </si>
  <si>
    <t>AA1/6.12.2021 durată</t>
  </si>
  <si>
    <t>MINISTERUL ECONOMIEI</t>
  </si>
  <si>
    <t>Județul Bistriţa-Năsăud</t>
  </si>
  <si>
    <t>Conștientizare, formare, responsabilizare pentru
prevenirea corupției</t>
  </si>
  <si>
    <t>Direcția
Generală
Anticorupție</t>
  </si>
  <si>
    <t>Obiectivul general al proiectului este cresterea gradului de constientizare al pericolului pe care îl reprezinta actul de coruptie în rândul
functionarilor publici din cadrul Consiliului Judetean Bistrita-Nasaud, prin implementarea unor masuri de prevenire a coruptiei, aplicarea
mecanismelor, procedurilor si normelor de etica si integritate, precum si îmbunatatirea cunostintelor si competentelor în ceea ce priveste
prevenirea coruptiei.
Obiectivele specifice ale proiectului
1. OS 1: Implementarea a 3 proceduri operationale aplicabila in cadrul CJ BN cat si in cadrul autoritatilor si institutiilor locale aflate in
subordinea, sub autoritatea sau coordonarea CJ BN in vederea cresterii integritatii si reducerii vulnerabilitatii la coruptie
2. OS 2: Cresterea gradului de constientizare a coruptiei atât în rândul cetatenilor cât si al personalului din cadrul Consiliului
Judetean Bistrita-Nasaud
3. OS 3:Cresterea gradului de educatie anticoruptie pentru un numar de 90 de persoane, personal de conducere si de executie din
cadrul Consiliului Judetean Bistrita-Nasaud si consilieri judeteni prin organizarea de cursuri de instruire/formare profesionala, in
domeniul prevenirii coruptiei, eticii si integritatii
4. OS 4: Implementarea sistemului de management anti-mita conform Standardului ISO 37001</t>
  </si>
  <si>
    <t>AA1/27.06.2019 buget               AA2/04.02.2020  buget AA3/14.07.2020 durata AA4/12.04.2021 durata</t>
  </si>
  <si>
    <t>AA1/11.06.2021 durata AA2/9.12.2021 durata</t>
  </si>
  <si>
    <t>AA1/23.12.2020 durata AA2/9.12.2021 durata</t>
  </si>
  <si>
    <t>AA1/26.11.2020 durata AA2/9.12.2021 durata</t>
  </si>
  <si>
    <t>Ministerul Muncii și Solidarității Sociale</t>
  </si>
  <si>
    <t>AA1/15.12.2021 durata</t>
  </si>
  <si>
    <t>AA1/13.12.2021 durata, buget (ue, cb)</t>
  </si>
  <si>
    <t>RISE - cReștem Integritatea, tranSparența și Etica în administrația publică locală!</t>
  </si>
  <si>
    <t>Direcția Generală
Anticorupție</t>
  </si>
  <si>
    <t>Integritate și responsabilitate în administrația
publică arădeană</t>
  </si>
  <si>
    <t>Obiectivul general al proiectului
Obiectivul general al proiectului este intarirea capacitatii administrative a institutiei, prin implementarea unor mecanisme si masuri care sa faciliteze punerea in aplicare a cadrului legal in domeniul eticii si integritatii, prin imbunatatirea cunostintelor si competentelor personalului propriu, precum si prin cresterea gradului de informare si constientizare a cetatenilor si a angajatilor privind importanta prevenirii si combaterii coruptiei.
Obiectivele specifice ale proiectului
1. OS 1 Cresterea gradului de implementare a masurilor de prevenire a coruptiei si a indicatorilor de evaluare in cadrul UAT
Municipiul Arad prin implementarea si certificarea standardului ISO 37001
2. OS 2 Cresterea gradului de constientizare a efectelor coruptiei in randul personalului din cadrul Primariei Municipiului Arad, cat si
in randul cetatenilor
3. OS 3 Imbunatatirea cunostintelor si a competentelor personalului in ceea ce priveste prevenirea coruptiei, etica si integritatea</t>
  </si>
  <si>
    <t>Etică, transparență și integritate în Primaria
Municipiului Mangalia</t>
  </si>
  <si>
    <t>AA2/16.12.2021 durata, ue bn</t>
  </si>
  <si>
    <t>Creșterea transparenței, eticii și integrității în cadrul UAT Municipiul Carei</t>
  </si>
  <si>
    <t>Etică și integritate în municipiul Marghita</t>
  </si>
  <si>
    <t>AA1/20.12.2021 durata</t>
  </si>
  <si>
    <t>Prevenirea corupției prin implementarea de sisteme de management, la nivelul Municipiului Urziceni</t>
  </si>
  <si>
    <t>Acțiuni de conștientizare pentru transparența și consolidarea integrității la nivelul U.A.T. Municipiul Orăștie</t>
  </si>
  <si>
    <t>Ministerul Antreprenoriatului și
Turismului</t>
  </si>
  <si>
    <t>AA1/21.12.2021 durata</t>
  </si>
  <si>
    <t>Municipiul Galați</t>
  </si>
  <si>
    <t>Eficiență și eficacitate în administrația publică
locală prin integritate</t>
  </si>
  <si>
    <t>Transparență, etică și integritate în Municipiul Bistrița</t>
  </si>
  <si>
    <t>Dezvoltarea si consolidarea capacitatii administrative a institutiei, prin eficientizarea activitatilor de prevenire si combatere a coruptiei in
administratia publica locala si promovarea eticii ai integritatii, pentru imbunatatirea performantelor in activitate, cresterea transparentei
procesului decizional si reducerea vulnerabilitatilor la coruptie
Obiectivele specifice ale proiectului
1. OS 1 - Cresterea gradului de constientizare a efectelor coruptiei, prin realizarea unui Studiu privind perceptia in randul cetatenilor
municipiului Bistrita si al personalului din cadrul administratiei publice locale referitor la aspecte legate de coruptie si derularea
unei campanii de constientizare anticoruptie
2. OS 2 - Imbunatatirea competentelor in domeniul eticii si integritatii pentru 120 de persoane – angajati ai administratiei publice
locale a UAT Municipiul Bistrita (personal de conducere si de executie din aparatul de specialitate al Primarului municipiului
Bistrita si al serviciilor/institutiilor de interes local) si/sau alesi locali
3. OS 3 - Elaborarea Planului de Integritate pentru implementarea Strategiei Nationale Anticoruptie 2021-2025 la nivelul UAT
Municipiul Bistrita si a procedurilor operationale privind masurile preventive antcoruptie</t>
  </si>
  <si>
    <t>Municipiul Adjud</t>
  </si>
  <si>
    <t>CONSOLIDAREA INTEGRITĂȚII, REDUCEREA RISCURILOR DE CORUPȚIE</t>
  </si>
  <si>
    <t>Adjud</t>
  </si>
  <si>
    <t>AA1/22.12.2021 durata</t>
  </si>
  <si>
    <t>AA1/23.12.2021, durata, ue, cb</t>
  </si>
  <si>
    <t>AA1/23.12.2021</t>
  </si>
  <si>
    <t>FEPEAJU - Formare eficientă pentru practici etice, administrative și judiciare unitare</t>
  </si>
  <si>
    <t xml:space="preserve">IP22/2021 (MySMIS: POCA/945/2/3) </t>
  </si>
  <si>
    <t>AA1/05.05.2020 suspendare proiect 2 luni;                                    Notificare nr.8/23.12.2021 prelungire durata 2 luni</t>
  </si>
  <si>
    <t>AA1/27.12.2021 durata si ue, cb</t>
  </si>
  <si>
    <t>Extinderea și îmbunătățirea modalităților de
prevenire a corupției la nivelul UAT-Județul Tulcea</t>
  </si>
  <si>
    <t>Județul Tulcea</t>
  </si>
  <si>
    <t xml:space="preserve"> Ministerul Muncii si Solidaritatii Sociale</t>
  </si>
  <si>
    <t>AA1/28.06.2021 durata  AA2/30.12.2021 durata</t>
  </si>
  <si>
    <t>AA1/30.09.2021 durata   AA2/30.12.2021 durata</t>
  </si>
  <si>
    <t>1. PARCHETUL DE PE LINGA INALTA CURTE DE CASATIE SI JUSTITIE                2. INSTITUTUL NATIONAL AL MAGISTRATURII                     3. INSPECTIA JUDICIARA</t>
  </si>
  <si>
    <t>Anticorupție prin etică, integritate și
transparență la nivelul județului Teleorman</t>
  </si>
  <si>
    <t>Direcția
Generală
Anticorupți
e</t>
  </si>
  <si>
    <t>Obiectivul general al proiectului consta in cresterea eticii, integritatii si transparentei la nivelul Consiliului Judetean Teleorman prin
reducerea vulnerabilitatilor si a riscurilor de coruptie, cresterea gradului de informare cu privire la impactul fenomenului coruptiei si
educarea personalului prin constientizarea faptelor de coruptie.
Obiectivele specifice ale proiectului
1. - Realizarea unui ghid de bune practici, standarde de etica si integritate;
- Implementarea si certificarea sistemului de management anti-mita conform prevederilor ISO 37001:2016;
- Realizarea unei campanii de informare, constientizare si educare anticoruptie;
- Instruirea personalului in vederea aplicarii masurilor de prevenire a coruptiei.
Prin activitatile care vor fi derulate in cadrul proiectului se vor atinge obiectivele specifice ale proiectului avand ca nucleu
obiectivul general al proiectului privind cresterea transparentei, eticii si integritatii.</t>
  </si>
  <si>
    <t>Ordin modificare nr. 49/12.01.2022 durata si ue, cb</t>
  </si>
  <si>
    <t>AA3/27.09.2019                                     AA4/22.09.2020 durata AA5/14.01.2022 durata si buget</t>
  </si>
  <si>
    <t>AA1/16.11.2020 durata             AA2/18.01.2022 durata</t>
  </si>
  <si>
    <t>Județul Hunedoara</t>
  </si>
  <si>
    <t>Etică și integritate prin prevenirea și
combaterea corupției din administrația publică a Județului Hunedoara</t>
  </si>
  <si>
    <t>Măsuri integrate pentru prevenirea corupției şi
creşterea gradului de transparenţă la nivelul Municipiului Făgăraş</t>
  </si>
  <si>
    <t>Făgăraș</t>
  </si>
  <si>
    <t>AA1/26.05.2021 durata AA2/13.08.2021 (ue, cb, bn)                        AA3/28.01.2022 durata</t>
  </si>
  <si>
    <t>AA1/7.09.2021 durata AA2/28.01.2022 durata</t>
  </si>
  <si>
    <t>AA1/27.01.2022 durata</t>
  </si>
  <si>
    <t>Creșterea transparenței, eticii și integrității în
cadrul Consiliului Județean Ialomița și a instituțiilor subordonate prin implementarea măsurilor
integrate de prevenire a corupției</t>
  </si>
  <si>
    <t>126500</t>
  </si>
  <si>
    <t>AA1/12.10.2021 durata AA2/11.02.2022 durata</t>
  </si>
  <si>
    <t>AA1/11.03.2021 durata si buget              AA2/5.11.2021 durata  AA3/11.02.2022 durata</t>
  </si>
  <si>
    <t>AA1/27.08.2020 durata AA2/11.02.2022 durata</t>
  </si>
  <si>
    <t>AA1/11.02.2022 durata</t>
  </si>
  <si>
    <t>AA1/30.07.2021   AA2/11.02.2022 durata si ue, cb</t>
  </si>
  <si>
    <t>Autoritatea Națională Pentru Drepturile Persoanelor Cu Dizabilități, Copii și Adopții</t>
  </si>
  <si>
    <t>Creșterea transparentei, eticii si integrității la
nivelul Municipiul Dorohoi</t>
  </si>
  <si>
    <t>Dezvoltarea unui sistem inovator si complex de prevenire si combatere a coruptiei la nivelul administratiei publice locale a Municipiul
Dorohoi pe principiul „stop-coruptie                                                                                                                                                                                                                                                                OS1. Cresterea gradului de informare si constientizare a cetatenilor si a personalului administratiei publice locale din Mun.
Dorohoi cu privire la impactul fenomenului coruptiei prin 4 campanii pentru 200 de astfel de participanti                                                                                           OS2. Imbunatatirea cunostintelor si competentelor profesionale pentru 120 de reprezentanti dintre alesi locali si personal din
conducere si executie din cadrul UAT Municipiul Dorohoi privind etica si integritatea.                                                                                                                                        OS3. Cresterea gradului de implementare a masurilor referitoare la prevenirea coruptiei prin implementarea 1 platforme
anticoruptie „e-stop-coruptie-Dorohoi”, introducerea si certificarea standardului ISO 37001 si introducerea a 2 noi proceduri
operationale privind masurile preventive anticoruptie.</t>
  </si>
  <si>
    <t>Sectorul 5 al municipiului București</t>
  </si>
  <si>
    <t>CP 15more/2021</t>
  </si>
  <si>
    <t>Întărirea capacității administrative, prin implementarea unor măsuri preventive anticorupție, la nivelul Sectorului 5 al Municipiului București</t>
  </si>
  <si>
    <t>AA1/2.09.2020 durata  AA2/24.02.2022 durata</t>
  </si>
  <si>
    <t>AA1/26.11.2019 AA LA ACORDUL DE PARTENERIAT AA2/12.08.2020 durata, ue, cb AA3/23.02.2021 ue, cb AA5/24.02.2022 durata</t>
  </si>
  <si>
    <t>Agentia Națională de Integritate</t>
  </si>
  <si>
    <t>NIAct - Actualizarea legislației în domeniul integrității și oferirea de sprijin autorităților și deponenților în tranziția către declararea digitală a averilor și intereselor</t>
  </si>
  <si>
    <t>1. ASOCIAȚIA ROMÂNĂ PENTRU
TRANSPARENȚĂ                     2. Ministerul Justiției</t>
  </si>
  <si>
    <t>IP23/2021 (MySMIS:POCA/949/2/2/)</t>
  </si>
  <si>
    <t>AA1/24.08.2021 durata, buget (ue, bn, cb) AA2/27.12.2021 (ue, bn)    AA3/4.03.2022 durata</t>
  </si>
  <si>
    <t>AA1/4.03.2022 durata</t>
  </si>
  <si>
    <t>AA1/1.03.2022 durata si buget</t>
  </si>
  <si>
    <t>AA1/24.12.2019    AA2/27.07.2020 fse, bn AA3/3.03.2022 durata</t>
  </si>
  <si>
    <t>DIRECȚIA GENERALĂ ANTICORUPȚIE</t>
  </si>
  <si>
    <t>PAcT - Parteneriat pentru Anticorupție și Transparență în Ilfov</t>
  </si>
  <si>
    <t>Continuarea consolidării si a eficientizării sistemului național de recuperare a creanțelor provenite din infracțiuni</t>
  </si>
  <si>
    <t>MINISTERUL ENERGIEI</t>
  </si>
  <si>
    <t>AA1/19.08.2021 durata  AA2/10.03.2022 durata</t>
  </si>
  <si>
    <t>AA1/10.03.2022 durata</t>
  </si>
  <si>
    <t>Îmbunătățirea capacității administrative locale privind dezvoltarea, implementarea și promovarea măsurilor anticorupție</t>
  </si>
  <si>
    <t>NU corupție, DA integritate!</t>
  </si>
  <si>
    <t>AA1/24.09.2021 durata AA2/10.03.2022 durata</t>
  </si>
  <si>
    <t>Comuna Mihai Bravu</t>
  </si>
  <si>
    <t>Ecosistem digital interconectat și integrat in
cadrul ITI Tulcea - UAT Mihai Bravu</t>
  </si>
  <si>
    <t>Mihai Bravu</t>
  </si>
  <si>
    <t>CP16less/2021</t>
  </si>
  <si>
    <t>Consolidarea capacitatii institutionale si eficientizarea activitatii la nivelul UAT Mihai Bravu în ceea ce priveste exercitarea atributiilor
prevazute de OUG 57/2019 privind Codul Administrativ, prin implementarea de masuri de digitalizare menite sa ajute la standardizarea
modului de lucru si a activitatilor specifice, la cresterea gradului de interoperabilitate a sistemelor informatice si interconectarea cu ceilalti
actori care opereaza sisteme informatice compatibile, atât din perspectiva back-office, cât si din perspectiva front office
Obiectivele specifice ale proiectului
1. Optimizarea procedurilor administrative interne în raport cu beneficiarii serviciilor publice, în scopul reducerii birocratiei, prin
implementarea unui ecosistem digital integrat
2. Imbunatatirea competentelor digitale ale grupului tinta</t>
  </si>
  <si>
    <t>Comuna Greci</t>
  </si>
  <si>
    <t>Ecosistem digital interconectat și integrat in cadrul ITI Tulcea - UAT Comuna Greci</t>
  </si>
  <si>
    <t xml:space="preserve"> Greci</t>
  </si>
  <si>
    <t>Comuna Istria</t>
  </si>
  <si>
    <t>Ecosistem digital interconectat și integrat in
cadrul ITI Tulcea - UAT Comuna Istria</t>
  </si>
  <si>
    <t>Istria</t>
  </si>
  <si>
    <t>Comuna Nufăru</t>
  </si>
  <si>
    <t>Ecosistem digital interconectat și integrat in
cadrul ITI Tulcea - UAT Comuna Nufăru</t>
  </si>
  <si>
    <t>Nufăru</t>
  </si>
  <si>
    <t>Comuna Văcăreni</t>
  </si>
  <si>
    <t>Ecosistem digital interconectat și integrat în
cadrul ITI Tulcea - UAT Comuna Văcăreni</t>
  </si>
  <si>
    <t>Văcăreni</t>
  </si>
  <si>
    <t>Comuna Luncavița</t>
  </si>
  <si>
    <t>Ecosistem digital interconectat și integrat in
cadrul ITI Tulcea - UAT Comuna Luncavița</t>
  </si>
  <si>
    <t>Luncavița</t>
  </si>
  <si>
    <t>Ecosistem digital instituțional pentru eficientizarea activității administrației publice la nivelul Consiliului Județean Ialomița</t>
  </si>
  <si>
    <t>Comuna Valea Nucarilor</t>
  </si>
  <si>
    <t>Ecosistem digital interconectat și integrat in
cadrul ITI Tulcea - UAT Comuna Valea Nucarilor</t>
  </si>
  <si>
    <t xml:space="preserve"> Valea Nucarilor</t>
  </si>
  <si>
    <t>Comuna Mihail Kogălniceanu</t>
  </si>
  <si>
    <t>Ecosistem digital interconectat și integrat in
cadrul ITI Tulcea - UAT Mihail Kogalniceanu</t>
  </si>
  <si>
    <t>Obiectivul general al proiectului/Scopul proiectului
Consolidarea capacitatii institutionale si eficientizarea activitatii la nivelul UAT Comuna Valea Nucarilor în ceea ce priveste exercitarea
atributiilor prevazute de OUG 57/2019 privind Codul Administrativ, prin implementarea de masuri de digitalizare menite sa ajute la
standardizarea modului de lucru si a activitatilor specifice, la cresterea gradului de interoperabilitate a sistemelor informatice si
interconectarea cu ceilalti actori care opereaza sisteme informatice compatibile, atât din perspectiva back-office, cât si din perspectiva
front office.
Obiectivele specifice ale proiectului
1. Optimizarea procedurilor administrative interne în raport cu beneficiarii serviciilor publice, în scopul reducerii birocratiei, prin
implementarea unui ecosistem digital integrat
2. Imbunatatirea competentelor digitale ale grupului tinta</t>
  </si>
  <si>
    <t xml:space="preserve"> Mihail Kogălniceanu</t>
  </si>
  <si>
    <t>Comuna Grindu</t>
  </si>
  <si>
    <t>Ecosistem digital interconectat și integrat in cadrul ITI Tulcea - Comuna Grindu</t>
  </si>
  <si>
    <t xml:space="preserve"> Grindu</t>
  </si>
  <si>
    <t>Comuna Baia</t>
  </si>
  <si>
    <t>Ecosistem digital interconectat și integrat în
cadrul ITI Tulcea - UAT Comuna Baia</t>
  </si>
  <si>
    <t>Baia</t>
  </si>
  <si>
    <t>AA1/21.03.2022 durata</t>
  </si>
  <si>
    <t>AA1/17.05.2021 durata AA2/16.08.2021 neelig AA3/22.03.2022 durata</t>
  </si>
  <si>
    <t>AA3/20.11.2019 prelungire   AA4/25.09.2020 durata  AA5/9.06.2021 durata si buget                  AA6/21.03.2022 durata</t>
  </si>
  <si>
    <t>Comuna Maliuc</t>
  </si>
  <si>
    <t>Ecosistem digital interconectat și integrat in cadrul ITI Tulcea - UAT Maliuc</t>
  </si>
  <si>
    <t>Maliuc</t>
  </si>
  <si>
    <t>Comuna Beștepe</t>
  </si>
  <si>
    <t>Ecosistem digital interconectat și integrat in cadrul ITI Tulcea - UAT Beștepe</t>
  </si>
  <si>
    <t>Beștepe</t>
  </si>
  <si>
    <t>AA1/7.09.2021 suspendare 6 luni  AA2/29.03.2022 durata</t>
  </si>
  <si>
    <t>AA1/9.09.2020 UE, CB, CP  AA2/29.03.2022 durata</t>
  </si>
  <si>
    <t>Comuna Slava Cercheză</t>
  </si>
  <si>
    <t>Ecosistem digital interconectat și integrat in
cadrul ITI Tulcea – UAT Slava Cercheză</t>
  </si>
  <si>
    <t xml:space="preserve"> Slava Cercheză</t>
  </si>
  <si>
    <t>Comuna Mihai Viteazu</t>
  </si>
  <si>
    <t>Ecosistem digital interconectat si integrat in
cadrul ITI Tulcea - UAT Comuna Mihai Viteazu</t>
  </si>
  <si>
    <t xml:space="preserve"> Mihai Viteazu</t>
  </si>
  <si>
    <t>Ordin 391 /18.03.2021  Ordin 504/1.04.2022 durata</t>
  </si>
  <si>
    <t>AA1/14.07.2020 prelungire, diminuare AA2/1.09.2021 durata   AA3/5.04.2022 durata</t>
  </si>
  <si>
    <t>AA1/22.03.2021 durata, buget            AA2/1.04.2022 durata</t>
  </si>
  <si>
    <t>AA2/20.07.2021 buget   AA3/4.04.2022 durata</t>
  </si>
  <si>
    <t>AA1/5.04.2022 durata si neeligibil</t>
  </si>
  <si>
    <t>Sectorul 6 al municipiului București</t>
  </si>
  <si>
    <t>Vorbim deschis despre corupție și integritate publică! Primăria sectorului 6, o instituție cu sisteme anticorupție implementate și funcționale</t>
  </si>
  <si>
    <t>UAT Comuna Niculițel</t>
  </si>
  <si>
    <t>Ecosistem digital interconectat și integrat în cadrul ITI Tulcea - UAT Comuna Niculițel</t>
  </si>
  <si>
    <t>Consolidarea capacitatii institutionale si eficientizarea activitatii la nivelul UAT Niculitel în ceea ce priveste exercitarea atributiilor prevazute de OUG 57/2019 privind Codul Administrativ, prin implementarea de masuri de digitalizare menite sa ajute la standardizarea modului de lucru si a activitatilor specifice, la cresterea gradului de interoperabilitate a sistemelor informatice si interconectarea cu ceilalti actori care opereaza sisteme informatice compatibile, atât din perspectiva back-office, cât si din perspectiva front office
Obiectivele specifice ale proiectului
1. Optimizarea procedurilor administrative interne în raport cu beneficiarii serviciilor publice, în scopul reducerii birocratiei, prin
implementarea unui ecosistem digital integrat
2. Imbunatatirea competentelor digitale ale grupului tinta</t>
  </si>
  <si>
    <t>Niculițel</t>
  </si>
  <si>
    <t>Județul Dâmbovița</t>
  </si>
  <si>
    <t>CJD – Contribuția Județului Dâmbovița la
reducerea birocrației prin introducerea de proceduri simplificate</t>
  </si>
  <si>
    <t>Orașul Măcin</t>
  </si>
  <si>
    <t>Ecosistem digital interconectat și integrat in
cadrul ITI Tulcea - Primaria Măcin</t>
  </si>
  <si>
    <t>Consolidarea capacitatii institutionale si eficientizarea activitatii la nivelul UAT Orasul Macin în ceea ce priveste exercitarea atributiilor
prevazute de OUG 57/2019 privind Codul Administrativ, prin implementarea de masuri de digitalizare menite sa ajute la standardizarea
modului de lucru si a activitatilor specifice, la cresterea gradului de interoperabilitate a sistemelor informatice si interconectarea cu ceilalti
actori care opereaza sisteme informatice compatibile, atât din perspectiva back-office, cât si din perspectiva front office
Obiectivele specifice ale proiectului
1. 1. Optimizarea procedurilor administrative interne în raport cu beneficiarii serviciilor publice, în scopul reducerii birocratiei,
prin implementarea unui ecosistem digital integrat
2. 2. Elaborarea Strategiei de Transformare Digitala a Orasului Macin</t>
  </si>
  <si>
    <t>Măcin</t>
  </si>
  <si>
    <t>Planificare strategică, mobilitate urbană și
managementul calității</t>
  </si>
  <si>
    <t>Digitalizarea procedurilor administrative la
Primăria Miercurea-Ciuc</t>
  </si>
  <si>
    <t>Sisteme și standarde comune în administrația publică locală a Municipiului Făgăraş</t>
  </si>
  <si>
    <t>Management performant si proceduri
administrative simplificate pentru cetățenii municipiului Dej</t>
  </si>
  <si>
    <t>Obiectivul general al proiectului consta in continuarea masurilor de consolidare a capacitatii institutionale si eficientizarea activitatii la
nivelul Municipiului Dej prin introducerea utilizarii de instrumente de management al calitatii si performantei in administratia publica locala, in concordanta cu Planul de actiuni pentru implementarea etapizata a managementului calitatii in autoritati si institutii publice 2016-2020, respectiv CAF (Cadrul Comun de Autoevaluare a modului de functionarea institutiilor publice) si BSC (Balanced Scorecard – sistem de management strategic), si extinderea masurilor de simplificare a procedurilor administrative si reducerea birocratiei pentru cetateni,
implementand masuri din perspectiva back-office (adaptarea procedurilor interne de lucru) si front-office pentru serviciile publice furnizate
aferente competentelor partajate ale primariei.
Obiectivele specifice ale proiectului
1. OS1. Introducerea utilizarii de instrumente de management al calitatii si performantei in administratia publica locala, in
concordanta cu Planul de actiuni pentru implementarea etapizata a managementului calitatii in autoritati si institutii publice 2016-
2020, respectiv CAF si BSC – aferente Rezultatului de program 2;
2. OS2.Extinderea masurilor de simplificare pentru cetateni conform Planului integrat pentru simplificarea procedurilor administrative
aplicabile cetatenilor din perspectiva front-office si back-office pentru serviciile publice furnizate aferente competentelor partajate
ale primariei. In acest sens este avuta in vedere achizitia si implementarea unor module informatice noi care vor acoperi
necesitatile institutiei pentru servicii electronice complete vizand competentele partajate ale primariei. Modulele informatice care
vor fi achizitionate vor viza atat zona de front-office cat si back-office si vor fi asigura interoperabilitatea si integrarea cu celelalte
sisteme informatice ale primariei. Solutiile pentru servicii electronice aferente competentelor partajate ale primariei vor respecta
principiile: one stop shop pentru livrarea de servicii publice electronice; utilizarea inteligenta a informatiilor disponibile prin
aplicarea principiului inregistrarii "o singura data" a datelor – conceptul de identitate electronica a cetateanului; spatiul privat
virtual al cetateanului in relatia cu primaria – aferente Rezultatului de program 3 (competente partajate);
3. OS3. Dezvoltarea cunostintelor si abilitatilor personalului din cadrul Municipiului Dej, in vederea sprijinirii masurilor vizate de
proiect. Este avuta in vedere formarea/instruirea, evaluarea/testarea si certificarea competentelor/cunostintelor dobandite pentru
90 de persoane (personal de conducere, de executie si alesi locali), din care 15 de persoane pentru BSC si 45 de persoane
pentru CAF, precum si 30 de persoane, din cadrul grupului tinta, in ceea ce priveste utilizarea solutiilor informatice implementate
in cadrul proiectului – aferente Rezultatului de program 5;</t>
  </si>
  <si>
    <t>Comuna Corbu</t>
  </si>
  <si>
    <t>Măsuri și instrumente pentru o administrație
eficientă pentru cetățeni</t>
  </si>
  <si>
    <t>Corbu</t>
  </si>
  <si>
    <t>Comuna Ceatalchioi</t>
  </si>
  <si>
    <t>Planificare strategică și digitalizare în
administrația UAT Comuna Ceatalchioi</t>
  </si>
  <si>
    <t>Ceatalchioi</t>
  </si>
  <si>
    <t>Comuna Crișan</t>
  </si>
  <si>
    <t>Crișan</t>
  </si>
  <si>
    <t>Optimizarea proceselor de lucru pentru
simplificarea procedurilor administrative si reducerea birocrației la nivelul Comunei Crișan, jud.
Tulcea</t>
  </si>
  <si>
    <t>Administrație eficientă prin implementarea de
măsuri de digitalizare la nivelul Comunei Chilia Veche, Jud. Tulcea</t>
  </si>
  <si>
    <t>Comuna Chilia Veche</t>
  </si>
  <si>
    <t xml:space="preserve"> Chilia Veche</t>
  </si>
  <si>
    <t>Simplificarea procedurilor administrative în
domeniul competențelor partajate, la nivelul Municipiului Hunedoara</t>
  </si>
  <si>
    <t>MaraRoads</t>
  </si>
  <si>
    <t>Obiectivul general al proiectului il reprezinta consolidarea capacitatii institutionale a Consiliului Judetean Maramures in vederea cresterii
performantei administratiei locale si optimizarea proceselor administrative ale institutiei si adoptarea unor masuri de simplificare a furnizarii serviciilor catre cetateni si mediul de afaceri, prin implementarea unor sisteme informatice inovative.                                                                     OS1. Simplificarea procedurilor administrative vizand competentele partajate in domeniul infrastructurii de transport rutier
judetean, in cadrul Consiliului Judetean Maramures prin implementarea unei solutii informatice care sa ofere servicii publice
electronice de informare si servicii digitale pentru cetateni, în perioada de implementare a proiectului.                                                                                            OS2. Cresterea nivelului de pregatire a personalului Consiliului Judetean Maramures pentru utilizarea eficienta a sistemului
informatic prin instruirea unui numar de 30 de angajati, în perioada de implementare a proiectului.</t>
  </si>
  <si>
    <t>Turnu Măgurele</t>
  </si>
  <si>
    <t>Turnu Măgurele Digital</t>
  </si>
  <si>
    <t>Suceava UrbanGIS - Digitalizarea serviciilor partajate în Municipiul Suceava</t>
  </si>
  <si>
    <t>Consolidarea capacitatii institutionale si eficientizarea activitatii la nivelul Primariei Municipiului Suceava prin implementarea de
mecanisme de fundamentare a deciziilor si planificare strategica pe termen lung, precum si reducerea birocratiei pentru serviciile publice
partajate furnizate cetatenilor.
Obiectivele specifice ale proiectului
1. Planificarea dezvoltarii si implementarii unor mecanisme de colaborare si consultare cu actorii relevanti in vederea sustinerii
dezvoltarii la nivel local in Municipiul Suceava
2. Dezvoltarea de mecanisme de interactiune cu cetatenii in cadrul unui Centru de Inovare si Imaginatie Civica (CIIC) la nivelul
Primariei Municipiului Suceava
3. Implementarea unor masuri de simplificare a procedurilor administrative pentru serviciile publice partajate furnizate cetatenilor, in
legatura cu Planul integrat pentru simplificarea procedurilor administrative aplicabile cetatenilor, prin dezvoltarea unei solutii GIS
in domeniul urbanismului la nivelul Primariei Municipiului Suceava</t>
  </si>
  <si>
    <t>Sectorul 6 al Municipiului București</t>
  </si>
  <si>
    <t>Primărie fără hârtie II – Digitalizarea DGASPC Sector 6 prin soluție informatică inovativă ca masură de simplificare administrativă și de optimizare a furnizării serviciilor de asistență socială pentru cetățeni</t>
  </si>
  <si>
    <t>Direcția Generala de
Asistenta Sociala si Protecția
Copilului sector 6</t>
  </si>
  <si>
    <t>CP16more/2021</t>
  </si>
  <si>
    <t>Comuna Sfântu Gheorghe</t>
  </si>
  <si>
    <t>Planificare strategică și simplificarea
procedurilor administrative la nivelul UAT Comuna Sfântu Gheorghe, Jud. Tulcea</t>
  </si>
  <si>
    <t xml:space="preserve"> Sfântu Gheorghe</t>
  </si>
  <si>
    <t>Instrumente de management al performanței și proceduri administrative simplificate pentru competențele exclusive la nivelul Municipiului Câmpulung Moldovenesc</t>
  </si>
  <si>
    <t>Ecosistem digital interconectat și integrat in
cadrul UAT Municipiul Alexandria</t>
  </si>
  <si>
    <t xml:space="preserve"> Alexandria</t>
  </si>
  <si>
    <t>MINISTERUL ANTREPRENORIATULUI ȘI TURISMULUI</t>
  </si>
  <si>
    <t>AA1/28.06.2021 durata  AA2/11.04.2022 durata</t>
  </si>
  <si>
    <t>Județul Covasna</t>
  </si>
  <si>
    <t>eCovasna</t>
  </si>
  <si>
    <t>Simplificarea procedurilor administrative și
reducerea birocrației în cadrul Consiliului Județean Bistrița-Năsăud</t>
  </si>
  <si>
    <t>Obiectivul general al proiectului consta in consolidarea capacitatii institutionale si eficientizarea activitatii la nivelul Consiliului Judetean
Bistrita Nasaud, prin simplificarea procedurilor administrative si reducerea birocratiei pentru cetateni, implementând masuri din perspectiva back-office si front-office pentru serviciile publice furnizate partajat.
Obiectivele specifice ale proiectului
1. OS 1 Realizarea unor seturi de Proceduri simplificate pentru reducerea birocratiei pentru cetateni la nivel local corelate cu Planul
integrat de simplificare a procedurilor administrative pentru cetateni implementate
2. OS 2: Cresterea nivelului de Cunostinte si abilitati ale personalului Consiliului Judetean Bistrita Nasaud, în vederea sprijinirii
masurilor/actiunilor vizate de acest obiectiv specific</t>
  </si>
  <si>
    <t>Orașul Babadag</t>
  </si>
  <si>
    <t>Simplificarea procedurilor administrative la
nivelul Orasului Babadag</t>
  </si>
  <si>
    <t>Babadag</t>
  </si>
  <si>
    <t>Management performant și proceduri simplificate pentru competențele exclusive la nivelul Municipiului Vatra Dornei</t>
  </si>
  <si>
    <t>Comuna Jurilovca</t>
  </si>
  <si>
    <t>Investiții pentru optimizarea proceselor și
creșterea calității serviciilor administrației publice locale din Comuna Jurilovca, Jud. Tulcea</t>
  </si>
  <si>
    <t xml:space="preserve"> Jurilovca</t>
  </si>
  <si>
    <t>Continuarea simplificării procedurilor administrative la nivelul Municipiului Gherla</t>
  </si>
  <si>
    <t>Obiectivul general al proiectului consta in continuarea masurilor de consolidare a capacitatii institutionale si eficientizarea activitatii la
nivelul Municipiului Gherla prin introducerea utilizarii de instrumente de management al calitatii si performantei in administratia publica
locala, in concordanta cu Planul de actiuni pentru implementarea etapizata a managementului calitatii in autoritati si institutii publice 2016-2020, respectiv CAF (Cadrul Comun de Autoevaluare a modului de funct?ionarea institut?iilor publice) si BSC (Balanced Scorecard –
sistem de management strategic), si extinderea masurilor de simplificare a procedurilor administrative si reducerea birocratiei pentru
cetateni, implementand masuri din perspectiva back-office (adaptarea procedurilor interne de lucru) si front-office pentru serviciile publice
furnizate aferente competentelor exclusive ale primariei.
Obiectivele specifice ale proiectului
1. OS1. Introducerea utilizarii de instrumente de management al calitatii si performantei in administratia publica locala, in
concordanta cu Planul de actiuni pentru implementarea etapizata a managementului calitatii in autoritati si institutii publice 2016-
2020, respectiv CAF si BSC.
2. OS2.Extinderea masurilor de simplificare pentru cetateni conform Planului integrat pentru simplificarea procedurilor administrative
aplicabile cetatenilor din perspectiva front-office si back-office pentru serviciile publice furnizate aferente competentelor exclusive
ale primariei prin achizitionarea si implementarea unor module informatice noi care vor asigura interoperabilitatea si integrarea cu
celelalte sisteme informatice ale primariei .
3. OS3. Dezvoltarea cunostintelor si abilitatilor personalului din cadrul Municipiului Gherla in ceea ce priveste utilizarea solutiilor
informatice implementate in cadrul proiectului si utilizarea instrumentelor de management al calitatii si performantei CAF si BSC in
administratia publica locala.</t>
  </si>
  <si>
    <t>Servicii electronice extinse pentru Municipiul Arad</t>
  </si>
  <si>
    <t>Investiții în consolidarea capacității
administrației publice a UAT Comuna Pardina, Jud. Tulcea</t>
  </si>
  <si>
    <t>Comuna Pardina</t>
  </si>
  <si>
    <t>Pardina</t>
  </si>
  <si>
    <t>AA1/13.04.2022 durata</t>
  </si>
  <si>
    <t>AA1/12.04.2022 durata</t>
  </si>
  <si>
    <t>Comuna Mahmudia</t>
  </si>
  <si>
    <t>Măsuri și instrumente destinate îmbunătățirii
proceselor în cadrul administrației UAT Mahmudia</t>
  </si>
  <si>
    <t>Mahmudia</t>
  </si>
  <si>
    <t>ADEPT – Administrație digitala eficienta pentru cetatenii din Turda</t>
  </si>
  <si>
    <t>Măsuri pentru simplificarea procedurilor
administrative și reducerea birocrației pentru cetățeni</t>
  </si>
  <si>
    <t>Administrație publică simplificată</t>
  </si>
  <si>
    <t>Comuna C.A. Rosetti</t>
  </si>
  <si>
    <t>Ecosistem digital interconectat și integrat în cadrul ITI Tulcea - UAT Comuna C.A. Rosetti</t>
  </si>
  <si>
    <t>C.A. Rosetti</t>
  </si>
  <si>
    <t>AA1/21.05.2021 durata, AA2/11.04.2022 suspendare durata cu 12 luni</t>
  </si>
  <si>
    <t>AA2/14.04.2022 durata</t>
  </si>
  <si>
    <t>AA1/18.08.2020 prelungire durata                AA3/14.04.2022 durata si buget</t>
  </si>
  <si>
    <t>Ministerul Economiei</t>
  </si>
  <si>
    <t>AA1/08.04.2019 AA5/14.04.2022 ue si cb
AA2/06.01.2020                         AA3/27.08.2020 durata si ue, cb                 AA4/5.11.2021 durata</t>
  </si>
  <si>
    <t>AA1/22.12.2020 AA2/10.08.2021 buget AA3/19.04.2022 durata si buget</t>
  </si>
  <si>
    <t>AA1/18.08.2020 AA3/24.05.2021 durata si buget (ue, cb)  AA4/19.04.2022 durata</t>
  </si>
  <si>
    <t>AA1/20.12.2021 durata AA2/19.04.2022 durata si ue cb</t>
  </si>
  <si>
    <t>AA1/15.10.2021 durata AA2/18.04.2022 durata</t>
  </si>
  <si>
    <t>Sistem de management al calității si performantei implementat la nivelul Consiliului Județean Vrancea</t>
  </si>
  <si>
    <t>Servicii de integrare și dezvoltare pentru
digitalizarea activității Primăriei Municipiului Târgoviște</t>
  </si>
  <si>
    <t>155173</t>
  </si>
  <si>
    <t>Implementarea unor măsuri de îmbunătățire a relației cetățeanului cu administrația publică municipală Calafat</t>
  </si>
  <si>
    <t>Obiectivul general al proiectului vizeaza dezvoltarea si implementarea unei solutii informatice integrate / unei platforme integrate care va
furniza digital fluxurile de lucru de baza din cadrul institutiei, in scopul eficientizarii procesarii documentelor, evitarii intreruperilor ce pot
aparea in fluxurile informationale ale institutiei, reducand astfel intarzierile in procesul decizional cu impact asupra activitatilor operative si
va asigura accesul online la serviciile publice gestionate de Municipiul Calafat, din regiunea mai putin dezvoltata Sud-Vest Oltenia.                           OS 1 - Elaborarea Strategiei Integrate de Dezvoltare Urbana 2023 - 2027 pentru Municipiul Calafat, cu scopul de a imbunatati
procesul de planificare strategica si de a creste eficienta actiunilor administrative la nivelul Municipiului.
2. OS 2 - Dezvoltarea si implementarea unei solutii informatice integrate / unei platforme integrate de digitalizare a proceselor de
administrare a informatiei si documentelor si simplificarea relatiei cu cetatenii, cu componenta de tip back-office, front-office, retrodigitalizarea
documentelor din arhiva, ocerizarea arhivei electronice si integrarea datelor din punct de vedere informatic cu
aplicatiile existente la nivelul Municipiului Calafat.
3. OS 3 - Imbunatatirea abilitatilor si cunostintelor unui numar de 60 persoane, din diferite niveluri ierarhice, din cadrul Municipiului
Calafat in domeniul utilizarii solutiei informatice / platformei integrate de solutii dezvoltata prin proiect si totodata imbunatatirea
competentelor profesionale pe teme specifice institutiei (ex. planificare strategica, planificare bugetara, politici locale, etc.).</t>
  </si>
  <si>
    <t xml:space="preserve"> Calafat</t>
  </si>
  <si>
    <t>Facilitarea accesului la servicii sociale de calitate în Județul Prahova</t>
  </si>
  <si>
    <t>Sectorul 5 al Municipiului București</t>
  </si>
  <si>
    <t>Administrație inteligentă în contextul digitalizării</t>
  </si>
  <si>
    <t>Direcția Generala de
Asistenta Sociala si Protecția
Copilului sector 5</t>
  </si>
  <si>
    <t>Sectorul 1 al Municipiului București</t>
  </si>
  <si>
    <t>Implementarea instrumentelor de management al calității și performanței pentru standardizarea proceselor și serviciilor orientate către cetățeni la nivelul Sectorului 1 al Municipiului București</t>
  </si>
  <si>
    <t>A.P.I - Administrație Publică Inovativă</t>
  </si>
  <si>
    <t>Platforma integrată privind simplificarea
procedurilor administrative la nivelul Municipiului Moreni</t>
  </si>
  <si>
    <t>Continuarea digitalizării serviciilor publice în
Municipiul Câmpia Turzii</t>
  </si>
  <si>
    <t>Sectorul 2 al Municipiului București</t>
  </si>
  <si>
    <t>Proceduri simplificate în vederea reducerii birocrației pentru cetățenii sectorului 2</t>
  </si>
  <si>
    <t>AA1/8.06.2021 durata AA2/27.04.2022 durata</t>
  </si>
  <si>
    <t>DERB - Digitalizare pentru Eficientizarea și Reducerea Birocrației</t>
  </si>
  <si>
    <t>Cresterea calitatii si transparentei procesului administrativ la nivelul Judetului NEAMT prin continuarea implementarii de masuri de
simplificare a procedurilor administrative si reducere a birocratiei pentru cetateni, atat din perspectiva back-office (adaptarea procedurilor
interne de lucru, digitalizarea arhivelor), cat si front-office pentru serviciile publice furnizate aferente competentelor partajate ale
administratiei publice locale.
Obiectivele specifice ale proiectului
1. OS 1. Imbunatatirea procesului decizional si a planificarii strategice la nivelul CJ Neamt prin elaborarea strategiei judetene privind
accelerarea dezvoltarii serviciilor comunitare de utilitati publice.
2. OS 2. Implementarea unor masuri de simplificare a proceselor de interactiune si de sprijin pentru reducerea birocratiei pentru
cetateni, prin elaborarea Strategiei de Transformare Digitala a Judetului Neamt, fluidizarea fluxurilor de lucru ale aparatului de
specialitate al CJ Neamt, inclusiv prin digitalizarea arhivei de documente, precum si fluidizarea comunicarii digitalizate intre UAT
Judetul Neamt si celelalte UAT din judetul Neamt.</t>
  </si>
  <si>
    <t>Facilitarea accesului la servicii sociale de calitate în Municipiul Focșani</t>
  </si>
  <si>
    <t>Turda online - Servicii publice digitalizate la
nivelul Primăriei Municipiului Turda</t>
  </si>
  <si>
    <t>Simplificarea procedurilor administrative la
nivelul municipiului Roșiorii de Vede</t>
  </si>
  <si>
    <t xml:space="preserve"> Roșiorii de Vede</t>
  </si>
  <si>
    <t>Ecosistem digital interconectat și integrat în cadrul UAT Municipiu Adjud</t>
  </si>
  <si>
    <t>Comuna Sarichioi</t>
  </si>
  <si>
    <t>Simplificarea procedurilor administrative la
nivelul Comunei Sarichioi</t>
  </si>
  <si>
    <t>Sarichioi</t>
  </si>
  <si>
    <t>Digitalizarea activității Consiliului Județean Vaslui- soluție pentru creșterea eficienței</t>
  </si>
  <si>
    <t>AA1/18.08.2020 diminuare buget AA2/5.05.2022 durata si ue cb</t>
  </si>
  <si>
    <t>AA1/5.05.2022 durata</t>
  </si>
  <si>
    <t>AA1/2.05.2022 durata ue si cb</t>
  </si>
  <si>
    <t>Simplificarea procesului participativ și decizional în relația cu cetățenii prin digitalizarea integrată și eficientizarea administrației publice la nivelul Primăriei Municipiului Timișoara</t>
  </si>
  <si>
    <t>Planificare strategică și digitalizarea unor servicii publice partajate la nivelul Municipiului Tulcea</t>
  </si>
  <si>
    <t>Ecosistem digital interconectat și integrat în cadrul UAT Municipiului Toplița</t>
  </si>
  <si>
    <t>Proceduri simplificate pentru reducerea birocrației prin digitalizare în municipiul Piatra Neamț</t>
  </si>
  <si>
    <t>Obiectivul general al proiectului consta in consolidarea capacitatii administrative si reducerea birocratiei a Municipiului Piatra Neamt prin
extinderea sistemului informatic integrat si implementarea unui sistem de management al performantei si calitatii, determinand astfel
simplificarea procedurilor administrative exclusive si cresterea calitatii actului administrativ pe termen lung.
Obiectivele specifice ale proiectului
1. OS 1. Eficientizarea si simplificarea serviciilor publice exclusive furnizate cetatenilor de catre Primaria Muncipiului Piatra Neamt
prin extinderea sistemului informatic de servicii electronice.
2. OS 2. Imbunatatirea managementului calitatii prin introducerea unui sistem de management al performantei si calitatii - CAF, in
concordanta cu Planul de actiune in etape implementat in administratia publica locala
3. OS 3. Cresterea productivitatii muncii angajatilor din Primaria Muncipiului Piatra Neamt prin dobandirea de competente
informatice si in autoevaluarea muncii proprii conform sistemului de management al performantei si calitatii.</t>
  </si>
  <si>
    <t>Digital.IASI</t>
  </si>
  <si>
    <t>Măsuri pentru implementarea unui sistem de management al calității și performanței în administrația publică locală a Municipiului Deva, județul Hunedoara</t>
  </si>
  <si>
    <t>AA1/09.12.2019 AA2/19.04.2021 durata si buget AA3/27.07.2021 durata si buget  AA4/9.05.2022 durata</t>
  </si>
  <si>
    <t>Planificare strategică și digitalizarea serviciilor sociale aflate în competența Direcției de Asistență Socială Brașov</t>
  </si>
  <si>
    <t>Direcția de
Asistenta Sociala Brașov</t>
  </si>
  <si>
    <t>Municipiul Câmpulung</t>
  </si>
  <si>
    <t>Ecosistem digital interconectat și GIS integrat in cadrul UAT Municipiul Câmpulung</t>
  </si>
  <si>
    <t>Campulung</t>
  </si>
  <si>
    <t>Implementarea unui sistem de management performant pentru îmbunătățirea proceselor interne și creșterea calității serviciilor Primăriei Municipiului Drăgășani</t>
  </si>
  <si>
    <t>AA1/13.05.2022 durara si ue si cb</t>
  </si>
  <si>
    <t>Implementarea unui sistem de management al
calității în administrația județeană</t>
  </si>
  <si>
    <t>Instrumente de management al calității și
performanței în administrația publică locală a municipiului Carei</t>
  </si>
  <si>
    <t>AA1/16.05.2022 durata</t>
  </si>
  <si>
    <t>AA1/25.01.2021 AA2/16.05.2022 durata</t>
  </si>
  <si>
    <t>AA1/15.05.2022 ob specific 2</t>
  </si>
  <si>
    <t>AA1/28.06.2021 durata  AA2/16.05.2022 durata</t>
  </si>
  <si>
    <t>AA1/19.05.2022</t>
  </si>
  <si>
    <t>AA1/16.06.2021durata AA4/19.05.2022 durata si buget (ue, bn, cb)</t>
  </si>
  <si>
    <t>Dezvoltarea unei platforme de interoperabilitate pentru interacțiunea digitală cu beneficiarii Consiliului Județean Timiș</t>
  </si>
  <si>
    <t>Planificare strategică și management performant
la nivelul Primăriei Municipiului Onești</t>
  </si>
  <si>
    <t>Ecosistem digital interconectat și interoperabil</t>
  </si>
  <si>
    <t>MARMAȚIA - Strategii și standarde</t>
  </si>
  <si>
    <t>Obiectivul general al proiectului consta in consolidarea capacitatii institutionale si eficientizarea activitatii la nivelul Municipiului Sighetul
Marmatiei, prin simplificarea procedurilor administrative si reducerea birocratiei pentru cetateni, implementând masuri din perspectiva
back-office si front-office pentru serviciile publice furnizate.
Obiectivele specifice ale proiectului
1. OS 1: Introducerea unor mecanisme si proceduri standard implementate la nivel local pentru fundamentarea deciziilor si
planificarea strategica pe termen lung
2. OS 2: Realizarea unor seturi de Proceduri simplificate pentru reducerea birocratiei pentru cetateni la nivel local corelate cu Planul
integrat de simplificare a procedurilor administrative pentru cetateni implementate
3. OS 4: Cresterea nivelului de cunostinte si abilitati ale personalului Municipiului Sighetul Marmatiei, în vederea sprijinirii
masurilor/actiunilor vizate de acest obiectiv specific
4. OS 3: Implementarea unui sistem de management al calitatii si performantei la nivelul Municipiului Sighetul Marmatiei</t>
  </si>
  <si>
    <t>Comuna Frecăței</t>
  </si>
  <si>
    <t>Dezvoltarea calității serviciilor și digitalizarea acestora în administrația publică locală Frecăței</t>
  </si>
  <si>
    <t>Frecăței</t>
  </si>
  <si>
    <t>Îmbunătățirea sistemului de management al
calității pentru o administrație performantă în Municipiul Brad, județul Hunedoara</t>
  </si>
  <si>
    <t>Județul Caraș Severin</t>
  </si>
  <si>
    <t>Creșterea calității serviciilor publice electronice pentru cetateni la nivelul Județului Caraș-Severin</t>
  </si>
  <si>
    <t>AA1/26.05.2022 durata</t>
  </si>
  <si>
    <t>AA 2/11.02.2021 durata AA3/22.11.2021 durata AA4/25.05.2022 durata</t>
  </si>
  <si>
    <t>AA1/24.05.2022 buget (ue, bn)</t>
  </si>
  <si>
    <t>Elaborarea PMUD 2023-2030 la nivelul municipiului
Satu Mare</t>
  </si>
  <si>
    <t>SIASCoP Bacau - Sistem informatic de
automatizare a serviciilor cu competente partajate</t>
  </si>
  <si>
    <t>Soluții informatice integrate pentru simplificare
administrativă și reducerea birocrației prin digitalizarea serviciilor publice partajate la nivelul
Consiliului Judetean Călărași</t>
  </si>
  <si>
    <t>Obiectivul general al proiectului consta in consolidarea capacitatii administrative a Consiliului Judetean Calarasi de a asigura calitatea si
accesul la serviciile publice oferite partajat prin simplificarea procedurilor administratiei judetene si reducerea birocratiei pentru cetateni.
Obiectivele specifice ale proiectului
1. OS 1 Eficientizarea si simplificarea serviciilor gestionate partajat catre Consiliul Judetean Calarasi, in corespondenta cu Planul
integrat pentru simplificarea procedurilor administrative aplicabile cetatenilor, prin extinderea si interconectarea solutiei de portal
existente cu module privind serviciile/competentele partajate ale institutiei
2. OS2-Dezvoltarea abilitatilor personalului CJ Calarasi prin specializarea angajatilor CJ pe teme specifice proiectului (utilizarea
modulelor sistem informatic) si organizarea unui schimb de experienta, in vederea simplificarii procedurilor administrative si
optimizarea proceselor orientate catre beneficiari</t>
  </si>
  <si>
    <t>Județul Iași</t>
  </si>
  <si>
    <t>Simplificarea procedurilor administrative la
nivelul Consiliului Județean Iași</t>
  </si>
  <si>
    <t>AA2/30.05.2022 durata si buget</t>
  </si>
  <si>
    <t>AA1/17.12.2019 AA2/27.05.2022 durata si ue, cb</t>
  </si>
  <si>
    <t>AA1/6.07.2021 AA2/27.05.2022 durata</t>
  </si>
  <si>
    <t>Orașul Sulina</t>
  </si>
  <si>
    <t>Ecosistem digital interconectat și integrat în
cadrul ITI Delta Dunării - UAT Orașul Sulina</t>
  </si>
  <si>
    <t xml:space="preserve">Sulina </t>
  </si>
  <si>
    <t>Obiectivul general al proiectului consta în consolidarea capacitatii institutionale si eficientizarea activitatii la nivelul UAT Orasul Sulina, Jud.
Tulcea prin optimizarea proceselor de lucru în scopul simplificarii procedurilor administrative si reducerii birocratiei pentru cetateni,
implementând masuri din perspectiva back-office (adaptarea procedurilor interne de lucru) si front-office pentru serviciile publice furnizate
cetatenilor.
Obiectivele specifice ale proiectului
1. Optimizarea procedurilor administrative interne în raport cu beneficiarii serviciilor publice, în scopul reducerii birocratiei, prin
implementarea unui ecosistem digital integrat.
2. Strategia de Transformare Digitala a orasului Sulina</t>
  </si>
  <si>
    <t>Orașul Isaccea</t>
  </si>
  <si>
    <t>Planificare strategică și digitalizarea serviciilor
publice la nivelul orașului Isaccea</t>
  </si>
  <si>
    <t>Isaccea</t>
  </si>
  <si>
    <t>UAT Municipiul Câmpina</t>
  </si>
  <si>
    <t>Planificare strategică și digitalizarea serviciilor publice la nivelul municipiului Câmpina</t>
  </si>
  <si>
    <t>Management performant pentru Municipiul Fălticeni</t>
  </si>
  <si>
    <t>AA1/20.04.2021 durata si buget (ue, cb) + chelt neelig                        AA2/9.06.2022 durata</t>
  </si>
  <si>
    <t>AA1/9.06.2022 durata</t>
  </si>
  <si>
    <t>AA1/7.06.2022 durata si neeligibil</t>
  </si>
  <si>
    <t>Municipiul București</t>
  </si>
  <si>
    <t>Consolidarea sistemului de management anticorupție</t>
  </si>
  <si>
    <t>Consolidarea sistemului de management anticoruptie, cresterea eticii, transparentei, integritatii si competentei la nivelul Primariei
Municipiului Bucuresti si al institutiilor aflate în subordonare/coordonare.
Obiectivele specifice ale proiectului
1. O.S.1. Cresterea gradului de implementare a masurilor de prevenire a coruptiei si a indicatorilor de evaluare la nivelul Primariei
Municipiului Bucuresti prin organizarea a 20 de ateliere de lucru si prin elaborarea si adoptarea a doua proceduri cu privire la
prevenirea/evaluarea incidentelor de integritate
2. O.S.2. Cresterea gradului de constientizare a fenomenului coruptiei din perspectiva cauzelor generatoare, factorilor favorizanti si
a consecintelor la nivelul Primariei Municipiului Bucuresti si institutiilor aflate în subordonare/coordonare prin realizarea unei
campanii de constientizare privind fenomenul coruptiei în administratia publica locala
3. O.S.3. Cresterea gradului de cunostinte si competente a personalului în domeniul prevenirii coruptiei, transparentei, eticii si
integritatii din cadrul Primariei Municipiului Bucuresti si al institutiilor aflate în subordonare/coordonare prin instruirea a 175 de
persoane din care 140 certificate</t>
  </si>
  <si>
    <t>Servicii on-line pentru facilitarea interacțiunii cu cetățenii județului Harghita DIGIT-HR</t>
  </si>
  <si>
    <t>Sistem Integrat de e-Administrație, etapa a II-a:
competențe partajate</t>
  </si>
  <si>
    <t>Simplificarea procedurilor administrative la
nivelul Municipiului Săcele</t>
  </si>
  <si>
    <t>OPTIM - Digitalizare si optimizare a activității DGASPC Ilfov orientată către cetățeni</t>
  </si>
  <si>
    <t>DGASPC Ilfov</t>
  </si>
  <si>
    <t>Performanță, Integritate și Transparență în
Executarea Silită (PITES) - Îmbunătățirea serviciului public de executare silită prin modernizare,
standardizare, transparentizare și dezvoltare profesională</t>
  </si>
  <si>
    <t>CP17/2022 (MySMIS: POCA/1005/2/3)</t>
  </si>
  <si>
    <t>AA1/19.05.2021 AA2/9.12.2021 buget AA4/15.06.2022 durata</t>
  </si>
  <si>
    <t>AA2/15.06.2022 durata</t>
  </si>
  <si>
    <t>AA1/13.12.2021 durata AA2/15.06.2022 durata</t>
  </si>
  <si>
    <t>Obiectivul general al proiectului este crearea unor instrumenete de analiza si planificare eficiente si predictibile in domeniul ocuparii fortei
de munca si in domeniul incluzunii sociale, acestea fiindcritice pentru a putea orienta politicile publice în mod fundamentat catre cetatean,
precum si pentru a putea elabora, dezvolta si implementa servicii publice în acord cu nevoile identificate la nivelul celor mai vulnerabili
cetateni, contribuind în acelasi timp la îndeplinirea obligatiilor si prioritatilor asumate la nivel national si comunitar.
Obiectivele specifice ale proiectului
1. OS 1: Crearea unor instrumenete specifice de analiza si planificare eficiente si predictibile in domeniul ocuparii fortei de munca,
in acord cu politicile publice nationale si comunitare in domeniu.
2. OS 1: Crearea unor instrumenete specifice de analiza si planificare eficiente si predictibile in domeniul incluziunii sociale, in acord
cu politicile publice nationale si comunitare in domeniu.</t>
  </si>
  <si>
    <t>AA1/15.06.2022 durata</t>
  </si>
  <si>
    <t>CP14/2021less (POCA/659/2/1)</t>
  </si>
  <si>
    <t>Federația Zonelor Metropolitane și Aglomerărilor Urbane din România</t>
  </si>
  <si>
    <t>METROPOLIS- Parteneriate durabile în vederea susținerii și promovării dezvoltării locale, urbane și metropolitane a Municipiilor reședință de județ</t>
  </si>
  <si>
    <t>Bihor, Cluj, Maramureș, Costanța, Mehedinți</t>
  </si>
  <si>
    <t>Oradea, Cluj-Napoca, Baia Mare, Constanța</t>
  </si>
  <si>
    <t>Asociația pentru Promovarea Afacerilor în România</t>
  </si>
  <si>
    <t>Voluntari112</t>
  </si>
  <si>
    <t>2, 4, 6, 7</t>
  </si>
  <si>
    <t>Obiectivul general al proiectului este acela de a realiza un sistem de informare eficienta si coordonata intre serviciile voluntare pentru
situatii de urgenta din judetul Bihor, respectiv imbunatatirea competentelor si cunostintelor pompierilor voluntari, pentru imbunatatirea
gestionarii dezastrelor in judet.                                                                                                                                                                                                                                                                 Obiectivele specifice ale proiectului
1. OS1 – Generarea si mentinerea unui mecanism de cooperare intre SVSU si pompierii voluntari din judetul Bihor
2. OS2 – Cresterea vizibilitatii si constinetizarea luptei impotriva situatiilor de urgenta si revigorarea prestigiului acestei vocatii nobile.
3. OS3 – Cresterea capacitatii membriilor APPAR-lui prin imbunatatirea competentelor a membriilor acestuia cu privire la
gestionarea riscurilor si de acordarea primului ajutor, respectiv prin implicare activa in formularea si promovarea dezvoltarii la
nivel local si prin crearea unor parteneriate micro regionale in domeniul SVSU.</t>
  </si>
  <si>
    <t>Asociația Institutul pentru Dezvoltare Locală - Think Local Act Global</t>
  </si>
  <si>
    <t>Solutii inovative pentru orașe verzi</t>
  </si>
  <si>
    <t>Arad, Caraș-Severin, Timiș</t>
  </si>
  <si>
    <t>Arad, Reșița, Lugoj, Timișoara</t>
  </si>
  <si>
    <t>Consolidarea capacitatii interne a Asociatiei INSTITUTUL PENTRU DEZVOLTARE LOCALA – THINK GLOBAL ACT LOCAL de a se
implica in formularea politicilor de dezvoltare urbana durabila si de transformare a municipiilor Arad, Lugoj, Resita si Timisoara in „orase
verzi”.
Obiectivele specifice ale proiectului
1. Realizarea unei analize la nivelul municipiilor Arad, Lugoj, Resita si Timisoara privind capacitatea acestora de a se alinia
principiilor europene referitoare la neutralitatea emisiilor de carbon si de a deveni „orase verzi”.
2. Asigurarea sustenabilitatii parteneriatelor de dezvoltare locala incheiate cu cele 4 municipii prin dezvoltarea unui mecanism
inovator de promovare a dezvoltarii urbane durabile si a neutralitatii emisiilor de carbon.
3. Stimularea gradului de implicare a cetatenilor celor 4 orase in atingerea obiectivelor de dezvoltare urbana durabila, prin
desfasurarea unui concurs de solutii viabile in atingerii tintei de „oras verde”.</t>
  </si>
  <si>
    <t>Clusterul Regional Inovativ de Imagistică Moleculară și Structurală Nord – Est (IMAGO - MOL)</t>
  </si>
  <si>
    <t>Iași - Smart Health City</t>
  </si>
  <si>
    <t>Asociația Județeană de Fotbal Hunedoara</t>
  </si>
  <si>
    <t>Fotbalul este mai mult decât un joc</t>
  </si>
  <si>
    <t>Crișcior, Deva, Hunedoara, Petroșani, Geoagiu, Hațeg, Sântămăria-Orlea</t>
  </si>
  <si>
    <t>Obiectivul General al proiectului este cresterea capacitatii de dezvoltare strategica si implicare a organizatiilor neguvernamentale care
activeaza in domeniul sportiv, in vederea dezvoltarii fotbalului din Romania prin formularea si promovarea de propuneri alternative cu
impact local si national, dezvoltarea de instrumente de monitorizare si evaluare independenta a politicilor si strategiilor de dezvoltare a
fotbalului, precum si dezvoltarea si implementarea de mecanisme de consultare a autoritatilor si institutiilor publice cu ong-urile si cetatenii in elaborarea politicilor si strategiilor la nivel local.
In vederea indeplinirii obiectivului principal, precum si a obiectivelor specifice proiectului, se vor avea in vedere:
- Dezvoltarea abilitatilor ong-urilor in a influenta modul in care se gandesc si se implementeaza strategiile de dezvoltare a fotbalului la
nivel local si national;
- Facilitarea unor dialoguri deschise intre ong-uri si institutiile publice, astfel incat toti actorii relevanti sa devina mai responsabili si
raspunzatori fata de rezultatele politicilor si strategiilor de dezvoltare initiate.
Obiectivul general corespunde prioritatilor strategice POCA, Axa 2, si contribuie direct, in mod concret, la atingerea OS 2.1: Introducerea
de sisteme si standarde comune in administratia publica locala ce optimizeaza procesele orientate catre beneficiari in concordanta cu
SCAP.
Obiectivele specifice ale proiectului
1. 1. O1. Dezvoltarea abilitatilor si competentelor teoretice si practice a cel putin 50 reprezentanti ai ONGurilor care activeaza in
domeniul sportiv, cu un accent pe dezvoltarea abilitatilor manageriale si de comunicare, astfel incat acestia sa-si poata mai bine
reprezenta interesele si sa intervina profesional in dialogul social si procesul decizional de elaborare a strategiilor de dezvoltare a
fotbalului.
2. O2. Sprijinirea atat a ong-urilor cat si a institutiilor publice, in dezvoltarea si implementarea de mecanisme de consultare, in
vederea elaborarii politicilor si strategiilor de dezvoltare a fotbalului la nivel local si national.</t>
  </si>
  <si>
    <t>Asociația Metropolitană pentru Dezvoltare Durabilă a Transportului Public Brașov</t>
  </si>
  <si>
    <t>ACTIV-D Abilitati si Competente Transversale
Inovative pentru un Viitor DURABIL</t>
  </si>
  <si>
    <t>ASOCIAŢIA ÎNTREPRINDERILOR MICI ŞI MIJLOCII COVASNA - ASIMCOV</t>
  </si>
  <si>
    <t>Consolidarea capacității de dezvoltare a
bioeconomiei inteligente în județul Covasna</t>
  </si>
  <si>
    <t>Implementarea de proceduri simplificate pentru reducerea birocrației pentru cetățeni la nivelul municipiului Bistrița în domenii de activitate cu competență partajată asistență socială si urbanism</t>
  </si>
  <si>
    <t>Asociaţia "Astrico Nord-Est" Săvineşti</t>
  </si>
  <si>
    <t>Mecanisme participative pentru dezvoltare
economică locală în municipiul Piatra Neamt</t>
  </si>
  <si>
    <t>AA1/2.10.2020 durata  AA2/8.12.2021 durata AA3/2.06.2022 durata si buget</t>
  </si>
  <si>
    <t>AA1/3.06.2021 durata AA2/4.10.2021 durata  AA3/23.06.2022 durata</t>
  </si>
  <si>
    <t>Asociația pentru Dezvoltarea Economiei Sociale Fortunatis</t>
  </si>
  <si>
    <t>Dezvoltare durabilă la nivel local</t>
  </si>
  <si>
    <t xml:space="preserve">Alba, Mureș, Sibiu, </t>
  </si>
  <si>
    <t>Alba-Iulia, Sibiu, Târgu Mureș, Miercurea Sibiului</t>
  </si>
  <si>
    <t>Asociația Tinerilor cu Inițiativă din Zona Olteniei - ATIZO</t>
  </si>
  <si>
    <t>ONG - O șansă pentru dezvoltarea administratiei
publice locale</t>
  </si>
  <si>
    <t>Coțofenii din Față</t>
  </si>
  <si>
    <t>Societatea de Cruce Roșie Filiala Arad</t>
  </si>
  <si>
    <t>O șansă pentru fiecare</t>
  </si>
  <si>
    <t>Asociația Centrul de Resurse APOLLO</t>
  </si>
  <si>
    <t>Sunt activ, sunt cetățean!</t>
  </si>
  <si>
    <t>Ariceștii Rahtivani</t>
  </si>
  <si>
    <t>Asociația Măgurele Science Park</t>
  </si>
  <si>
    <t>CONNECT - Dezvoltarea publică locală prin inovare și conectarea părților interesate</t>
  </si>
  <si>
    <t xml:space="preserve">CP14/2021more (POCA/660/2/1) </t>
  </si>
  <si>
    <t>AA1/22.07.2019 AA3/23.12.2020 durata si buget AA4/23.06.2021 durata, partener, ue, cb, bn         AA5/7.12.2021 durata si ue+cb AA6/28.06.2022 durata</t>
  </si>
  <si>
    <t>AA1/24.06.2022 durata</t>
  </si>
  <si>
    <t>AA1/11.04.2022 durata   AA2/28.06.2022 ue si cb</t>
  </si>
  <si>
    <t>AA1/27.10.2021 durata AA2/24.06.2022 durata</t>
  </si>
  <si>
    <t>AA1/30.06.2022 durata, ue si cb</t>
  </si>
  <si>
    <t>AA1/23.08.2021 durata si ue+cb         AA2/30.06.2022 durata</t>
  </si>
  <si>
    <t>Ordin 1352/24.03.2020 Ordin 738/28.05.2021 buget si durata                       Ordin 1328/4.07.2022 durata</t>
  </si>
  <si>
    <t>Societatea Națională de Cruce Roșie Filiala Sălaj</t>
  </si>
  <si>
    <t>Fii activ în Sălaj!</t>
  </si>
  <si>
    <t>Obiectivul general al proiectului “Fii activ în Salaj!” consta in cresterea capacitatii organizationale a SNCRR Filiala Salaj de a se implica în
formularea si promovarea dezvoltarii la nivel local prin dezvoltarea retelei de voluntari in judetul Salaj ce vine in sprijinul comunitatii in
situatie de criza si totodata crearea unui instrument comun de interventie in situatie de criza. Prin activitatile propuse, SNCRR Filiala Salaj
isi va extinde aria de interventie si va multiplica activitatile cu impact pozitiv in comunitate, precum si initiative care îsi propun cresterea
implicarii cetatenilor în comunitate si în procesul de luare a deciziilor.
Obiectivele specifice ale proiectului
1. OS1. Cresterea capacitatii organizationale a SNCRR Filiala Salaj prin construirea unui dialog sustenabil cu societatea civila si
administratia publica din judet;
2. OS2. Cresterea gradului de constientizare a rolului societatii civile in comunitate, elaborarea unui instrument/ghid de bune practici
de interventie in sitiuatie de criza;
3. OS3. Cresterea gradului de pregatire profesionala in domeniul asistentei primului ajutor in vederea asigurarii unui grad ridicat de
interventie in comunitate, in situatie de criza;
4. OS4. Cresterea premiselor de colaborare ale comunitatii si participarea/implicarea acesteia în procesul de luare a deciziilor;
5. OS5. Dezvoltarea retelei de voluntari in judetul Salaj;
6. OS6. Consolidarea parteneriatului intre societatea civila si administratia publica prin actiuni constante de implicare reciproca in
viata comunitatii;
7. OS7. Cresterea gradului de constientizare privind egalitatea de sanse si nediscriminarea in in comunitate precum si a obiectivelor
de dezvoltare durabila;</t>
  </si>
  <si>
    <t>Implementarea Mecanismului de Consultare Primării-ONG-Cetățeni</t>
  </si>
  <si>
    <t>Buzau</t>
  </si>
  <si>
    <t>Nehoiu, Siriu</t>
  </si>
  <si>
    <t>Consolidarea capacitatii ONGului Asociatia pentru Dezvoltare Comunitara Nehoiu (A.D.C.N) de a se implica in formularea si
promovarea dezvoltarii la nivel local in UAT Nehoiu si Siriu, prin introducerea unui Mecanism de Consultare Primarie-ONG-Cetateni                          OS1: Evaluarea Gradului Actual de Consultare a Primariilor Nehoiu si Siriu cu ONG-uri si cu Cetatenii                                                                                                   OS2:Implementarea unui Mecanism de Consultare intre Primariile Nehoiu / Siriu si A.D.C.N. cu implicarea Cetatenilor prin
Introducerea unui Instrument modern de transmitere propuneri de la cetateni cu privire la dezvoltarea locala                                                                               OS3 Dezvoltarea cunostiintelor si abilitatilor unui nr de 50 de angajati ai Primariei Nehoiu si Siriu, la nivel UAT Nehoiu si Siriu in
vederea dobandirii abiitatilor necesare functionarii Mecanismului de Consultare                                                                                                                                                  OS4: Dezvoltarea cunostiintelor si abilitatilor unui nr de 50 de angajati si voluntari A.D.C.N. la nivel UAT Nehoiu si Siriu in
vederea intelegerii, prelucrarii si transmiterii evaluarilor propunerilor cetatenilor si transpunerii rezultatelor acestor evaluari in
propuneri pentru actiuni directe de la nivelul autoritatii publice locale Nehoiu si Siriu</t>
  </si>
  <si>
    <t>Federația ”Uniunea Națională a Organizațiilor Persoanelor Afectate de HIV/SIDA (UNOPA)”</t>
  </si>
  <si>
    <t>Rețea pentru dezvoltare locală și dialog civic Giurgiu</t>
  </si>
  <si>
    <t>Capacitarea societatii civile (ONG-uri, parteneri sociali), ca premisa pentru implicarea in dezvoltarea locala si consolidarea relatiei intre
comunitate si administratia publica locala in judetul Giurgiu, cu focus pe domeniul sanatate si protectie sociala.                                                                       OS.1 Cresterea capacitatii de utilizare a mecanismelelor si instrumentelor de participare/consultare pentru 80 reprezentanti ai
ONG-urilor si partenerilor sociali din judetul Giurgiu.                                                                                                                                                                                                                   OS.2 Dezvoltarea dialogului civic intre reprezentantii societatii civile (parteneri sociali, ONG-uri etc.), personalul din autoritatile
si institutiile publice locale, alesii locali si cetateni in vederea cresterii implicarii comunitatii locale in procesul de luare a deciziilor,
la nivelul judetului Giurgiu (80 persoane).</t>
  </si>
  <si>
    <t>Asociația Cluster pentru Inovare și Tehnologie</t>
  </si>
  <si>
    <t>Dezvoltarea locală prin crearea și operaționalizarea
Consiliului Digital Brașov</t>
  </si>
  <si>
    <t>AGENTIA
METROPOLITA
NA PENTRU
DEZVOLTARE
DURABILA
BRASOV</t>
  </si>
  <si>
    <t>Obiectivul general al proiectului consta in dezvoltarea capacitatii organizatiilor neguvernamentale si partenerilor sociali locali de a identifica
si promova politici publice inovatoare care sa optimizeze procesele administratiei publice orientate catre cetateni.
Obiectivele specifice ale proiectului
1. OS1. Dezvoltarea unui parteneriat intre ACIT, AMB si Primaria Municipiului Brasov pentru infiintarea si functionalizarea Consiliului
Digital Brasov.
2. OS2. Cresterea capacitatii membrilor ACIT, AMB si Primariei Municipiului Brasov de a formula politici publice in domenii precum
digitalizare, inovare si antreprenoriat.
3. OS3. Dezvoltarea si implementarea de mecanisme, proceduri, instrumente de consolidare a dialogului social si civic pe tematicile
transformare digitala, inovare, smart city si antreprenoriat.</t>
  </si>
  <si>
    <t>Fundația Națională pentru Tineret</t>
  </si>
  <si>
    <t>Cooperare și dezvoltare pentru o comunitate durabilă</t>
  </si>
  <si>
    <t>FUNDATIA
JUDETEANA
PENTRU
TINERET
TIMIS</t>
  </si>
  <si>
    <t>5,7</t>
  </si>
  <si>
    <t>Sibiu, Hunedoara</t>
  </si>
  <si>
    <t>Asociația "Centrul Regional de Voluntariat"</t>
  </si>
  <si>
    <t>Un viitor mai bun - administrație locală
eficientă</t>
  </si>
  <si>
    <t>Amarastii de Jos</t>
  </si>
  <si>
    <t>Asociația "Green Energy"</t>
  </si>
  <si>
    <t>Green Deal Targu Secuiesc – Parteneriat local
pentru o comunitate sustenabilă și independentă energetic</t>
  </si>
  <si>
    <t>Obiectivul general al proiectului este consolidarea capacitatii interne a Asociatiei Green Energy de a formula si implementa mecanisme
colaborative intre mediul de afaceri, reprezentantii societatii civile si autoritatile publice locale pentru promovarea si dezvoltarea unor
comunitati sustenabile si independente energetic in zona Targu Secuiesc din judetul Covasna
Obiectivele specifice ale proiectului
1. Identificarea situatiei actuale referitoare la capacitatea si modalitatile de colaborare intre actori locali ca premisa a promovarii si
dezvoltarii unor comunitati sustenabile energetic prin maparea partilor interesate si a initiativelor existente in domeniul energiei
regenerabile
2. Consolidarea capacitatii interne a Asociatiei Green Energy de a formula si implementa mecanisme colaborative prin elaborarea
unei metodologii de generare a comunitatilor sustenabile si independente energetic
3. Intensificarea proceselor de invatare individuala si institutionala la nivelul Asociatiei Green Energy, a societatii civile si autoritatilor
publice locale prin activitati de formare in domeniul politicilor publice si dezvoltarii locale.</t>
  </si>
  <si>
    <t>ASOCIAȚIA INEDITRAVEL</t>
  </si>
  <si>
    <t>Vlădești</t>
  </si>
  <si>
    <t>Cetățenie activă și interactivă la Vlădești</t>
  </si>
  <si>
    <t>Societatea de Educație Contraceptivă și Sexuală</t>
  </si>
  <si>
    <t>MATERNAHUB</t>
  </si>
  <si>
    <t>FEDERAȚIA PATRONATELOR ÎNTREPRINDERILOR DE LA MICI LA MARI</t>
  </si>
  <si>
    <t>Creșterea nivelului de cunoaștere cu privire la reducerea risipei alimentare</t>
  </si>
  <si>
    <t>Asociația Stațiunilor Turistice</t>
  </si>
  <si>
    <t>Drăghiceni, Giuvărăști, Ianca, Izbiceni, Caracal, Vișina</t>
  </si>
  <si>
    <t>TERRA MILENIUL III</t>
  </si>
  <si>
    <t>Implicarea ONGurilor în dezvoltarea durabila a municipiului Moreni ca pol de creștere</t>
  </si>
  <si>
    <t>ASOCIAȚIA PENTRU PROMOVAREA ALIMENTULUI ROMÂNESC - A.P.A.R</t>
  </si>
  <si>
    <t>Dialog pentru Consens</t>
  </si>
  <si>
    <t>ASOCIAȚIA PENTRU DEZVOLTARE COMUNITARĂ NEHOIU</t>
  </si>
  <si>
    <t>AA2/4.07.2022 durata si ue, bn</t>
  </si>
  <si>
    <t>AA1/23.12.2020 durata  AA2/16.12.2021 durata AA3/23.03.2022 durata  AA4/6.07.2022 durata</t>
  </si>
  <si>
    <t>AA1/8.07.2022 durata</t>
  </si>
  <si>
    <t>CAMERA DE COMERT INDUSTRIE, NAVIGAȚIE ȘI AGRICULTURA</t>
  </si>
  <si>
    <t>Dezvoltarea locală a UAT Tuzla prin promovarea resurselor locale</t>
  </si>
  <si>
    <t>Tuzla</t>
  </si>
  <si>
    <t>Instrumente de lucru și formare pentru Organizații de Viitor_ILFOV</t>
  </si>
  <si>
    <t>ASOCIAȚIA ROMÂNĂ PENTRU TRANSPARENȚĂ</t>
  </si>
  <si>
    <t>Brănești</t>
  </si>
  <si>
    <t>ASOCIATIA "CENTRUL DE RESURSE SI INFORMARE PENTRU PROFESIUNI SOCIALE" C.R.I.P.S.</t>
  </si>
  <si>
    <t>DAP Social Dialog, Acțiune, Profesionalism pentru dezvoltarea sistemului de servicii sociale in județul Ialomița</t>
  </si>
  <si>
    <t>3, 8</t>
  </si>
  <si>
    <t>Ialomița, București</t>
  </si>
  <si>
    <t>Slobozia, București</t>
  </si>
  <si>
    <t>Cresterea capacitatii ONGurilor active in sectorul social de a se implica în promovarea dezvoltarii serviciilor sociale, participand la
elaborarea, implementarea si monitorizarea strategiei de dezvoltare a serviciilor sociale la nivel local                                                                                           OS1: Crestera participarii ONGurilor la analiza de nevoi, elaborarea , definitivarea si monitorizarea aplicarii unei Strategii
Judetene de Dezvoltare a Serviciilor Sociale SJDSS, incepand cu luna a 2-a si inca 6 luni dupa finalizarea implementarii
proiectului – prin crearea si functionarea unui mecanism consultativ public-privat                                                                                                                                           OS2 Imbunatatirea competentelor reprezentantilor ONG (24 persoane) si a specialistilor din servicii sociale publice din judetul
Ialomita (20 persoane) pentru aplicarea practicilor de implicare a beneficiarilor in procesul de consultare cu privire la calitatea
serviciilor sociale , prin elaborarea si pilotarea unui model de formare incepand cu luna a 3-a si pana in luna a 12-a de
implementare                                                                                                                                                                                                                                                                                                            OS3 Cresterea accesului la informatie si imbunatatirea participarii personalului din ONGuri la dialog social si civic pe tema
dezvoltarii sistemului de servicii sociale , in randul a peste 20 de ONGuri pana la finalul proiectului (min 6 din judetul Ialomita si 14
din alte judete / sectoare ale mun Bucuresti) si a peste 20 de servicii publice din alte judete/ sectoare ale mun Bucuresti, incepand
cu luna a 4-a si si inca 6 luni dupa finalizarea implementarii proiectului – prin crearea si actualizarea unui website specializat</t>
  </si>
  <si>
    <t>ASOCIAȚIA PENTRU PROMOVAREA TURISMULUI DIN ORADEA ȘI REGIUNE</t>
  </si>
  <si>
    <t>Intarirea capacitatii de gestionare si coordonare a dezvoltarii turismului de la nivelul municipiului Oradea - VisIT Oradea</t>
  </si>
  <si>
    <t>Scopul proiectului este de a contribui la sprijinirea relansarii si dezvoltarii turismului la nivelul municipiului Oradea, prin implementarea
unor proceduri si instrumente noi, participative de colectare si analiza a informatiilor din domeniu. Astfel, obiectivul contribuie la atingerea
obiectivului specific 2.1. al POCA avand in vedere ca introduce sisteme (instrumente) si standarde (proceduri) ale caror rezultate vor fi
preluate de catre administratia publica locala (Primaria Municipiului Oradea) in baza Parteneriatului pentru Dezvoltare Locala incheiat ca
parte a prezentului proiect.                                                                                                                                                                                                                                                                                                                                     1. Obiectivul specific 1: Diagnosticarea principalelor provocari si obstacole intampinate de actorii relevanti din turismul oradean in
ceea ce priveste prezenta in mediul online, precum si formularea de recomandari pentru imbunatatirea situatiei pe baza acestei
analize
2. Obiectivul specific 2: Dezvoltarea unei platforme informatice pentru facilitarea interactiunii digitale dintre actorii principali din
turism si administratia publica locala, in vederea asigurarii fundamentelor pentru elaborarea politicilor publice locale precum si a
monitorizarii implementarii acestora
3. Obiectivul specific 3: Intarirea capacitatii de definire, implementare si monitorizare a politicilor publice locale, in vederea
impulsionarii turismului la nivelul municipiului Oradea, prin organizarea unei sesiuni de formare in domeniul elaborarii strategiilor
de dezvoltare in domeniul turismului</t>
  </si>
  <si>
    <t>Fundația Paem Alba</t>
  </si>
  <si>
    <t>Dezvoltare locala, parteneriate strategice - DLS</t>
  </si>
  <si>
    <t>Obiectiv general - Cresterea capacitatii de dezvoltare strategica locala si implicarea ONGurilor din domeniul dezvoltarii economice si
locale, in formularea si promovarea dezvoltarii la nivel local prin parteneriate sustenabile, precum si dezvoltarea de instrumente, proceduri
de lucru, mecanisme de consultare publica, pentru sustinerea dezvoltarii durabile cu implicarea actorilor relevanti din comunitatile vizate.          1. O1. Dezvoltarea abilitatilor si competentelor practice a cel putin 20 reprezentanti ai ONGurilor cu focus pe dezvoltare economica
si locala, in a se implica in formularea si promovarea dezvoltarii la nivel local, in a interveni profesional in dialogul civic si procesul
decizional, pe diferite nivele ierarhice, in aria cheie promovare locala&amp;antreprenoriat rural.
2. O2. Facilitarea dezvoltarii de mecanisme si actiuni de consultare a autoritatilor si institutiilor publice cu ONGurile precum si
implicarea cetatenilor in elaborarea politicilor si strategiilor la nivel local, dezvoltarea de instrumente de monitorizare si evaluare
independenta a politicilor si strategiilor la nivel local, actiuni cu impact direct in zonele vizate asupra antreprenoriatului local si
promovare turistica prin oferirea de suport integrat.</t>
  </si>
  <si>
    <t>Bucium, Mogoș, Alba Iulia, Ponor, Râmeț, Întregalde</t>
  </si>
  <si>
    <t>ASOCIAȚIA GO-AHEAD</t>
  </si>
  <si>
    <t>Cetățenie activă într-o lume digitala</t>
  </si>
  <si>
    <t>Obiectivul general al proiectului este cresterea capacitatii Asociatiei GO-AHEAD si a altor organizatii non-guvernamentale de a se implica
in formularea si promovarea dezvoltarii locale, prin participarea la programe de instruire pe tematici actuale, implementarea de proceduri,
mecanisme, programe si campanii de constientizare de Cetatenie Activa si Competente Digitale dedicate cetatenilor Sectorului 4.                          OS1: Sustinerea si promovarea dezvoltarii locale prin dezvoltarea de materiale si programe de formare dedicate cetateniei active
in lumea digitala, precum si prin sesiuni de consultare cu societatea civila/partenerii sociali si campanii de constientizare in
vederea cresterii competentelor, folosirii facilitatilor digitale existente si implicarii cetatenilor in procesele decizionale de la nivelul
Sectorului 4.
OS2. Dezvoltarea abilitatilor si competentelor practice a cel putin 30 de reprezentanti ai Asociatiei GO-AHEAD si organizatiilor
non-guvernamentale care au aderat la parteneriatul propus, in a promova si sustine initiative concrete si relevante de cetatenie
activa si competente digitale crescute ale cetatenilor Sectorului.</t>
  </si>
  <si>
    <t>AA1/2.09.2020 durata  AA2/11.07.2022 durata si buget</t>
  </si>
  <si>
    <t>AA 1/15.01.2019 - SUSPENDARE 3 LUNI AA2/16.04.2020 - suspendare 3 luni AA3/16.07.2020 suspendare 2 luni; AA4/23.06.2021 durata si buget                AA5/11.07.2022 durata si buget</t>
  </si>
  <si>
    <t>AA1/29.10.2020 durata si buget                  AA2/18.01.2022 durata AA3/11.07.2022 buget(neeligibil)</t>
  </si>
  <si>
    <t>AA1/13.10.2020 durata, ue, cb                                   AA2/2.02.2022 durata                      AA3/11.07.2022 buget</t>
  </si>
  <si>
    <t>Asociația Urban INC</t>
  </si>
  <si>
    <t>I-Lab</t>
  </si>
  <si>
    <t>Cresterea capacitatii Asociatiei Urban INC de a se implica in formularea si promovarea politicilor publice bazate pe dovezi si pe principii
inovative si de colaborare multi-actori la nivelul sectorului 2 si sectorului 6 din Bucuresti.
Obiectivele specifice ale proiectului
1. Consolidarea capacitatii interne a Asociatiei Urban INC in vederea mentinerii de membri si voluntari capabili sa lucreze in aria de
interventie legata de formularea si promovarea politicilor publice de dezvoltare locala bazate pe dovezi si pe principii innovative si
de colaborare multi-actori.
2. Imbunatatirea capacitatii grupului tinta al proiectului de a lucru cu metode specifice politicilor publice de dezvoltare locala bazate
pe dovezi si pe principii inovative si de colaborare multi-actori.</t>
  </si>
  <si>
    <t>CONSILIUL NAȚIONAL AL ÎNTREPRINDERILOR PRIVATE MICI ȘI MIJLOCII DIN ROMÂNIA</t>
  </si>
  <si>
    <t>Bucharest Business Agency</t>
  </si>
  <si>
    <t>Sibiu Business Agency</t>
  </si>
  <si>
    <t>Construim comunitati si oameni prin dialog structurat
si participare publica</t>
  </si>
  <si>
    <t>ASOCIAŢIA DE
TINERET ONIX</t>
  </si>
  <si>
    <t xml:space="preserve">2, 3, 4 </t>
  </si>
  <si>
    <t>Buzău, Constanța, Dâmbovița, Giurgiu, Prahova, Gorj</t>
  </si>
  <si>
    <t>Dezvoltarea Inteligenței Digitale pentru o Cetățenie activă</t>
  </si>
  <si>
    <t>Dezvoltarea si implementarea de parteneriate si mecanisme de cooperare între autoritatile publice, ONG-uri si societatea civila pentru
elaborarea de instrumente de monitorizare si evaluare a dialogului social structurat privind accesul tinerilor în pozitii de conducere în plan
local, precum si dezvoltarea capacitatilor membrilor ONG-urilor si ai reprezentantilor comunitatii locale prin instruiri si participari la retele tematice.                                                                                                                                                                                                                                                                                                                        OS1. Dezvoltarea si implementarea a 3 parteneriate locale APL-ONG-societatea civila pentru facilitarea accesului tinerilor la
pozitii de conducere si participarea la actul administrativ la nivel local
OS2. Instruirea si certificarea a 60 de membri ai grupului tinta din ONG-uri, APL si partenerilor sociali în vederea întariririi
competentelor pentru dezvoltare locala
OS3. Organizarea si desfasurarea a 6 dezbateri publice pe teme de egalitate de sanse, nediscriminare si dezvoltare durabila</t>
  </si>
  <si>
    <t xml:space="preserve">Cresterea capacitatii Asociatiei GO-AHEAD si a altor organizatii non-guvernamentale de a se implica in formularea si promovarea
dezvoltarii locale, prin participarea la programe de instruire pe tematici actuale, implementarea de proceduri, mecanisme, programe si
campanii de constientizare de Cetatenie Activa si Competente Digitale dedicate cetatenilor judetului Prahova.                                                                           OS1: Sustinerea si promovarea dezvoltarii locale prin dezvoltarea de materiale si programe de formare dedicate cetateniei active
in lumea digitala, precum si prin sesiuni de consultare cu societatea civila/partenerii sociali si campanii de constientizare in
vederea cresterii competentelor, folosirii facilitatilor digitale existente si implicarii cetatenilor in procesele decizionale de la nivelul
judetului Prahova.
OS2: Dezvoltarea abilitatilor si competentelor practice a cel putin 30 de reprezentanti ai Asociatiei GO-AHEAD si ai organizatiilor
non-guvernamentale active din judetul Prahova, care vor adera la parteneriatul propus, pentru a promova si sustine initiative
concrete si relevante de cetatenie activa si competente digitale crescute ale cetatenilor judetu                                                                   </t>
  </si>
  <si>
    <t>ASOCIATIA REGIONALA PENTRU DEZVOLTARE ANTREPRENORIALA OLTENIA cu acronimul (ARDA
OLTENIA)</t>
  </si>
  <si>
    <t>Implicare civică pentru un Mehedinți durabil</t>
  </si>
  <si>
    <t>ASOCIATIA PENTRU COOPERARE SI DEZVOLTARE DURABILA</t>
  </si>
  <si>
    <t>Implicat în dezvoltarea durabilă a județului Brașov</t>
  </si>
  <si>
    <t>Dezvoltarea capacitatilor ONG-urilor si actorilor sociali din judetul Brasov de a se implica activ în formularea, sustinerea si promovarea
dezvoltarii durabile la nivelul judetului.
Obiectivele specifice ale proiectului
1. Consolidarea capacitatii interne a ONG-urilor si partenerilor sociali prin dezvoltarea de abilitati specifice privind implicarea
angajatilor ONG-urilor si a partenerilor sociali in demersul de elaborare
2. Devoltarea la nivelul judetului Brasov a unui Hub-de dezvoltare durabila cu rolul de a facilita cooperarea si schimbul de bune
practici intre ONG-uri, societatea civila si autoritatile publice pentru implementarea celor 17 Obiective pentru Dezvoltare Durabila
ale Agendei 2030
3. Cresterea gradului de informare si constientizare a societatii civile privind implicarea comunitatii în viata publica si participarea la
procese decizionale</t>
  </si>
  <si>
    <t>FILIALA BACĂU A SOCIETĂȚII NAȚIONALE DE CRUCE ROȘIE ROMÂNIA AFJ</t>
  </si>
  <si>
    <t>Fii implicat în Colonești!</t>
  </si>
  <si>
    <t>Colonești</t>
  </si>
  <si>
    <t>ASOCIAȚIA DE DEZVOLTARE INTERCOMUNITARĂ ZONA METROPOLITANĂ SIBIU</t>
  </si>
  <si>
    <t>Dezvoltarea locală prin cetățenie participativă: Fii cetățean, nu doar contribuabil!</t>
  </si>
  <si>
    <t>ASOCIAȚIA ALADIN DEVA</t>
  </si>
  <si>
    <t>ÎMPREUNĂ, PENTRU EDUCAȚIE!</t>
  </si>
  <si>
    <t>Băcia, Deva, Simeria, Rapoltu Mare</t>
  </si>
  <si>
    <t>Societatea Națională de Cruce Roșie din România Filiala Caraș-Severin</t>
  </si>
  <si>
    <t>Școala pentru viitor</t>
  </si>
  <si>
    <t>Topleț</t>
  </si>
  <si>
    <t>ASOCIAȚIA EUROCOMUNICARE</t>
  </si>
  <si>
    <t>Responsabilizare pentru digitalizare</t>
  </si>
  <si>
    <t>AA1/12.02.2021 durata                  AA2/14.07.2022 durata</t>
  </si>
  <si>
    <t>SOCIETATEA DE CRUCE ROȘIE A ROMÂNIEI FILIALA IAȘI</t>
  </si>
  <si>
    <t>Fii pregătit</t>
  </si>
  <si>
    <t>Plugari</t>
  </si>
  <si>
    <t>Societatea Națională de Cruce Roșie din România Filiala Satu Mare</t>
  </si>
  <si>
    <t>În sprijinul comunităților</t>
  </si>
  <si>
    <t>Obiectivul general al proiectului “In sprijinul comunitatilor” consta în cresterea capacitatii organizationale a SNCRR Filiala Satu Mare de a
se implica în formularea si promovarea dezvoltarii la nivel local prin dezvoltarea retelei de voluntari in Municipiul Satu Mare ce vin in
sprijinul comunitatii precum si elaborarea unui instrument comun privind managementul stresului in situatie de criza/dezastru/pandemie.          si administratia publica;
1.OS1. Cresterea capacitatii organizationale a SNCRR Filiala Satu Mare prin construirea unui dialog sustenabil cu societatea civila
si administratia publica;
2. OS2. Cresterea gradului de constientizare a rolului societatii civile in comunitate prin elaborarea unui instrument/ghid de bune
practici privind managementul stresului in caz de dezastru/situatie de criza;
3. OS3. Cresterea gradului de pregatire profesionala in domeniul managementului stresului in caz de dezastru/situatie de
criza/pandemie, in vederea asigurarii unui grad ridicat de interventie in comunitate;
4. OS4. Cresterea premiselor de colaborare ale comunitatii si participarea/implicarea acesteia în procesul de luare a deciziilor;
5. OS5. Dezvoltarea retelei de voluntari in Municipiul Satu Mare prin incheierea a minim 50 de contracte de voluntariat;
6. OS6. Consolidarea parteneriatului intre societatea civila si administratia publica prin actiuni constante de implicare reciproca in
viata comunitatii;
7. OS7. Cresterea gradului de constientizare privind egalitatea de sanse si nediscriminarea in in comunitate precum si a protectiei
mediului prin promovarea obiectivelor de dezvoltare durabila</t>
  </si>
  <si>
    <t>ASOCIAȚIA „AI ÎNCREDERE”</t>
  </si>
  <si>
    <t>DEZVOLTARE, PARTICIPARE ȘI IMPLICARE</t>
  </si>
  <si>
    <t>Obiectivul general vizeaza introducerea unui sistem respectiv a unui standard comun care asigura optimizarea proceselor orientate catre
cetateni în vederea cresterii calitative a actului administrativ si a politicilor publice care vizeaza dezvoltarea locala contribuind astfel la
cresterea nivelului de implicare si participare al cetatenilor in procesele decizionale in comuna Ceamurlia de Jos                                                                  OS.1. Cresterea capacitatii societatii civile (ONG-uri si parteneri sociali) de a se implica in formularea si promovarea dezvoltarii la
nivel local prin includerea in cursuri de formare profesionala a 40 de cetateni din comuna Ceamurlia de Jos.                                                                               OS.2. Cresterea calitatii administratiei publice in Ceamurlia de Jos prin dezvoltarea unui mecanism comun de consultare si
integrare a cetatenilor in procesul decizional, mecanism care va integra un set de proceduri standard specifice, un instrument IT
de tip platforma online precum si minim 5 parteneriate care vor functiona cel putin 6 luni de la finalizarea proiectului.</t>
  </si>
  <si>
    <t>Ceamurlia de Jos</t>
  </si>
  <si>
    <t>ASOCIAȚIA PENTRU POLITICI PUBLICE ȘI INCLUZIUNE SOCIALĂ</t>
  </si>
  <si>
    <t>Măsuri inovative pentru o comunitate dezvoltată</t>
  </si>
  <si>
    <t>ASOCIAȚIA EXPERT GROUP TRENING</t>
  </si>
  <si>
    <t>Creșterea capacității administrative prin dezvoltare la nivel local</t>
  </si>
  <si>
    <t>ASOCIAȚIA CENTRUL PENTRU POLITICI COMUNITARE REGIONALE "C.P.C.R."</t>
  </si>
  <si>
    <t>Management performanat la nivelul autorităților publice locale</t>
  </si>
  <si>
    <t>FUNDATIA SERVICIILOR SOCIALE BETHANY</t>
  </si>
  <si>
    <t>Tranziția de la primul la al doilea eșalon de elaborare a politicilor de economie socială – contribuția ONG-urilor și a partenerilor sociali la apariția unei agende de politici locale privind dezvoltarea întreprinderilor sociale</t>
  </si>
  <si>
    <t>1, 5</t>
  </si>
  <si>
    <t>Suceava, Bihor, Arad, Caraș-Severin, Timiș</t>
  </si>
  <si>
    <t>Asociația Română de Relații Internaționale si Studii Europene</t>
  </si>
  <si>
    <t>Consolidarea institutională a ARRISE pentru dezvoltarea locală participativă</t>
  </si>
  <si>
    <t>Obiectivul general al proiectului consta in consolidarea capacitatii Asociatiei Romane de Relatii Internationale si Studii Europene
(ARRISE) in vederea implicarii in formularea si promovarea dezvoltarii la nivel local, in regiuni mai putin dezvoltate, cu  focus pe strategia
de dezvoltare locala pentru perioada 2021-2027 a orasului Racari.                                                                                                                                                                               1.OS 1: Cresterea nivelului de cunostinte si abilitati in formularea si promovarea dezvoltarii la nivel local pentru 10 membri ai
Asociatiei, prin participarea la programe de formare specifice (Elaborare politici publice, Dezvoltare durabila si Metode si tehnici
de cercetare sociala)
2. OS 2: Cresterea nivelului de cunostinte si abilitati a 10 reprezentanti ai autoritatii locale din orasul Racari in domenii relevante
pentru tematica proiectului (Elaborare policiti publice si Accesare fonduri structurale), prin participarea la programe de formare
specifice, necesare implementarii si monitorizarii unei strategii de dezvoltare locala
3. OS 3: Realizarea unei analize diagnostic cu implicarea comunitatii din orasul Racari (autoritati locale, mediu privat, cetateni, alte
parti interesate), cu scopul identificarii principalelor directii si nevoi de dezvoltare locala
4. OS 4: Elaborarea unei propuneri de strategie de dezvoltare locala 2021-2027 pentru orasul Racari, judetul Dambovita, precum si
a unui mecanism de dialog continuu cu reprezentantii comunitatii locale
5. OS5: Implementarea unui proiect cu finantare nerambursabila, in vederea capacitarii ARRISE pentru implicarea in fomularea si
promovarea dezvoltarii la nivel local</t>
  </si>
  <si>
    <t>ASOCIAȚIA CENTRUL DE RESURSE ȘI FORMARE ÎN PROFESIUNI SOCIALE "PRO VOCAȚIE"</t>
  </si>
  <si>
    <t>Parteneriat Pentru Dezvoltarea Serviciilor Sociale în Corbeanca</t>
  </si>
  <si>
    <t>Optimizarea proceselor la nivelul autoritatii locale prin dezvoltarea de mecansime de cooperare intre Primaria Corbeanca si organizatiile
societatii civile precum si implementarea unor masuri de consultare a acestor organizatii si a cetatenilor in procesul de identificare a
prioritatilor de interventie in domeniul social si planificarea strategica.                                                                                                                                                                   1. OS 1 – Cresterea capacitatii ONG urilor si partenerilor sociali de a se implica in dezvoltarea serviciilor sociale la nivel local prin
monitorizarea si evaluarea gradului in care se implementeaza masurile si actiunile stabilite prin strategii nationale/locale in
domeniul vizat si propunerea de activitati pentru aplicarea acestora                                                                                                                                                                         2. OS 2 – Consolidarea colaborarii intre ONG uri, comunitate si autoritatea locala prin dezvoltarea si operationalizarea unui
mecanism de consultare a acestor categorii cu privire la masurile si actiunile necesare pentru dezvoltarea serviciilor sociale la
nivel local.                                                                                                                                                                                                                                                                                                                 3. OS 3 contribuie la realizarea obiectivului general al proiectului prin dezvoltarea competentelor, informatiilor si aptitudinilor a 80 de
persoane din cadrul ONG-urilor si a altor parteneri sociali in domeniul dezvoltarii strategice/comunitare, dezvoltarii serviciilor
sociale, nediscrimiare si egalitate de sanse si management de proiect.                                                                                                                                                                     4. OS 4 – Promovarea si sustinerea participarii partenerilor sociali si a cetatenilor la dezvoltarea serviciilor sociale la nivel local prin
organizarea unor workshopuri si ateliere de lucru care sa sustina implicarea si participarea civica in formularea interventiilor
prioritare si elaborarea strategiilor la nivel local.</t>
  </si>
  <si>
    <t>Corbeanca</t>
  </si>
  <si>
    <t>ASOCIAȚIA „ONE FOR HOPE”</t>
  </si>
  <si>
    <t>Dezvoltăm împreună Comuna Vlădeni</t>
  </si>
  <si>
    <t>Obiectivul general vizeaza introducerea unui sistem respectiv a unui standard comun care asigura optimizarea proceselor orientate catre
cetateni în vederea cresterii calitative a actului administrativ si a politicilor publice care vizeaza dezvoltarea locala contribuind astfel la
cresterea nivelului de implicare si participare al cetatenilor in procesele decizionale in comuna Vladeni, judetul Iasi.                                                            OS.1. Cresterea capacitatii societatii civile de a se implica in formularea si promovarea dezvoltarii la nivel local prin includerea in
cursuri de formare profesionala a 40 de cetateni (reprezentanti ai ong-urilor, parteneri sociale, alesi locali), din comuna Vladeni.                              OS.2. Cresterea calitatii administratiei publice locale in comuna Vladeni prin dezvoltarea unui mecanism comun de consultare si
integrare a cetatenilor in procesul decizional, mecanism care va integra un set de proceduri standard specifice, un instrument de
tip platforma online precum si minim 5 parteneriate care vor functiona cel putin 6 luni de la finalizarea proiectului.</t>
  </si>
  <si>
    <t>Vlădeni</t>
  </si>
  <si>
    <t>ASOCIAȚIA BUN VENIT TRANSILVANIA</t>
  </si>
  <si>
    <t>LAOLALTĂ NE E BINE" - Program de întărire a capacităților instituționale, de valorizare a resurselor locale și combaterea discriminării către o societate mai echilibrată și sustenabilă în Comuna Ticușu</t>
  </si>
  <si>
    <t>Ticușu</t>
  </si>
  <si>
    <t>ASOCIAȚIA ROMA ENTREPRENEURSHIP DEVELOPMENT</t>
  </si>
  <si>
    <t>Bugetare participativă în județul Vrancea - premisă pentru promovarea dezvoltării la nivel local</t>
  </si>
  <si>
    <t>ASOCIAȚIA STAȚIUNILOR TURISTICE</t>
  </si>
  <si>
    <t>Corelarea politicilor publice locale cu principiile dezvoltării durabile în turism</t>
  </si>
  <si>
    <t>ASOCIATIA EURO &lt;26</t>
  </si>
  <si>
    <t xml:space="preserve">5, 6,7 </t>
  </si>
  <si>
    <t>Hunedoara, Bihor, Sibiu, Harghita</t>
  </si>
  <si>
    <t>Geoagiu, Săcuieni, Bazna, Borsec</t>
  </si>
  <si>
    <t>Asociația Rază de Speranță în Interventia și Terapia Tulburărilor din Spectrul Autist</t>
  </si>
  <si>
    <t>Centrul de Resurse Sociale Comunitare - CRESC</t>
  </si>
  <si>
    <t>Proiectul isi propune consolidarea capacitatii ONG-urilor si partenerilor sociali din Municipiul Brasov de a se implica in formularea si
promovarea dezvoltarii la nivel local, impreuna cu Autoritatea publica locala, locala, cu accent pe domeniile incluziune sociala, educatie si
tineret.
Obiectivele specifice ale proiectului
1. OS1. Sa facilitam dezvoltarea pe termen lung a PDL prin sprijinirea incheierii altor minim 10 parteneriate functionale cel putin 6
luni de la finalizarea proiectului, parteneriate incheiate intre ONG-uri/parteneri sociali si autoritatea locala, intr-un termen de 12
luni;
2. OS2. Sa implicam minim 80 de persoane (din cadrul ONG-urilor, partenerilor sociale si autoritatii publice locale) in grupuri de
lucru si activitati de formare profesionala, pe parcursul a 12 luni;
3. OS3. Sa implicam permanent comunitatea locala (cetateni, grupuri informale, organizatii publice sau private, sindicate/patronate
etc.) in dezbaterile si grupurile tematice inovative constituite in cadrul PDL semnat cu autoritatea publica locala.</t>
  </si>
  <si>
    <t>C4C COMMUNICATION FOR COMMUNITY</t>
  </si>
  <si>
    <t>LEHLIU GARĂ – o comunitate incluzivă</t>
  </si>
  <si>
    <t>Lehliu Gară</t>
  </si>
  <si>
    <t>ASOCIAȚIA „ASSOCIATION COLOUR YOUR DREAMS”</t>
  </si>
  <si>
    <t>DigiConsultare pentru Dezvoltare Locală</t>
  </si>
  <si>
    <t>Cresterea capacitatii autoritatilor publice, ONG-urilor si partenerilor sociali din municipiul Targu Jiu, judetul Gorj, de a sustine si promova
dezvoltarea la nivel local intr-o maniera participativa si integrata, in conformitate cu principiile participarii tinerilor, egalitatii de sanse si
nediscriminarii, precum si a dezvoltarii durabile.                                                                                                                                                                                                                         Obiectiv 1: Capacitarea si motivarea a 60 de reprezentanti ai ONG-urilor si partenerilor sociali din municipiul Targu Jiu, judetul Gorj, de a
opera cu tematicile politici publice, tineret, metode de consultare, monitorizare si evaluare a politicilor publice, organizare
comunitara pentru a promova dezvoltarea locala.                                                                                                                                                                                                                      Obiectiv 2: Crearea unui mecanism de consultare a autoritatilor si institutiilor publice din municipiul Targu Jiu, judetul Gorj, cu ONG-urile,
partenerii sociali si cetatenii cu privire la elaborarea si implementarea politicilor si strategiilor la nivel local, cu focus pe domeniul
de tineret.</t>
  </si>
  <si>
    <t>Târgu Jiu</t>
  </si>
  <si>
    <t xml:space="preserve">AA1/3.06.2021 durata AA2/22.07.2022  durata  </t>
  </si>
  <si>
    <t>AA1/12.04.2021 durata si buget (ue si cb)  AA2/20.12.2021 durata, ue, bn, cb  AA3/22.07.2022 ue, cb, bn</t>
  </si>
  <si>
    <t>AA1/28.07.2021 durata   AA2/22.07.2022 durata</t>
  </si>
  <si>
    <t>AA1/22.07.2022 durata</t>
  </si>
  <si>
    <t>AA1/14.01.2022 durata                AA2/22.07.2022 durata</t>
  </si>
  <si>
    <t>ASOCIAȚIA ARES'EL</t>
  </si>
  <si>
    <t>Parteneriatul pentru Ploiești - consolidarea capacității ONG-urilor și partenerilor sociali din municipiul Ploiești și localitățile limitrofe de a se implica în formularea și promovarea dezvoltării la nivel local</t>
  </si>
  <si>
    <t>ASOCIAȚIA ANGELS GARDEN</t>
  </si>
  <si>
    <t>O comunitate dezvoltată, o comunitate fericită</t>
  </si>
  <si>
    <t>ASOCIAȚIA INOVATORIUM</t>
  </si>
  <si>
    <t>Dezvoltarea instrumentelor de consolidare a dialogului social și civic</t>
  </si>
  <si>
    <t>Asociația Consiliului Național al Întreprinderilor Private Mici și Mijlocii din România - Filiala Arad</t>
  </si>
  <si>
    <t>STRATEG AR + dezvoltare economică sustenabilă pentru viitorul Aradului</t>
  </si>
  <si>
    <t>Cresterea si intarirea capacitatii organizatiilor sectorului IMM din judetul Arad de a se implica in formularea de politici publice alternative
care sa contribuie la dezvoltarea economica locala a judetului Arad.                                                                                                                                                                            1.Dezvoltarea abilitatilor partenerilor sociali de a elabora si transpune in practica un Plan de dezvoltare locala a judetului Arad,
orientat catre Future Economy.Acest obiectiv se va realiza urmare a conlucrarii grupului tinta vizat- ONG uri, parteneri sociali,
autoritati publice locale - care vor avea abilitatea de a se implica in formularea uni instrument concret de dezvoltare a comunitatii
locale, respectiv Planul de dezvoltare al judetului Arad, bazat pe principiile Future Economy. Tototada, va fi intocmita si o analiza
a domeniilor vizate de Future Economy, cu aplicabilitate pentru economia judetului Arad.
2. Crearea si dezvoltarea unui mecanism consultativ la nivelul adminstratiei publice judetene capabil sa implementeze
instrumente de dezvoltare economica la nivelul judetului Arad.Acest obiectiv va fi atins prin constutirea si functionarea unui task
force, alcatuit din 20 de reprezentanti ai partenerilor sociali care, in baza analizei realizate cu privire la domeniile Future Economy
, vor contura etape concrete de implementare a Planului de dezvoltare.
3. Formarea unui corp de lideri din cadrul partenerilor sociali si ai administratiei publice judetene orientat catre promovarea
dezvoltarii durabile si a Future Economy in judetul Arad.</t>
  </si>
  <si>
    <t>ASOCIAȚIA MANAGEMENT ȘI COORDONARE</t>
  </si>
  <si>
    <t>Dezvoltare locală sustenabilă în Comuna ,,Costinești”</t>
  </si>
  <si>
    <t>Costinești, Constanța</t>
  </si>
  <si>
    <t>Obiectiv general: Dezvoltarea capacitatii ONG-urilor de a crea parteneriate viabile si durabile cu autoritati publice locale si de a se implica
in dezvoltarea la nivel local in comuna Costinesti.                                                                                                                                                                                                                       1. 1. OS1 Dezvoltarea unui parteneriat durabil intre Solicitant si autoritatile locale functional la 6 luni dupa finalizarea
proiectului
2. 2. OS2 Dezvoltarea competentelor si insusirea unui „know how’ specific pentru 40 reprezentanti ai ONG-urilor si
partenerilor sociali in vederea consolidarii abilitatilor pentru formularea si promovarea dezvoltarii la nivel local.
3. 3. OS3 Dezvoltarea responsabilitatii civice, de implicare a comunitatilor locale in viata publica si de participare la procesele
decizionale prin dezvoltarea a min 3 proiecte specifice la nivel local</t>
  </si>
  <si>
    <t>Fundația Zamolxes</t>
  </si>
  <si>
    <t>Implicarea cetățenilor în dezvoltarea comunității locală a Municipiului Câmpina - CIVCAMP</t>
  </si>
  <si>
    <t>Câmpina</t>
  </si>
  <si>
    <t>Drobeta-Turnu Severin</t>
  </si>
  <si>
    <t>Asociația de Dezvoltare Intercomunitara Zona Metropolitană Drobeta Turnu Severin</t>
  </si>
  <si>
    <t>Implicare activa a cetatenilor Zonei Metropolitane
Drobeta Turnul Severin in dezvoltarea locala</t>
  </si>
  <si>
    <t>AA1/24.11.2021 durata si buget (ue, bn, cb, cp)             AA2/27.07.2022 durata si buget (ue, bn, cb)</t>
  </si>
  <si>
    <t>AA1/26.07.2022 durata</t>
  </si>
  <si>
    <t>AA1/19.08.2020 prelungire si diminuare buget AA2/7.06.2021 durata      AA3/26.06.2022 durata</t>
  </si>
  <si>
    <t>AA1/27.07.2022 durata</t>
  </si>
  <si>
    <t>Fundația ,,Roma Education Fund Romania"</t>
  </si>
  <si>
    <t>EDUCAȚIE EGALĂ – Împreună pentru copii</t>
  </si>
  <si>
    <t>Gomești</t>
  </si>
  <si>
    <t>Obiectivul general al proiectului :
Dezvoltarea capacitatii organizatiilor neguvernamentale din domeniul educatiei de a colabora cu institutiile administratiei publice din
Romania in formularea politicilor publice referitoare la reducerea inegalitatilor scolare si accesul la o educatie egala pentru grupuri
vulnerabile.                                                                                                                                                                                                                                                                                                                   O.S.1: Implementarea unui program de identificare, monitorizare, analiza si propuneri de imbunatatire a politicilor publice din
Romania din perspectiva reducerii inegalitatii scolare.                                                                                                                                                                                                           O.S.2: Dezvoltarea competentelor cheie pentru 30 membri ONG din domeniul educatiei de la nivel local, regional si national, de a
elabora propuneri de imbunatatire a politicilor publice in domeniul egalitatii de sanse in educatie pentru grupuri vulnerabile.                                        O.S.3: Organizarea si consolidarea cadrului partenerial pentru dezvoltare locala in domeniul egalitatii de sanse in educatie la
nivelul institutiilor publice de la nivel local, regional si central.</t>
  </si>
  <si>
    <t>Asociația Centrul Român de Politici Europene</t>
  </si>
  <si>
    <t>Parteneriat pentru Dezvoltare locală în domeniul ocupării tinerilor din Învățământul Profesional și Tehnic din municipiile Piatra Neamț si Resița prin formare, consultare si dialog</t>
  </si>
  <si>
    <t xml:space="preserve">5, 6 </t>
  </si>
  <si>
    <t>Reșita, Piatra Neamț</t>
  </si>
  <si>
    <t>Caraș-Severin, Neamț</t>
  </si>
  <si>
    <t>Asociația Coaliția Organizațiilor Pacientilor cu Afecțiuni Cronice din România (C.O.P.A.C.-RO)</t>
  </si>
  <si>
    <t>Dezvoltarea politicilor sociale si de sanatate din judetul
Iași</t>
  </si>
  <si>
    <t>ASOCIAŢIA
"COPILUL MEU -
INIMA MEA"</t>
  </si>
  <si>
    <t>Obiectivul general al proiectului este dezvoltarea capacitatii organizatiilor neguvernamentale din domeniul social si sanatate si a
autoritatilor locale partenere de a se implica în formularea si promovarea dezvoltarii a doua noi politici privind in domeniul social si
sanatate.                                                                                                                                                                                                                                                                                                                      1. Realizarea a doua parteneriate de dezvoltare locala (PDL) pe raza Judetului Iasi, functionale la 6 luni dupa finalizarea
proiectului;
2. Cresterea nivelului de pregatire a unui numar de 52 reprezentanti ai ONG-urilor sociale si de sanatate locale si a
reprezentantilor autoritatilor locale;
3. Dezvoltarea unui instrument de monitorizare a politicilor din domeniul social si sanatate la nivelul judetului Iasi;
4. Dezvoltarea a doua politici locale in domeniul social si sanatate in judetul Iasi cu implicarea a 40 de reprezentanti ai autoritatilor
locale (reprezentanti alesi si angajati), si 10 cetateni, beneficiari ai serviciilor sociale si de sanatate din judetul Iasi participanti la
fundamentarea propunerilor de politici publice in domeniul social si sanatate.</t>
  </si>
  <si>
    <t>Asociația pentru Democrație și Echitate Socială - ADESEA</t>
  </si>
  <si>
    <t>Eficiență și implicare pentru dezvoltare</t>
  </si>
  <si>
    <t>Asociația Mâini Întinse</t>
  </si>
  <si>
    <t>Obiectivul general vizeaza introducerea unui sistem respectiv a unui standard comun care asigura optimizarea proceselor orientate catre
cetateni în vederea cresterii calitative a actului administrativ si a politicilor publice care vizeaza dezvoltarea locala contribuind astfel la
cresterea nivelului de implicare si participare al cetatenilor in procesele decizionale in comuna Nufarul.                                                                                       OS.1. Cresterea capacitatii societatii civile (ONG-uri si parteneri sociali) de a se implica in formularea si promovarea dezvoltarii la
nivel local prin includerea in cursuri de formare profesionala care vizeaza politicile publice si dezvoltarea locala pentru 40 de
cetateni din comuna Nufarul.                                                                                                                                                                                                                                                                           OS.2. Cresterea calitatii administratiei publice in Nufarul prin dezvoltarea unui mecanism comun de consultare si integrare a
cetatenilor in procesul decizional, mecanism care va integra un set de proceduri standard specifice, un instrument IT de tip
platforma online precum si minim 5 parteneriate care vor functiona cel putin 6 luni de la finalizarea proiectului.</t>
  </si>
  <si>
    <t>Asociația pentru Implementarea și Dezvoltarea Culturii Antreprenoriale</t>
  </si>
  <si>
    <t>Dezvoltare locală prin parteneriat social</t>
  </si>
  <si>
    <t>Hinova, Șimian</t>
  </si>
  <si>
    <t>Fundația CIVITAS pentru Societatea Civilă Cluj</t>
  </si>
  <si>
    <t>Parteneriat pentru dezvoltarea administrației inteligente în comuna Cojocna</t>
  </si>
  <si>
    <t>Obiectivul general al proiectului este de a formula si promova dezvoltarea inteligenta la nivelul comunitatii Cojocna prin crearea Fondului
de Dezvoltare Locala, dezvoltarea unui mecanism de implicare a organizatiilor neguvermamentale si a cetatenilor in comunitate si in
procesul de luare a deciziilor (cetatenie activa) si identificarea de initiative smart pentru dezvoltarea administratiei inteligente in comuna
Cojocna.
Obiectivele specifice ale proiectului
1. Obiectivul specific 1 este de a dezvolta capacitatea Fundatiei Civitas si a Primariei Cojocna de a se implica in promovarea
dezvoltarii comunei Cojocna ca o comunitate inteligenta prin implicarea a 60 de persoane (angajati si voluntari ai Fundatiei
Civitas, angajati ai Primariei Cojocna si angajati ai ONG-urilor care activeaza in Cojocna) in activitati de imbunatatire a
cunostintelor. OS1 va fi realizat prin derularea activitatilor A1 si A3.
2. Obiectivul specific 2 este de a dezvolta un mecanism de implicare si consultare a organizatiilor neguvernamentale si a cetatenilor
din comunitatea Cojocna in ceea ce priveste initiativele locale de dezvoltare care se doresc a fi implementate la nivelul comunitatii
cu scopul replicarii acestui model dupa finalizarea proiectului. OS2 va fi realizat prin derularea activitatii A4.
3. Obiectivul specific 3 este de a crea un Fond de Dezvoltare Locala pentru sprijinirea initiativelor inteligente in comunitatea
Cojocna. OS3 va fi realizat prin derularea activitatii A2.</t>
  </si>
  <si>
    <t>Cojocna</t>
  </si>
  <si>
    <t>"Societatea Națională de Cruce Roșie din România" Filiala Vrancea</t>
  </si>
  <si>
    <t>Competențe civice în Vrancea</t>
  </si>
  <si>
    <t>Asociația - Centrul de Analiză și Inovare Economico - Socială</t>
  </si>
  <si>
    <t>Adjud, Pufești</t>
  </si>
  <si>
    <t>FUNDAȚIA COMUNITARĂ MUREȘ</t>
  </si>
  <si>
    <t>EDUSIG - Educație pentru siguranță</t>
  </si>
  <si>
    <t>ASOCIAȚIA ”PATRONATUL TINERILOR ÎNTREPRINZĂTORI DIN ROMÂNIA”</t>
  </si>
  <si>
    <t>Creșterea capacității PTIR de a se implica în promovarea antreprenoriatului la nivel local</t>
  </si>
  <si>
    <t>Asociația Pacienților Oncologici Călărași</t>
  </si>
  <si>
    <t>Dezvoltarea serviciilor locale de îngrijire a pacienților oncologici în județul Călărași</t>
  </si>
  <si>
    <t>Asociaţia CREST</t>
  </si>
  <si>
    <t>3, 6</t>
  </si>
  <si>
    <t>Satu-Mare, Călărași</t>
  </si>
  <si>
    <t>FEDERATIA ORGANIZAȚIILOR RÂMNICENE DE TINERET, EDUCAȚIE ȘI SPORT</t>
  </si>
  <si>
    <t>Tinerii și societatea civilă - mecanisme de dezvoltare locală</t>
  </si>
  <si>
    <t>2, 3, 4</t>
  </si>
  <si>
    <t>Puiești, Constanța, Dâmbovița, Giurgiu, Prahova, Gorj</t>
  </si>
  <si>
    <t>Asociaţia Socio-Culturală "SFÂNTUL IOAN BOTEZĂTORUL"</t>
  </si>
  <si>
    <t>Implicarea activa a societatii civile in
dezvoltarea comunitatii locale</t>
  </si>
  <si>
    <t>Obiectivul general al proiectului consta in dezvoltarea capacitatii administrative a organizatiilor non-guvernamentale si a partenerilor
sociali, pentru a sustine optimizarea proceselor de programare si cresterea competitivitatii economice in orasul Berbesti si in regiunea
SV Oltenia, prin operationalizarea unui grup consultativ civic, actiuni de formare si schimburi de experienta precum si prin elaborarea de
proceduri pentru eficientizarea monitorizarii activitatii autoritatilor publice locale. De asemenea, ne propunem cresterea implicarii
cetatenilor in comunitate si in procesul de luare a deciziilor (cetatenie activa), oferind tuturor varstelor si grupurilor sociale oportunitatea de a se implica in actiuni voluntare, initiative care contribuie la promovarea si respectarea valorilor democratice si a drepturilor omului.               1. OS 1 Crearea unei bune guvernante transparenta si in concordanta cu nevoile reale ale comunitatii.
2. OS2 Cresterea rolului cetatenilor identificarea nevoilor de dezvoltare la nivelul comunitatii si sprijinirea autoritatii locale in
demararea actiunilor pentru realizarea unei strategii de dezvoltare pe termen mediu si lung
3. OS3 Informarea si formarea grupului tinta/cetatenilor cu privire la rolul si posibilitatile de participare activa la luarea deciziilor de
dezvoltare a localitatii.</t>
  </si>
  <si>
    <t>Berbesti</t>
  </si>
  <si>
    <t>Asociația pentru Cooperare și Dezvoltare Durabilă</t>
  </si>
  <si>
    <t>Dezvoltarea educației și a transparenței în județul Giurgiu</t>
  </si>
  <si>
    <t>Asociația Regională pentru Dezvoltare Antrepre-norială Oltenia</t>
  </si>
  <si>
    <t>Giurgiu, Călugăreni, Comana, Hotarele, Bolintin-Vale, Mihăilești, Prundu</t>
  </si>
  <si>
    <t>Fundația World Vision România</t>
  </si>
  <si>
    <t>Consolidarea capacitatii locale prin crearea de
parteneriate pentru dezvoltare</t>
  </si>
  <si>
    <t>Lipovăț, Muntenii de Jos</t>
  </si>
  <si>
    <t>AA1/29.07.2022 durata si ue, cb, bn</t>
  </si>
  <si>
    <t>AA1/17.12.2019 AA2/5.02.2021 durata   AA3/1.08.2022 durata</t>
  </si>
  <si>
    <t>AA1/6.10.2020 durata AA2/7.10.2021 durata  AA3/1.08.2022 durata si ue, cb</t>
  </si>
  <si>
    <t>AA1/5.08.2022 durata</t>
  </si>
  <si>
    <t>AA1/20.04.2022 durata AA2/2.08.2022 bn si cb</t>
  </si>
  <si>
    <t>AA1/1.08.2022 durata</t>
  </si>
  <si>
    <t>AA1/2.08.2022 durata</t>
  </si>
  <si>
    <t>Asociația ”Ajutor Umanitar și Caritabil” Ciulnița</t>
  </si>
  <si>
    <t>Parteneriatul pentru Ciulnița - consolidarea capacității ONG-urilor și partenerilor sociali din comuna Ciulnița și localitățile limitrofe de a se implica în formularea și promovarea dezvoltării la nivel local</t>
  </si>
  <si>
    <t>ASOCIAȚIA DEZVOLT</t>
  </si>
  <si>
    <t>Inițiative de dezvoltare a responsabilității civice în procese decizionale și dezvoltare durabilă</t>
  </si>
  <si>
    <t>Ciulnița</t>
  </si>
  <si>
    <t>Parteneriat pentru dezvoltarea sustenabilă a comunei Polovragi</t>
  </si>
  <si>
    <t>Polovragi</t>
  </si>
  <si>
    <t>Obiectivul general al prezentului proiect consta în implicarea activa a Asociatiei Centrul pentru Dezvoltare Durabila Columna in
dezvoltarea comunei Polovragi prin sustinerea si promovarea oportunitatilor existente la nivelul acestei comunitati.
Obiectivele specifice ale proiectului
1. OS. 1: Sprijinirea administratiei locale si a cetatenilor in identificarea si valorificarea oportunitatilor locale prin instrumente
moderne
2. OS 2: Consolidarea capacitatii Asociatiei Centrul pentru Dezvoltare Durabila Columna si a comunitatii locale in utilizarea
corespunzatoare a instrumentelor dezvoltate</t>
  </si>
  <si>
    <t>ASOCIAȚIA OAMENI SI MEDIU OLTENIA</t>
  </si>
  <si>
    <t>Guvernare modernă-Dezvoltare locală în comuna Fărcașele</t>
  </si>
  <si>
    <t>Dezvoltarea durabila a comunei Farcasele prin introducerea de sisteme si standarde comune în administratia publica locala ce
optimizeaza procesele orientate catre beneficiari în concordanta cu SCAP si prin cresterea capacitatii ONG-urilor si partenerilor sociali de
a se implica în formularea si promovarea dezvoltarii la nivel local.                                                                                                                                                                                    Realizarea de instrumente de monitorizare si evaluare independenta a politicilor si strategiilor de dezvoltare a comunei Farcasele
pe parcursul implementarii proiectului.
2. Realizarea de proceduri, mecanisme pentru sustinerea si promovarea dezvoltarii la nivel local si de interactiune cu autoritatile si
institutiile administratiei publice din comuna Farcasele pe parcursul implementarii proiectului.
3. Dezvoltarea si implementarea mecanismelor de consultare a autoritatilor si institutiilor publice din comuna Farcasele cu ONGurile,
partenerii sociali si a cetatenilor în elaborarea politicilor si strategiilor la nivel local pe parcursul implementarii proiectului.
4. Dezvoltarea de mecanisme, proceduri, instrumente de consolidare a dialogului social si civic la nivelul comunei Farcasele pe
parcursul implemenatarii proiectului.
5. Dezvoltarea capacitatii partenerilor sociali din comuna Farcasele si a ONG-urilor din judetul Olt prin formare profesionala, activitati
întreprinse în comun, infiintarea unor retele tematice regionale si nationale pe parcursul implementarii proiectului.
6. Sprijinirea de initiative de dezvoltare a responsabilitatii civice, de implicare a comunitatilor locale din comuna Farcasele în viata
publica si de participare la procesele decizionale, de promovare a egalitati de sanse si nediscriminarii, precum si a dezvoltarii
durabile pe parcursul implementarii proiectului</t>
  </si>
  <si>
    <t>Dolj, Olt</t>
  </si>
  <si>
    <t>Craiova, Farcasele</t>
  </si>
  <si>
    <t>ASOCIAȚIA HANDMADE ROMÂNIA</t>
  </si>
  <si>
    <t>Dezvoltare locală sustenabilă în Comuna Ion Corvin</t>
  </si>
  <si>
    <t>Obiectiv general: Dezvoltarea capacitatii ONG-urilor de a crea parteneriate viabile si durabile cu autoritati publice locale si de a se implica
in dezvoltarea la nivel local in Comuna Ion Corvin.                                                                                                                                                                                                                         OS1 Dezvoltarea unui parteneriat durabil intre Solicitant si autoritatile locale functional la 6 luni dupa finalizarea proiectului
2. OS2 Dezvoltarea competentelor si insusirea unui „know how’ specific pentru 40 reprezentanti ai ONG-urilor si partenerilor sociali
in vederea consolidarii abilitatilor pentru formularea si promovarea dezvoltarii la nivel local.
3. OS3 Dezvoltarea responsabilitatii civice, de implicare a comunitatilor locale in viata publica si de participare la procesele
decizionale prin dezvoltarea a min 3 proiecte specifice la nivel local</t>
  </si>
  <si>
    <t>Ion Corvin</t>
  </si>
  <si>
    <t>ASOCIAȚIA "INSTITUTUL PENTRU PARTENERIAT SOCIAL BUCOVINA"</t>
  </si>
  <si>
    <t>Construim împreună viitorul Comunei Stulpicani</t>
  </si>
  <si>
    <t>ASOCIAȚIA PREGO</t>
  </si>
  <si>
    <t>Stulpicani</t>
  </si>
  <si>
    <t>ASOCIAȚIA PRO DEMOCRAȚIA</t>
  </si>
  <si>
    <t>E-consultare publică în județul Giurgiu</t>
  </si>
  <si>
    <t>ASOCIAȚIA INSTITUTUL SOCIAL VALEA JIULUI</t>
  </si>
  <si>
    <t>Hunedoara civică 2021-2022</t>
  </si>
  <si>
    <t>Petrosani, Vulcan, Petrila</t>
  </si>
  <si>
    <t>Asociația Clusterul Comunitar de Economie Socială - ACCES</t>
  </si>
  <si>
    <t>ACCES la dezvoltare</t>
  </si>
  <si>
    <t>Proiectul isi propune consolidarea capacitatii ONG-urilor si partenerilor sociali din Judetul Brasov de a se implica in formularea si
promovarea dezvoltarii la nivel judetean, impreuna cu Autoritatea publica locala, cu accent pe domeniile asistenta sociala, economie
sociala si voluntariat.
Obiectivele specifice ale proiectului
1. OS1. Sa facilitam consolidarea PDL prin sprijinirea incheierii a minim 30 de alte Parteneriate functionale cel putin 6 luni de la
finalizarea proiectului, parteneriate incheiate intre ONG-uri/parteneri sociali si o autoritate locala, intr-un termen de 12 luni;
2. OS2. Sa implicam minim 120 de persoane (din cadrul ONG-urilor, partenerilor sociale si autoritatii publice locale) in grupuri de
lucru si activitati de formare profesionala, pe parcursul a 12 luni;
3. OS3. Sa consolidam capacitatea interna a organizatiei ACCES prin atragerea de noi membrii (persoane juridice) ce se vor implica
in dezbaterile si grupurile tematice inovative constituite in cadrul PDL semnat cu autoritatea publica judeteana.</t>
  </si>
  <si>
    <t>ASOCIAȚIA PENTRU PROMOVAREA VALORILOR RURALE „FUIORUL”</t>
  </si>
  <si>
    <t>Eficientizarea administrațiilor publice la nivel local</t>
  </si>
  <si>
    <t>1, 4</t>
  </si>
  <si>
    <t>Botoșani, Dolj</t>
  </si>
  <si>
    <t>Cristinesti, Vârtop</t>
  </si>
  <si>
    <t>Federația Sindicatelor Libere și Independente "Petrol-Energie"</t>
  </si>
  <si>
    <t>Consolidarea capacității ONG-urilor și
partenerilor sociali de a se Implica în formularea și promovarea dezvoltării la nivel local</t>
  </si>
  <si>
    <t>ASOCIAȚIA "ROMÂNIA PRINDE RĂDĂCINI"</t>
  </si>
  <si>
    <t>Dialog social și civic pentru dezvoltare locală sustenabilă</t>
  </si>
  <si>
    <t>Uniunea Națională a Patronatului Român-Regiunea Nord Est-AFJ</t>
  </si>
  <si>
    <t>Dezvoltarea orașului Comănești, județ Bacău, prin implicarea partenerilor sociali</t>
  </si>
  <si>
    <t>c</t>
  </si>
  <si>
    <t>Comanesti</t>
  </si>
  <si>
    <t>ASOCIAȚIA CENTRUL PENTRU O SOCIETATE DURABILĂ</t>
  </si>
  <si>
    <t>Civic Crowdfunding</t>
  </si>
  <si>
    <t>Parteneriat în dezvoltarea de politici sociale la
nivel local</t>
  </si>
  <si>
    <t>Asociația Ateliere fără Frontiere</t>
  </si>
  <si>
    <t>Noul București - o capitală a tuturor</t>
  </si>
  <si>
    <t>Mobilitate 2.0 - Planificare Strategică și administrație publică digitalizată la nivelul regiunii București – Ilfov</t>
  </si>
  <si>
    <t>Asociația de Dezvoltare Intercomunitară pt Transport Public București-Ilfov</t>
  </si>
  <si>
    <t>Obiectivul general al proiectului consta in imbunatatirea capacitatii administrative la nivelul regiunii Bucuresti - Ilfov prin dezvoltatea
capacitatii de planificare strategica, eficientizarea proceselor de management si simplificarea procedurilor administrative, pentru a
raspunde in mod fundamentat si coerent nevoilor comunitatilor locale.
Obiectivele specifice ale proiectului
1. 1. OS 1 Dezvoltarea capacitatii de planificare strategica la nivelul regiunii Bucuresti - Ilfov prin actualizarea Planului de
Mobilitate Urbana Durabila 2016 – 2030 regiunea Bucuresti - Ilfov si a portofoliului de proiecte prioritare ale regiunii, dar si a
modelului de transport ce sta la baza PMUD.
2. OS 2 Eficientizarea si simplificarea serviciilor furnizate cetatenilor de catre Comisia Tehnica de Circulatie a Municipiului
Bucuresti prin extinderea procesului de digitalizare si scaderea timpilor de acces la documentele din arhiva
3. OS 3 Intarirea capacitatii institutionale a Municipiului Bucuresti si a Asociatiei de Dezvoltare Intercomunitara pentru
Transport Public Bucuresti-Ilfov prin pregatirea adecvata a personalului in domeniul planificarii strategice si a modelarii in
transporturi.</t>
  </si>
  <si>
    <t>CP18more/2022</t>
  </si>
  <si>
    <t>Sectorul 3 al Municipiului București</t>
  </si>
  <si>
    <t>Măsuri de simplificare pentru cetățenii sectorului 3</t>
  </si>
  <si>
    <t>Administrație publică digitalizată și eficientă pentru cetățenii sectorului 2</t>
  </si>
  <si>
    <t>Implementarea / consolidarea si sustinerea unui management performant la nivelul Primariei Municipiului Sebes si al instituțiilor
subordonate, realizate prin aplicarea CAF ca instrument de îmbunatațire a performanțelor Sistemului de Management al Calitații al
Primariei Sebes, pentru crearea unei administrații publice moderne, capabila sa faciliteze dezvoltarea socio-economica prin intermediul
unor servicii publice competitive.
Obiectivele specifice ale proiectului
1. OS 1 – Implementarea de sisteme unitare de management al calitații aplicabile administrației publice, prin utilizarea instrumentului
CAF, inclusiv formarea/ instruirea specifica a personalului Primariei Municipiului Sebes pentru implementarea instrumentului CAF
2. OS 2 – Consolidarea SMC prin acțiuni de îmbunatațire rezultate în urma evaluarii pe baza criteriilor modelului CAF
3. OS 3 – Dezvoltarea abilitaților personalului din cadrul Primariei Municipiului Sdebes si al instituțiilor subordonate Primariei Sebes
prin:
• asigurarea formarii profesionale a 10 persoane din cadrul primariei Municpiului Sebes pentru efectuarea autoevaluarii
SMC utilizând modelul CAF;
• asigurarea formarii profesionale a 46 persoane din grupul ținta, pentru implementarea Sistemului de Mangement al
Calitații, integrarea SMC cu SCIM si monitorizarea acestuia cu ajutorul instrumentului CAF.
• dezvoltarea unui Ghid de buna practica privind integrarea SMC cu SCIM în cadrul UAT si evaluarea performanțelor
SMC pe baza Modelului CAF
4. OS 4 – Asigurarea unui instrument suport pentru SMC prin proiectarea si implementarea unui sistem informatic.
5. OS 5 – Promovarea standardelor si instrumentelor managementului calitații prin Organizarea si derularea unei conferințe de
informare/ constientizare privind principiile si instrumentele managementului calitații</t>
  </si>
  <si>
    <t>Implementarea unui sistem de management al calitatii si performantei integrat si eficient, prin autoevaluarea CAF, standardizarea proceselor de lucru, recertificarea ISO:9001 si dezvoltarea abilitatilor personalului din cadrul UAT Primariei Municipiului Aiud, în vederea optimizarii proceselor orientate catre beneficiari, în concordanta cu SCAP                                                                                                                                                             Obiectiv Specific 1: Dezvoltarea unui sistem unitar de management al calitatii si performantei la nivelul UAT Primariei Municipiului Aiud prin aplicarea instrumentului de autoevaluarea CAF (Cadrul Comun de Autoevaluare/ Common Assesment Framework),elaborarea unui instrument de monitorizare a utilizarii managementului calității si obținerea recertificarii ISO 9001.
2. Obiectiv Specific 2: Organizarea de actiuni de identificare a bunelor practici si networking între institutii publice locale cu atribuții similare, în scopul introducerii de sisteme si standarde comune în administrația publica locala în concordanța cu OS 2.1 si implicit în vederea promovarii bunelor practici în domeniul managementului calitații, pentru optimizarea proceselor orientate catre beneficiari.
3. Obiectiv Specific 3: Dezvoltarea cunostintelor si abilitatilor a 30 de persoane, însemnând personal din cadrul Primariei Municipiului Aiud, prin participarea la cursuri de formare profesionala pe teme specific de interes precum managementul calitattii si managementul performanței, în vederea sprijinirii masurilor si acțiunilor de OS2.1 si implicit de proiect pentru optimizarea proceselor orientate catre beneficiari.</t>
  </si>
  <si>
    <t>Obiectiv Specific 1: Dezvoltarea unui mecanism eficient de prevenire a coruptiei în cadrul unitatii administrativ-teritoriale Primaria Municipiului Aiud, prin elaborarea si/sau actualizarea a minimum 7 proceduri de sistem/operationale privind indicatorii anticoruptie, în concordanta cu Strategia Nationala Anticoruptie 2016 – 2020.
Obiectiv Specific 2: Implementarea mecanismului de prevenire a coruptiei la nivelul UAT Municipiul Aiud, prin dispozitie de primar, cu ajutorul unui manual de implementare elaborat în cadrul proiectului.
3. Obiectiv Specific 3: Instruirea si certificarea a 30 de persoane, însemnând personal de conducere si de executie din cadrul Primariei Municipiului Aiud, prin intermediul unui curs de formare pe tematici privind importanta eticii si integritatii în institutia publica.</t>
  </si>
  <si>
    <t>Obiectiv general:
Cresterea capacitatii administrative de a preveni si reduce coruptia în ansamblul institutiilor publice locale din UAT Sebes prin aplicarea
unitara a mecanismelor, procedurilor si normelor de etica si integritate si îmbuntatirea cunostintelor si competentelor în ceea ce priveste
prevenirea coruptiei.                                                                                                                                                                                                                                OS1: Dezvoltarea de proceduri operationale privind masurile preventive anticoruptie si indicatorii de evaluare aferenti;                                                    OS2: Cresterea gradului de implementare a masurilor referitoare la prevenirea coruptiei si a indicatorilor de evaluare în autoritatile
si institutiile publice;
OS3: Aplicarea unitara a normelor, mecanismelor si procedurilor în materie de etica si integritate în autoritatile si institutiile
publice;
OS4: Cresterea nivelului de educatie anticoruptie pentru personalul din autoritatile si institutiile publice;</t>
  </si>
  <si>
    <t>Obiectivul general consta în îmbunatatirea capacitatii administrative, a calitatii si eficientei serviciilor publice furnizate la nivelul UAT
Municipiul Sebes, judetul Alba, din Regiunea Centru, prin investitii integrate si complementare conform reglementarilor europene si
nationale (elaborare criterii de planificare a investitiilor, servicii de digitizare si implementarea unui sistem informatic pentru eficientizarea
serviciilor de baza din cadru institutiei).
OS 1: Implementarea unor mecanisme si proceduri standard (elaborare criterii de planificare a investitiilor) pentru a creste
eficienta actiunilor adimintrative la nivelul Municipiului Sebes. OS 1 se va îndeplini prin Activitatea 7 si va conduce la atingerea
rezultatului de program POCA R1.
2. OS 2. Masuri de simplificare a procedurilor administrative si reducerea birocratiei prin crearea si integrarea unui sistem informatic
pentru arhiva (digitalizarea arhivelor) si implementarea unui sistem informatic pentru eficientizarea serviciilor de baza de la nivelul
Municipiului Sebes. OS 2 se va îndeplini prin Activitatea 5 si Activitatea 6 si va conduce la atingerea rezultatului de program
POCA R3.
3. OS 3. Imbunatatirea competentelor profesionale a unui numar de circa 30 persoane din toate nivelurile ierarhice din cadrul UAT
Municipiul Sebes pe teme specifice, în urma unei analize de nevoi. OS 3 se va îndeplini prin Activitatea 8 si va conduce la
atingerea rezultatului R5.</t>
  </si>
  <si>
    <t>Obiectivul general: îmbunatatirea procesului decizional, a planificarii strategice si reducerea birocratiei pentru cetateni, prin dezvoltarea si
implementarea de masuri precum: un mecanism pentru fundamentarea deciziilor, doua politici publice, un plan strategic institutional, doua
strategii sectoriale, solutii informatice integrate, ca si prin îmbunatatirea cunostintelor personalului pentru implementarea masurilor
dezvoltate în proiect.
Obiectiv specific 1: Îmbunatatirea procesului de fundamentare a deciziilor la nivelul UAT Primaria Municipiului Aiud prin
elaborarea a doua politici publice în domenii prioritare la nivelul UAT.
Obiectiv specific 2: Îmbunatatirea procesului de planificare strategica la nivelul UAT Primaria Municipiului Aiud prin elaborarea si
aprobarea unui plan strategic institutional (PSI) aferent anilor 2020 – 2021, precum si a doua strategii sectoriale aferente anilor
2021 – 2025 în domeniile sanatate si asistenta sociala.
Obiectiv specific 3: Simplificarea procedurilor administrative si reducerea birocratiei pentru cetateni la nivel local, prin dezvoltarea
si implementarea unui pachet de solutii informatice integrate de tip front-office si back-office, în vederea accesului online la
serviciile gestionate exclusiv de UAT si digitalizarea documentelor din arhiva institutiei.
Obiectiv specific 4:Dezvoltarea abilitatilor personalului din UAT Primaria Municipiului Aiud si institutiile din subordinea consiliului
local, pe teme specifice de interes care au legatura cu OS2.1 si cu obiectivul general al proiectului, incluzând politici publice
locale, planificare strategica, utilizarea sistemelor informatice dezvoltate în proiect.</t>
  </si>
  <si>
    <t>Obiectivul general al proiectului
Obiectivul general al proiectului consta in consolidarea capacitatii institutionale si eficientizarea activitatii la nivelul Municipiului Aiud prin
continuarea simplificarii procedurilor administrative si reducerea birocratiei pentru cetateni, implementând masuri din perspectiva backoffice
(adaptarea procedurilor interne de lucru, digitalizarea proceselor) si front-office pentru serviciile publice furnizate aferente
competentelor partajate ale administratiei publice locale.
Obiectivele specifice ale proiectului
1. OS1: Implementarea unor masuri de simplificare pentru cetateni, in corespondenta cu Planul integrat pentru simplificarea
procedurilor administrative aplicabile cetatenilor din perspectiva front-office, dar si back-office prin introducerea unor solutii
aplicative noi si integrarea cu cele existente, în scopul digitalizarii fluxurilor de lucru, pentru reducerea timpului de procesare a
cererilor cetatenilor si asigurarea accesului online la serviciile publice gestionate de Municipiu din domeniul asistentei sociale si
sigurantei si ordinii publice.
2. OS2: Dezvoltarea cunostintelor si abilitatilor personalului din cadrul Municipiului Aiud, in vederea sprijinirii masurilor vizate de
proiect. Este avuta in vedere formarea/instruirea, evaluarea/testarea si certificarea competentelor/cunostintelor dobândite pentru
33 persoane din cadrul grupului tinta, in ceea ce priveste utilizarea solutiilor informatice implementate in cadrul proiectului</t>
  </si>
  <si>
    <t>Scopul proiectului
Consolidarea capacitatii administrative a Municipiului Alba Iulia pentru cresterea gradului de transparenta, etica si integritate in cadrul
acesteia, in termen de 16 luni.
Obiectivele specifice ale proiectului
1. OS.1. Consolidarea masurilor de prevenire a coruptiei prin adoptarea unui set de proceduri operationale la nivelul administratiei
publice locale a Mun. Alba Iulia.
2. OS. 2. Cresterea gradului de constientizare a coruptiei in randul personalului Mun. Alba Iulia, prin organizarea unei campanii ce
presupune realizarea de picturi murale, a unui Ghid de informare legislativa in domeniul anticoruptie si veste personalizate cu
mesaje anticoruptie.
3. OS. 3 Imbunatatirea cunostintelor privind perceptia coruptiei la nivelul Primariei municipiului Alba Iulia prin realizarea unui studiu
bazat pe sondaje de opinie.
4. OS. 4. Imbunatatirea cunostintelor si competentelor in domeniul prevenirii coruptiei, transparentei, eticii</t>
  </si>
  <si>
    <t>Obiectivul general al proiectului: Optimizarea proceselor de managementul performanței la nivel strategic prin introducerea instrumentului de Balanced Scorecard în cadrul Primariei Municipiului Arad
Obiectivele specifice ale proiectului:
1. Obiectiv specific 1: Elaborarea unui studiu privind situatia actuala a managementului performantei la nivel strategic în cadrul
Primariei Municipiului Arad
2. Obiectiv specific 2: Introducerea unui instrument de management strategic de tip Balanced Scorecard la nivelul instituției
3. Obiectiv specific 3: Dezvoltarea cunostințelor si abilitaților pentru 129 de persoane în cadrul Primariei Municipiului Arad în
domeniul managementului performanței.</t>
  </si>
  <si>
    <t>Obiectivul general al proiectului
Îmbunatațirea procesului de luare a deciziei la nivelul Municipiului Arad prin introducerea unor metode si sisteme coerente de
fundamentare a deciziilor, corelarea acestora cu resursele disponibile si pregatirea personalului aparatului de specialitate, precum si a
consilierilor locali in vederea utilizarii acestor instrumente.
OS1. Îmbunatațirea procesului de planificare strategica si alocare a resurselor în cadrul Primariei Municipiului Arad prin
elaborarea Planului Strategic Instituțional aferent anilor 2020 si 2023.
2. OS2. Îmbunatatirea corelarii între masurile si planurile de actiune din principalele documente de politici publice si activitațile de
planificare bugetara si alocare a resurselor de catre autoritatea publica locala Municipiul Arad prin actualizarea Strategiei
Integrate de Dezvoltare Urbana a Municipiului Arad si a Planului de Mobilitate Urbana Durabila pentru Municipiul Arad pentru
perioada post 2020.
3. OS3. Implementarea unor masuri de simplificare pentru cetațeni, în corespondenta cu Planul Integrat pentru simplificarea
procedurilor administrative aplicabile cetațenilor, atât din perspectiva back-office (adaptarea procedurilor interne de lucru,
digitalizarea arhivelor), cât si front-office
4. OS4. Dezvoltarea cunostintelor si abilitaților personalului din cadrul Primariei Municipiului Arad, în vederea sprijinirii masurilor
vizate de proiect. Este avuta în vedere formarea/instruirea,evaluarea/testarea si certificarea competentelor/cunostintelor
dobândite pentru 75 persoane din cadrul grupului tinta, în ceea ce priveste planificarea strategica. Obiectivul general al serviciilor
de instruire îl constituie familiarizarea persoanelor din grupul tinta cu implicatiile conceptului de planificarea strategica.</t>
  </si>
  <si>
    <t>Îmbunatațirea capacitatii de planificare strategica la nivelul judetului Arad
Obiectivele specifice ale proiectului
1. Elaborarea Strategiei de dezvoltare a Judetului Arad pentru perioada 2021-2027
2. Elaborarea a doua strategii sectoriale (Culturala, Eficiența energetica) pentru perioada 2021-2027</t>
  </si>
  <si>
    <t>Obiectivul general al proiectului este îmbunatatirea calitatii si accesibilitatii serviciilor publice aferente competentelor partajate oferite de
Primaria Municipiului Arad, prin simplificarea procedurilor administratiei locale cu scopul de a eficientiza activitatea institutionala în relatia cu cetatenii.
Obiectivele specifice ale proiectului
1. OS1. Implementarea unor proceduri simplificate în vederea reducerii birocratiei pentru cetateni, la nivel local, în corespondenta cu
Planul Integrat pentru simplificarea procedurilor administrative aplicabile cetatenilor, atât din perspectiva back-office, cât si frontoffice,
prin introducerea unor solutii digitale noi si integrarea celor existente, pentru serviciile publice aferente competentelor
partajate ale administratiei publice locale.
2. OS2. Dezvoltarea cunostintelor si abilitatilor personalului în vederea sprijinirii masurilor vizate de proiect.</t>
  </si>
  <si>
    <t xml:space="preserve">1. Etapizarea introducerii unui Plan de acțiuni în cadrul Consiliul Judetean Arges în vederea extinderii sistemului de management al calității și performanței
2. Dezvoltarea și implementarea unui sistem integrat de management al performanței și calității în cadrul Consiliul Județean Argeș corelat cu Planul de acțiuni pentru implementarea SCAP 2014 – 2020
3. Certificarea cunoștințelor și abilităților în domeniul managementului calității și performanței pentru un numar de 80 de persoane din cadrul Consiliului Județean Argeș
4. Certificarea Consiliului Județean Argeș ISO 9001:2015 </t>
  </si>
  <si>
    <t>Îmbunatatirea planificarii strategice institutionale si simplificarea procedurilor implementate la nivelul Consiliului Judetean Arges
Obiectivele specifice ale proiectului
1. Elaborarea Strategiei pentru Dezvoltare Durabila a Judetului Arges - instrument de planificare a investitiilor locale
2. Simplificarea procedurilor la nivel judetean prin digitalizarea documentelor si implementarea unei solutii informatice pentru
administrarea acesteia
3. Îmbunatatirea cunostintelor si abilitatilor personalului din cadrul Consiliului Judetean Arges în domeniul managementului strategic
si în utilizarea si administrarea solutiei informatice dezvoltate prin proiect</t>
  </si>
  <si>
    <t>Obiectivul general al proiectului/Scopul proiectului
Consolidarea capacitatii institutionale si eficientizarea activitatii la nivelul UAT Municipiul Câmpulung în ceea ce priveste exercitarea
atributiilor, prin implementarea de masuri pentru îmbunatatirea procesului decizional si a planificarii strategice si de digitalizare cu GIS
integrat menite sa ajute la standardizarea modului de lucru, aplicarii managementului calitatii la nivelul activitatilor specifice, la cresterea
gradului de interoperabilitate a sistemelor informatice si interconectare, atât din perspectiva back-office, cât si din perspectiva front office.
Obiectivele specifice ale proiectului
1. Crearea de mecanisme, instrumente si proceduri standard pentru fundamentarea deciziilor, planificarea strategica pe termen
mediu si lung în Municipiul Câmpulung, prin elaborarea Planului Strategic Institutional si a Strategiei de Transformare Digitala a
Municipiului Câmpulung si proiectarea unui proces de management eficient, care sa corespunda nevoilor institutiei.
2. Implementarea si certificarea Sistemului de Management al Calitatii ISO 9001:2015 la nivelul UAT Municipiul Câmpulung
3. Optimizarea procedurilor administrative interne în raport cu beneficiarii serviciilor publice, în scopul reducerii birocratiei, prin
implementarea unui ecosistem digital integrat si dezvoltarea abilita</t>
  </si>
  <si>
    <t xml:space="preserve">Consolidarea eficientei administrative a UAT Judetul Bacau prin introducerea/extinderea, promovarea si utilizarea sustenabila a sistemelor
unitare de management al calitatii si performantei.                                                                                                                                                                                                                            OS1. Introducerea de sisteme si standarde comune la nivelul UAT Judetul Bacau in scopul optimizarii proceselor orientate catre
beneficiari si in concordanta cu SCAP, prin implementarea instrumentului de autoevaluare CAF, precum si prin facilitarea
schimburilor de experienta.
2. OS2. Dezvoltarea abilitatilor personalului UAT Judetul Bacau pe tema aplicarii sistemelor unitare de management al calitatii si
performantei prin organizarea a 2 programe de formare (auditor de calitate, expert CAF) la care vor participa 75 persoane.
</t>
  </si>
  <si>
    <t>Obiectivul general al proiectului consta in consolidarea capacitatii institutionale si eficientizarea activitatii la nivelul Municipiului Onesti prin simplificarea procedurilor administrative si reducerea birocratiei pentru cetațeni, implementând masuri din perspectiva back-office (adaptarea procedurilor interne de lucru, digitalizarea arhivelor) si front-office pentru serviciile publice furnizate.
Obiectivele specifice ale proiectului
1. OS1. Implementarea unor masuri de simplificare pentru cetațeni, in corespondenta cu Planul integrat pentru simplificarea procedurilor administrative aplicabile cetatenilor din perspectiva front-office, dar si back-office prin achiziția si implementarea unei platforme integrate (portal web, arhivare electronica, captura documente, fluxuri de lucru cu documente, registratura electronica si management arhiva fizica de documente) care va furniza digital fluxurile de lucru de baza din cadrul instituției, în scopul eficientizarii procesarii documentelor, evitarii întreruperilor ce pot aparea în fluxurile informationale ale instituției, reducând astfel întârzierile în procesul decizional cu impact asupra activitatilor operative si va asigura accesul online la serviciile publice gestionate de Municipiul Onesti si retro-digitalizarea unui numar de cca. 20.000 dosare aflate in arhiva clasica si cu valoare operaționala prezenta pentru a facilita rezolvarea cererilor cetațenilor în curs de soluționare.
OS2. Dezvoltarea cunostintelor si abilitatilor personalului din cadrul Municipiului Onesti, in vederea sprijinirii masurilor vizate de proiect. Este avuta in vedere formarea/instruirea, evaluarea/testarea si certificarea competentelor/cunostintelor dobândite pentru 50 persoane din cadrul grupului tinta, in ceea ce priveste utilizarea solutiilor informatice implementate in cadrul proiectului . Obiectivul general al serviciilor de instruire ii constituie familiarizarea cu componentele solutiei informatice implementate, prin însusirea cunostintelor necesare utilizarii aplicatiilor, deprinderea functionalitatilor si a modului de folosire a acestora</t>
  </si>
  <si>
    <t>Obiectivul general al proiectului consta in consolidarea capacitații instituționale si eficientizarea activitații la nivelul Municipiului Onesti prin continuarea simplificarii procedurilor administrative si reducerea birocratiei pentru cetațeni, implementând masuri din perspectiva backoffice (adaptarea procedurilor interne de lucru, digitalizarea arhivelor) si front-office pentru serviciile publice furnizate aferente
competentelor partajate ale administratiei publice locale.
Obiectivele specifice ale proiectului
1. OS1: Implementarea unor masuri de simplificare pentru cetațeni, in corespondenta cu Planul integrat pentru simplificarea
procedurilor administrative aplicabile cetatenilor din perspectiva front-office, dar si back-office prin introducerea unor soluții
aplicative noi si integrarea cu cele existente, în scopul digitalizarii fluxurilor de lucru, pentru reducerea timpului de procesare a
cererilor cetațenilor si asigurarea accesului online la serviciile publice gestionate de Municipiul Onesti din domeniul urbanismului
si asistenței sociale.
2. OS2: Dezvoltarea cunostințelor si abilitaților personalului din cadrul Municipiului Onesti, in vederea sprijinirii masurilor vizate de
proiect. Este avuta in vedere formarea/instruirea, evaluarea/testarea si certificarea competentelor/cunostințelor dobândite pentru
50 persoane din cadrul grupului ținta, in ceea ce priveste utilizarea solutiilor informatice implementate in cadrul proiectului</t>
  </si>
  <si>
    <t>Obiectivul general al proiectului este implementarea mecanismelor si instrumentelor strategice de dezvoltare din cadrul Primariei
Municipiului Bacau, prin actualizarea Strategiei Integrate de Dezvoltare Urbana 2021-2027 si a Planului de Mobilitate Urbana Durabila,
prin intermediul unor instrumente modern de management si crearea unui sistem de planificare strategica a dezvoltarii locale.
Obiectivele specifice ale proiectului
1. OS1. Actualizarea Strategiei Integrate de Dezvoltare Urbana a Municipiului Bacau pentru perioada 2021-2027 cu scopul
identificarii si rezolvarii problemelor comunitatii, în domeniul economic, de mediu si social, cât si crearea unei administratii publice
eficiente în beneficiul socio-economic al comunitatii
2. OS2: Actualizarea Planului de Mobilitate Urbana Durabila, cresterii gradului de dezvoltare urbana echilibrata, integrata si durabila
a Municipiului Bacau
3. OS3. Imbunatatirea cunostintelor si abilitatilor profesionale pentru personalul din cadrul UAT Bacau in vederea cresterii
performantei managementului institutiei publice</t>
  </si>
  <si>
    <t>Proiectul vizeaza consolidarea capacitatii administrative a Judetului Bacau prin fundamentarea deciziilor, planificarea strategica pe termen
lung, simplificarea procedurilor administrative si reducerea, in acelasi timp, a birocratiei pentru cetatenii judetului Bacau.
Obiectivele specifice ale proiectului
1. OS1.Introducerea de sisteme si standarde comune în administratia publica locala ce optimizeaza procesele orientate catre
beneficiari în concordanta cu SCAP.
OS1.1 Prin realizarea profilului monografic al judetului Bacau, document ce va sta la baza elaborarii „Strategiei de dezvoltare
durabila a judetului Bacau, perioada 2021–2029”, precum si a instrumentului de monitorizare a strategiei, se urmareste atingerea
indicatorului de rezultat 5S18 – Autoritati si institutii publice care au implementat mecanisme si proceduri standard pentru
fundamentarea deciziilor si a planificarii strategice pe termen lung. (R1)
OS1.2. Prin extinderea functionalitatilor portalului web cu servicii aferente competentelor partajate ale CJ Bacau (urbanism si
amenajarea teritoriului), proiectul va contribui la realizarea indicatorului de rezultat 5S20 - Autoritati si institutii publice locale în
care s-au implementat masurile de simplificare a procedurilor pentru cetateni în conformitate cu Planul integrat pentru
simplificarea procedurilor administrative pentru cetateni elaborat la nivel national.(R3)
OS1.3. Activitatea de instruire a 173 de persoane din cadrul grupulu tinta urmareste cresterea competentelor de utilizare a
sistemelor informatice realizate si implementate prin proiect, ceea ce va contribui la atingerea R 5 - Personal din administratia
publica locala care participa la activitati de instruire legata de OS 2.1 .</t>
  </si>
  <si>
    <t>Dezvoltarea si consolidarea capacitatii administrative a institutiei prin eficientizarea activitatilor de prevenire si combatere a coruptiei în
administratia publica locala, promovarea eticii si integritatii pentru îmbunatatirea performantelor în activitate, cresterea transparentei în
procesului decizional, precum si îmbunatatirea cunostintelor si a competentelor personalului si alesilor locali.
Obiectivele specifice ale proiectului
1. OS 1 - Cresterea gradului de implementare a masurilor de prevenire a coruptiei si a indicatorilor de evaluare.
2. OS 2 - Cresterea gradului de constientizare a efectelor coruptiei la nivelul personalului din administratia publica locala cât si în
rândul cetatenilor.
3. OS 3 - Îmbunatatirea cunostintelor si a competentelor personalului si alesilor locali în ceea ce priveste masurile anticoruptie.</t>
  </si>
  <si>
    <t>Obiectivul general consta în consolidarea capacitatii administrative a Primariei Onesti, din Regiunea mai putin dezvoltata Nord-Est, prin
masuri de planificare strategica (elaborare Strategie de dezvoltare a resurselor umane, Plan Strategic Institutional, bugetare participativa),
prin implementarea si utilizarea a trei sisteme unitare de managenent al calitatii, performantei si planificarii strategice CAF, ISO
9001:2015 si BSC aplicabile administratiei locale.
Obiectivele specifice ale proiectului
1. OS1: Implementarea unor mecanisme si proceduri standard (Strategie de dezvoltare a resurselor umane, Plan strategic
institutional si proceduri pentru bugetarea participativa) pentru a creste eficienta actiunilor adimintrative la nivelul Primariei
Municipiului Onesti.
2. OS2. Implementarea si utilizarea instrumentelor de management al calitatii, performantei si planificarii strategice CAF, ISO
9001:2015 si Balanced Scored Card la nivelul Municipiului Onesti pentru sustinerea schimbarii in vederea obtinerii de
performanta, de îmbunatatire a modului de realizare a activitatilor si de prestare a serviciilor publice
3. OS3: Imbunatatirea competentelor profesionale si certificarea unui numar de 85 de persoane din cadrul Muncipiului Onesti,
personal de conducere si de executie. Formarea/instruirea specifica in vederea managementului planificarii strategice si
managementului calitatii se va realiza ca parte a procesului de implementare al acestui sistem.</t>
  </si>
  <si>
    <t>Obiectivul principal al proiectului consta in cresterea eficientei administrative la nivelul Municipiului Bacau prin implementarea unui sistem
informatic de automatizare a unor servicii publice pentru care municipalitatea detine competente partajate, sistem cu componente front
office pentru interactiunea electronica cu cetatenii, precum si back-office pentru gestiunea fluxului de activitati necesare pentru rezolvarea
cererilor si pentru constituirea bazelor de date interne cu informatii privind serviciile furnizate.
Obiectivele specifice ale proiectului
1. Cresterea accesibilitatii si simplificarea modalitatii de solicitare a unor servicii publice partajate din domeniul asistentei sociale, al
sprijinirii tinerilor în domeniul locuirii (gestionarea si valorificarea patrimoniului de locuinte ANL) si respectiv al ordinii si sigurantei
publice, prin masuri de optimizare si eficientizare a interactiunii front-office: implementarea în cadrul portalului web a unor servicii
electronice, ca alternativa la modalitatea traditionala de solicitare/furnizare a serviciilor publice.
2. Îmbunatatirea abilitatilor si cunostintelor personalului municipiului Bacau pentru utilizarea sistemelor informatice dezvoltate prin
proiect si pentru gestionarea fluxurilor de activitati si de documente electronice.
3. Digitalizarea fluxului de documente si reducerea timpului de furnizare a unor servicii publice partajate din domeniul asistentei
sociale, al sprijinirii tinerilor în domeniul locuirii (gestionarea si valorificarea patrimoniului de locuinte ANL) si respectiv al ordinii si
sigurantei publice, prin masuri de optimizare a activitatilor back-office: implementarea unor aplicatii software specializate pentru
managementul intern al activitatilor specifice de asistenta sociala, managementul patrimoniului de locuinte ANL si respectiv
managementul activitatilor de ordine si siguranta publica.</t>
  </si>
  <si>
    <t xml:space="preserve">Obiectivul general al proiectului il reprezinta introducerea sistemelor si standardelor comune la nivelul Consiliului Judetean Bihor pentru optimizarea proceselor orientate catre beneficiari în concordanta cu SCAP si dezvoltarea abilitatilor in domeniul managementului calitatii a angajatilor din administratia publica si alesilor locali din judetul Bihor
Obiectivele specifice ale proiectului 
1. Obiectivul Specific 1 Implementarea sistemului de management al calitatii si obtinerea certificarii ISO 9001:2015
2. Obiectivul Specific 2 Îmbunatatirea cunostintelor si abilitatilor a 50 de persoane angajate in administratia publica a judetului Bihor si/sau alesi locali, prin organizarea de cursuri în domenii care sa asigure o mai buna administrare a patrimoniului judetului si
organizarea mai eficienta, orientata spre calitate </t>
  </si>
  <si>
    <t>Obiectivul general al proiectului consta in consolidarea capacitatii institutionale si eficientizarea activitatii la nivelul Municipiului Oradea prin simplificarea procedurilor administrative si reducerea birocratiei pentru cetateni, implementând masuri din perspectiva back-office
(adaptarea procedurilor interne de lucru, digitalizarea arhivelor) si front-office pentru serviciile publice furnizate.
Obiective specifice:
OS 1 - Implementarea unor masuri de simplificare pentru cetateni, in corespondenta cu Planul integrat pentru simplificarea procedurilor
administrative aplicabile cetatenilor din perspectiva front-office, dar si back-office prin dezvoltarea si adaptarea aplicatilor existente si introducerea unor solutii aplicative noi (arhivare electronica, captura documente, fluxuri de lucru si management arhiva fizica de documente) care vor furniza digital fluxurile de lucru de baza din cadrul institutiei,
OS 2 - Dezvoltarea cunostintelor si abilitatilor personalului din cadrul Municipiului Oradea, in vederea sprijinirii masurilor vizate de
proiect.</t>
  </si>
  <si>
    <t>Fundamentarea si implementarea unui management strategic performant în administratia publica din judetul Bihor.
Obiectivele specifice ale proiectului
1. OS 1. Sustinerea procesului decizional la nivelul administratiei publice locale din judetul Bihor, pentru a raspunde în mod
fundamentat si coerent nevoilor comunitatilor locale, prin elaborarea si diseminarea Strategiei de dezvoltare durabila a judetului
Bihor pe perioada 2021-2026, precum si a celor doua Ghiduri specifice, care au aplicabilitate pentru Consiliul Judetean Bihor
pentru UAT-urile din judet si unitatile subordonate consiliului judetean.
2. OS 2. Optimizarea utilizarii resurselor software si hardware existente în vederea simplificarii pentru reducerea birocratiei pentru
cetateni la nivel local.
3. OS 3. Îmbunatatirea corelarii componentei bugetare cu componenta strategica prin dezvoltarea abilitatilor si capacitatilor
angajatilor si alesilor locali ai Consiliului Judetean Bihor, prin participarea la 4 programe de formare.
4. OS 4. Cresterea coerentei, eficientei si transparentei procesului decizional prin transfer de know-how în domeniul dezvoltarii si
cooperarii institutionale si internationale, prin participarea angajatilor cosiliului judetean la vizite de studiu la institutii nationale si
internationale, si organizarea de 2 workshop-uri specifice.</t>
  </si>
  <si>
    <t>Obiectivul general al proiectului consta în: consolidarea capacitatii administrative a Municipiului Marghita în vederea cresterii integritatii,
reducerea vulnerabilitatilor la coruptie, cresterea transparentei si eticii prin dezvoltarea si implementarea unor masuri de prevenire a
coruptiei, aplicarea unitara a mecanismelor, procedurilor si normelor de etica si integritate, precum si prin îmbunatatirea cunostintelor
salariatilor în ceea ce priveste prevenirea coruptiei                                                                                                                                                                                                               O.S.1. Consolidarea integritatii, reducerea vulnerabilitatilor si a riscurilor de coruptie în cadrul institutiei prin implementarea de
masurile preventive anticoruptie, respectiv dezvoltarea de proceduri operationale anticoruptie si implementarea sistemului de
management anti-mita ISO 37001.
2. O.S.2. Cresterea eficientei masurilor preventive anticoruptie prin identificarea riscurilor si vulnerabilitatilor si realizarea unui
sondaj privind perceptia în rândul cetatenilor si al personalului din cadrul institutiei cu privire la fenomenul coruptiei.
3. O.S.3. Cresterea gradului de constientizare a publicului si societatii civile cu privire la impactul fenomenului coruptiei, prin
derularea unei campanii de constientizare a publicului cu privire la coruptie.
4. O.S.4. Îmbunatatirea cunostintelor si competentelor unui numar de 75 de persoane din cadrul Primariei Marghita, personal de
conducere si executie si alesi locali, prin organizarea unui program de formare/instruire în domeniul eticii, transparentei, integritatii
si a bunelor practici cu privire la prevenirea coruptiei.</t>
  </si>
  <si>
    <t>Implementarea de masuri de simplificare pentru cetateni în corespondenta cu Planul integrat pentru simplificarea procedurilor
administrative aplicabile cetatenilor, pentru competentele exclusive si partajate ale autoritatii locale
Obiectivele specifice ale proiectului
1. Proceduri simplificate pentru reducerea birocratiei pentru cetateni la nivel local corelate cu Planul integrat de simplificare a
procedurilor administrative pentru cetateni implementate
2. Implementarea unei Platforme IT în vederea digitalizarii procedurilor interne de lucru în administratia publica locala si a proceselor
de interactiune cu cetatenii - serviciile publice online</t>
  </si>
  <si>
    <t>Consolidarea capacitatii Consiliului Judetean Bistrita-Nasaud de a asigura calitatea si accesul la serviciile publice oferite exclusiv de
institutie prin simplificarea procedurilor administratiei locale si reducerea birocrației.
Obiectivele specifice ale proiectului
 1. Implementarea unor masuri de simplificare pentru cetateni si firme, în corespondenta cu Planul Integrat pentru simplificarea
procedurilor administrative aplicabile cetatenilor, atât din perspectiva back-office (adaptarea procedurilor interne de lucru,
digitalizarea arhivelor), cât si front-office;
 2. Dezvoltarea cunostintelor si abilitatilor personalului din cadrul Consiliului Judetean Bistrita-Nasaud, în vederea sprijinirii
masurilor vizate de proiect. Este avuta în vedere formarea/instruirea, evaluarea/testarea si certificarea
competentelor/cunostintelor dobândite pentru 100 de persoane din cadrul grupului tinta, în ceea ce priveste planificarea
strategica. Obiectivul general al serviciilor de instruire îl constituie familiarizarea persoanelor din grupul tinta cu implicatiile
conceptului de planificarea strategica;
3. Elaborarea criteriilor de prioritizare a investitiilor in sectoarele: sanatate, asistenta sociala, infrastructura de mediu si transport
pentru realizarea bugetului Consiliului Judetean Bistrita-Nasaud aferent anului 2021.</t>
  </si>
  <si>
    <t>Obiectivul general al proiectului
Furnizarea de servicii mai bune intr-un mod mai eficient si orientat catre cetateni prin utilizarea tehnologiei digitale si a inteligentei
artificiale in domeniul urbanismului si al asistentei sociale.
Obiectivele specifice ale proiectului
1. Dezvoltarea capacitatii institutionale a Serviciului Urbanism si Directiei de Asistenta Sociala din cadrul UAT Municipiul Bistrita in
vederea realizarii procesului de transformare digitala.
2. Dezvoltarea solutiilor digitale si de inteligenta artificiala care sa sustina servicii mai bune furnizate intr-un mod mai eficient si
orientat spre cetateni.</t>
  </si>
  <si>
    <t>Obiectiv general: Dezvoltarea unui Sistem de Management al Calitatii si Performantei unitar si eficient, prin standardizarea proceselor de lucru, dezvoltarea unui sistem informatic inovativ de management al documentelor, recertificarea SR EN ISO 9001 si pregatirea resursei umane din cadrul
UAT Municipiul Botosani, în scopul consolidarii unui management performant si optimizarii proceselor orientate catre beneficiari. Obiectiv Specific 1.Standardizarea proceselor de lucru la nivelul UAT Municipiul Botosani, asigurarea eficientizarii acestora si corelarii între sistemul de management al calitatii si performantei cu sistemul de control intern managerial, precum si recertificarea SR EN ISO 9001, în scopul optimizarii proceselor orientate catre beneficiari în concordanta cu SCAP si al consolidarii capacitatii institutionale a UAT Municipiul Botosani
Obiectiv Specific 2.Implementarea unui sistem informatic inovativ de management al proceselor si documentelor la nivelul UAT Municipiul Botosani, în vederea dezvoltarii si consolidarii Sistemului de Management al Calitatii si Performantei, necesar cresterii calitatii si a accesibilitatii serviciilor publice.Obiectiv Specific 3.Îmbunatatirea cunostintelor si abilitatilor a 150 de persoane, personalul din cadrul UAT Municipiul Botosani privind implementarea, respectarea si actualizarea continua a standardelor de management al calitatii, prin sesiunile de formare profesionala clasica si e-learning, actiuni de networking si schimb de bune practici, în vederea sprijinirii masurilor si actiunilor de OS2.1 si implicit de proiect pentru optimizarea proceselor orientate catre beneficiari</t>
  </si>
  <si>
    <t>Obiectivul general al proiectului/Scopul proiectului
Prevenirea si reducerea faptelor de coruptie la nivelul celor 140 de angajati ai Primariei Municipiului Botosani.
Obiectivele specifice ale proiectului
1. Elaborarea diagnozei institutionale din punct de vedere al fenomenului de risc care favorizeaza vulnerabilitati la fapte de coruptie
2. Cresterea gradului de informare cu privire la fenomenul coruptiei si solutiile de prevenire si eradicare
3. Cresterea capacitatii interne pentru prevenirea si semnalarea cazurilor asociate fenomenului coruptiei
4. Educarea membrilor comunitatii cu privire la importanta si impactul masurilor anti-coruptie respectiv cu privire la rolul comunitatii
în prevenirea si sanctionarea ei timpurie
5. Identificarea solutiilor de consolidare a integritatii institutiei prin tratarea cauzelor si prevenirea posibilelor fapte de coruptie</t>
  </si>
  <si>
    <t>OS1: Consolidarea capacitatii administrative si accesul online la serviciile publice prin implementarea unei Platforme Integrate de
Simplificare a interactiunii cu Cetatenii pentru reducerea birocratiei si administrarea electronica a documentelor (PISC DMS) si a
Arhivei electronice a judetului.
2. OS2: Simplificarea procedurilor administrative si actualizarea procedurilor interne de lucru ca urmare a implementarii sistemului
PISC DMS
3. OS.3. Dezvoltarea cunostintelor si abilitatilor profesionale pentru 35 de persoane din grupul tinta prin participarea la cursuri de
formare pentru utilizarea sistemului informatic si a procedurilor simplificate,cuprinzând si module de dezvoltare durabila, egalitate
de sanse, nediscriminare si egalitate de gen.</t>
  </si>
  <si>
    <t>Cresterea transparenței, eticii si integritații la nivelul Unitatii Administrativ-Teritoriale Județul Botosani- Consiliul Județean si institutiilor
subordonate.
Obiectivele specifice ale proiectului
1. Identificarea principalelor vulnerabilitati cu privire la coruptie si elaborarea unei Analize instituționale.
2. Imbunatatirea calitatii serviciilor publice furnizate prin prevenirea si semnalizarea cazurilor asociate fenomenului coruptiei,
reducerea vulnerabilitaților si a riscurilor de corupție în administratia publica judeteana.
3. Cresterea gradului de informare si constientizare a cetatenilor Județului Botosani si a personalului din administratia publica locala
cu privire la sesizarea faptelor de coruptie si masuri de prevenire a acestora.
4. Imbunatatirea cunostintelor si competentelor functionarilor publici si personalului de conducere din Consiliul Judetean Botosani si
institutiile subordonate in materie de etica si integritate.</t>
  </si>
  <si>
    <t>Obiectivul general al proiectului consta in consolidarea capacitatii institutionale a Consiliul Judetean Braila si a unor institutii subordonate
cu atributii in domeniile ce sunt gestionate partajat de aceasta autoritate prin introducerea de masuri de simplificare a procedurilor pentru
cetateni în conformitate cu Planul integrat de simplificare a procedurilor pentru cetateni elaborat la nivel national.
Obiectivele specifice ale proiectului
1. Implementarea unor masuri de simplificare pentru cetateni, în corespondenta cu Planul integrat pentru simplificarea procedurilor
administrative aplicabile cetatenilor din perspectiva front-office, dar si back-office prin achizitia si implementarea unei platforme
integrate(portal de servicii electronice pentru cetateni, sistem informatic de management documente, arhivare electronica, retrodigitalizarea
documentelor din arhiva)
2. Dezvoltarea cunostintelor si abilitatilor personalului din cadrul aparatului de specialitate al Consiliului Judetean Braila si a unor
institutii subordonate, în vederea sprijinirii masurilor vizate de proiect. Este avuta în vedere formarea/instruirea,
evaluarea/testarea si certificarea competentelor/cunostintelor dobândite pentru 60 de persoane din cadrul grupului tinta, în ceea
ce priveste utilizarea/administrarea solutiilor informatice implementate în cadrul proiectului.</t>
  </si>
  <si>
    <t>Obiective specifice: Cresterea eficientei administrative a Primariei Municipiului Brasov prin implementarea unor sisteme informatice inovative - ca masuri de simplificare a furnizarii serviciilor catre cetateni si mediul de afaceri. Obiectivele specifice ale proiectului
1. Optimizarea activitatilor interne ale functionarilor, prin implementarea unei platforme integrate de management al activitatilor si al înregistrarilor
2. Modernizarea platformei de tip portal prin implementarea de noi solutii tehnice si servicii care sa fie furnizate online catre cetățeni
3. Imbunatatirea abilitatilor si cunostintelor personalului municipiului Brasov pentru utilizarea sistemelor informatice dezvoltate prinproiect si pentru gestionarea documentelor electronice</t>
  </si>
  <si>
    <t>Obiectivul general al proiectului consta consolidarea capacitatii institutionale si eficientizarea activitatii la nivelul Municipiului Codlea, prin simplificarea procedurilor administrative si reducerea birocratiei pentru cetateni, implementând masuri din perspectiva back-office (adaptarea procedurilor interne de lucru, digitalizarea arhivelor) si din perspectiva front-office, pentru serviciile publice furnizate.                                                                                                                                                                                                         Obs. 1) Implementarea unor masuri de simplificare pentru cetateni, în corespondenta cu Planul integrat pentru simplificarea
procedurilor administrative aplicabile cetatenilor, atât din perspectiva back-office (adaptarea procedurilor interne de lucru,
digitalizarea arhivelor), cât si din perspectiva front-office.
cetateni. Rezultatul 1 contribuie la atingerea acestuia.
2. Obs. 2) Cultivarea si dezvoltatea cunostintelor, competentelor si abilitatilor personalului din cadrul Municipiului Codlea, prin participarea la programe de instruire, inclusiv prin abordarea temelor de dezvoltare durabila, egalitate de sanse, nediscriminare si
egalitate de gen, în vederea utilizarii si administrarii solutiilor informatice implementate.</t>
  </si>
  <si>
    <t>Obiectivul general al proiectului:
Introducerea de sisteme si standarde comune în administratia publica locala ce optimizeaza procesele orientate catre beneficiari în concordanta cu SCAP:
• Implementarea de mecanisme si proceduri standard la nivel local pentru simplificare si rationalizare a procedurilor
administrative
• Introducerea de instrumente electronice si procese de lucru simplificate pentru reducerea birocratiei, corelate cu Planul integrat de simplificare a procedurilor administrative pentru cetateni implementate
Obiectivele specifice ale proiectului
1. Obiectiv specific de proiect 1: Digitizarea, simplificarea si optimizarea fluxurilor de lucru pentru procesele orientate catre cetateni în administratia locala a Municipiului Fagaras.
2. Obiectiv specific de proiect 2: Îmbunatatirea cunostintelor si abilitatilor alesilor locali, precum si angajatilor administratiei locale în furnizarea si comunicarea unor servicii publice de calitate catre cetateni
3. Obiectiv specific de proiect 3: Îmbunatatirea cunostintelor si abilitatilor alesilor locali, precum si angajatilor administratiei locale în furnizarea si comunicarea unor servicii digitizate si online catre cetateni</t>
  </si>
  <si>
    <t>Obiectivul general al proiectului/Scopul proiectului
Cresterea performantei administratiei publice din judetul Brasov în domeniul serviciilor medicale si sociale, prin implementarea de masuri
de simplificare a procedurilor administrative cu caracter general de tip front-office si back-office.                                                                                                          OS 1. Optimizarea procedurilor administrative în domeniul serviciilor sociale si medicale în scopul reducerii birocratiei.
- Se va crea o Platforma integrata (portal web, arhivare electronica, captura documente, fluxuri de lucru cu documente,
registratura electronica si management arhiva fizica de documente) care va furniza digital fluxurile de lucru în domeniul serviciilor
medicale si sociale, în scopul eficientizarii procesarii documentelor, evitarii întreruperilor ce pot aparea în fluxurile informationale
ale institutiilor implicate si în relatia acestora cu CJ Bv, reducând astfel întârzierile în procesul decizional cu impact asupra
activitatilor operative. Se vor dezvolta si implementa masuri de simplificare pentru cetateni, în corespondenta cu Planul integrat
pentru simplificarea procedurilor administrative aplicabile cetatenilor din perspectiva front-office, dar si back-office, care sa
asigure administrarea electronica a documentelor create, primite sau întocmite pentru uz intern, precum si optimizarea
procedurilor si fluxurilor de lucru în domeniul serviciilor medicale si sociale, prin transferul complet în mediu digital a datelor si
informatiilor care sunt utilizate, optimizarea fluxurilor de lucru si introducerea semnaturii digitale.                                                                                                        OS 2. Retrodigitalizarea arhivei fizice cu valoare operationala prezenta de la nivelul D.G.A.S.P.C Brasov
- Se va retro-digitaliza un numar de cca. 1.500.000 pagini aflate în arhiva clasica si cu valoare operationala prezenta.</t>
  </si>
  <si>
    <t>Obiectivul general al proiectului vizeaza imbunatatirea performantei administrative a Municipiului Codlea in ceea ce priveste planificarea
strategica si implementarea masurilor de simplificare administrativa de tip front-office si back-office in baza competentelor sale partajate.
Obiectivele specifice ale proiectului
1. Fundamentarea deciziilor si planificare strategica pe termen mediu si lung prin elaborarea Strategiei de Dezvoltare Locala a
Municipiului Codlea pentru perioada 2021-2027.
2. Imbunatatirea procesului decizional si planificarii strategice la nivelul autoritatii publice locale prin elaborarea Planului strategic
institutional pentru perioada 2021-2022.
3. Sustinerea de masuri de simplificare atât din perspectiva back-office cât si front-office prin implementarea unui ecosistem digital
interinstitutional interconectat si interoperabil de lucru.
4. Optimizarea proceselor administrative in raport cu cetatenii prin digitalizarea a 11 formulare de beneficiilor sociale furnizate de
solicitant in baza competentelor sale partajate.
5. OS5. Îmbunatairea cunostinelor si abilitailor personalului din cadrul Consiliului Local si Primariei Codlea prin derularea unui
program de instruire adresat unui numar de 60 de functionari alesi locali si personal de conducere si de executie.</t>
  </si>
  <si>
    <t xml:space="preserve">Obiectivul general al proiectului vizeaza cresterea transparentei, eticii si integritatii în UAT Municipiul Brasov, prin introducerea unei
proceduri de cooperare cu societatea civila si prin actiuni specifice pentru asigurarea unui management performant.
Scopul proiectul este sa contribuie la realizarea de reforme la nivel local, raspunzând prioritatii europene de investitii 11i.
Obiectivele specifice ale proiectului
1. Elaborarea unei proceduri de cooperare cu societatea civila.
În anul 2020, în structura organizatorica a Primariei Municipiului Brasov a fost inclus Compartimentul Relatii si Inovare
Comunitara, având atributii în cresterea gradului de implicare a societatii civile în realizarea unui act administrativ de calitate, prin
organizarea periodica de consultari si dezbateri publice, asigurarea comunicarii directe si continue cu reprezentatii societatii civile,
dezvoltarea de mecanisme de sondare si consultare a opiniei publice si alte procese participative inovative. 
2. Cresterea gradului de constientizare a coruptiei în rândul cetatenilor si al personalului din Primaria Municipiului Brasov.
3. Cresterea nivelului de cunostinte si a competentelor personalului din Primaria Municipiului Brasov, în ceea ce priveste prevenirea
coruptiei.
</t>
  </si>
  <si>
    <t>Dezvoltarea si consolidarea capacitatii administrative a institutiei prin eficientizarea activitatilor de prevenire si combatere a coruptiei în administratia publica locala, promovarea eticii si integritatii pentru îmbunatatirea performantelor în activitate, cresterea transparentei în procesului decizional, precum si îmbunatatirea cunostintelor si a competentelor personalului si alesilor locali.
Obiectivele specifice ale proiectului
1. OS 1 - Cresterea gradului de implementare a masurilor de prevenire a corupttiei si a indicatorilor de evaluare.
2. OS 2 - Cresterea gradului de constientizare a efectelor coruptiei la nivelul personalului din administratia publica locala cât si în
rândul cetatenilor.
3. OS 3 - Îmbunatatirea cunostintelor si a competentelor personalului si alesilor locali în ceea ce priveste masurile anticoruptie.</t>
  </si>
  <si>
    <t>Cresterea transparentei, eticii si integritatii în cadrul Primariei Municipiului Fagaras prin implementare de masuri referitoare la prevenirea si combaterea coruptiei, constientizare a coruptiei atât în rândul cetatenilor cât si al personalului din administratia publica si îmbunatatirea cunostintelor si a competentelor personalului în ceea ce priveste prevenirea coruptiei
Obiectivele specifice ale proiectului
1. Sondarea perceptiei publice privind aspectele legate de coruptie la nivelul Primariei Municipiului Fagaras
2. Implementarea de masuri in vederea conformarii cu cerintele privind Strategia Nationala Anticoruptie 2016-2020 si
implementarea ISO 37001
3. Elaborarea unui ghid de bune practici privind prevenirea coruptiei si a incidentelor de integritate, prevenirea conflictelor de
interese
4. Certificarea Primariei Municipiului Fagars în sistemul de management anti-mita SR EN ISO 37001
5. Configurarea procedurilor anticoruptie în Platforma IT existenta
6. Formarea personalului privind etica si integritatea si implementarea masurilor pentru prevenirea si combaterea coruptiei</t>
  </si>
  <si>
    <t>Obiectivul general al proiectului consta în cresterea performantei organizationale, consolidarea capacitatii institutionale si eficientizarea
activitarii la nivelul Municipiului Fagaras prin simplificarea procedurilor administrative si reducerea birocrariei pentru cetareni,
implementând masuri din perspectiva back-office si front-office pentru serviciile publice livrate de primarie, vizând competenrele partajate.
Obiectivele specifice ale proiectului
1. OS1. Cresterea performantei organizationale prin implementarea Instrumentului de auto-evaluare a modului de functionare a
institutiilor administrariei publice (CAF) si a sistemului de management integrat Balanced Scorecard (BSC) la nivelul Primariei
Municipiului Fagaras, în concordanta cu Planul de actiuni pentru implementarea etapizata a managementului calitatii în autoritati
si institutii publice 2016-2020.
2. OS2. Implementarea unor masuri de simplificare pentru cetateni în domeniul competentelor partajate, în corespondenta cu Planul
integrat pentru simplificarea procedurilor administrative aplicabile cetatenilor, atât din perspectiva back-office, cât si front-office. În
acest sens se are în vedere achizitia si implementarea unei platforme integrate front-office si back-office pentru servicii
electronice complete în domeniul competentelor partajate, cu un nivel 5 de sofisticare. Sistemul informatic integrat va include:
solutii front-office (Modul pentru servicii electronice partajate, Aplicatie self-service), si back-office (Asistenta sociala, Politie
locala, Dispecerat, Managementul parcarilor publice, Buget-contabilitate, Proiecte si investitii, Patrimoniu – evidenta si
valorificare, Analiza si raportare indicatori privind serviciile partajate), 1 terminal interactiv self-service pentru depunere/eliberare
documente, servicii IT de dezvoltare/implementare. Platforma integrata pentru servicii electronice partajate va implementa
urmatoarele principii: One Stop Shop pentru livrarea de servicii publice electronice; utilizarea inteligenta informatiilor disponibile
prin aplicarea principiului înregistrarii "o singura data" a datelor – conceptul de identitate electronica a cetateanului; spatiul privat
virtual al cetateanului în relatia cu primaria.
3. OS3. Dezvoltarea cunostintelor si abilitatilor personalului din cadrul Municipiului Fagaras, în vederea sprijinirii masurilor vizate de
proiect. Este avuta în vedere formarea/instruirea, evaluarea/testarea si certificarea competentelor/cunostintelor dobândite pentru
60 de persoane din cadrul grupului tinta, în ceea ce priveste CAF si BSC, respectiv utilizarea si administrarea solutiilor informatice
implementate în cadrul proiectului.</t>
  </si>
  <si>
    <t>Cresterea capacitatii administrative la nivelul Municipiului Brasov prin introducerea unor mecanisme de planificare strategica si
digitalizarea serviciilor sociale aflate în competenta Directiei de Asistenta Sociala Brasov (DAS Brasov).
Obiectivele specifice ale proiectului
1. Îmbunatatirea procesului decizional, a planificarii strategice si a executiei bugetare prin achizitia de studii si cercetari necesare
actualizarii strategiei sectoriale DAS Brasov.                                                                                                                                                                                                                                          2. Implementarea unitara a managementului calitatii prin certificarea Sistemului de management al calitatii ISO 9001 la nivelul DAS Brasov. 3. Optimizarea procedurilor administrative în domeniul serviciilor sociale oferite de DAS Brasov, în scopul reducerii birocratiei pentru
cetateni.</t>
  </si>
  <si>
    <t>Obiectivul general al proiectului consta în consolidarea capacitatii institutionale si eficientizarea activitatii la nivelul Municipiului Sacele prin simplificarea procedurilor administrative si reducerea birocratiei pentru cetateni, implementând masuri din perspectiva back-office si frontoffice pentru serviciile publice livrate de primarie, vizând competentele exclusive si partajate.
Obiectivele specifice ale proiectului
1. OS1. Implementarea unor masuri de simplificare pentru cetateni în domeniul competentelor exclusive si partajate, în
corespondenta cu Planul integrat pentru simplificarea procedurilor administrative aplicabile cetatenilor, atât din perspectiva backoffice,
cât si front-office.
2. OS2. Dezvoltarea cunostintelor si abilitatilor pentru minim 50 de persoane din cadrul Municipiului Sacele, în vederea sprijinirii
masurilor vizate de proiect.</t>
  </si>
  <si>
    <t>Cresterea transparentei, eticii si integritatii la nivelul Sectorului 4 al Municipiului Bucuresti, prin implementarea unor mecanisme care sa faciliteze punerea in aplicare a cadrului legal in domeniul eticii si integritatii, imbunatatirea cunostintelor si a competentelor personalului propriu, precum si implementarea unor mecanisme de cooperare cu societatea civila. OS. 1. Sustinerea dezvoltarii si implementarii unor unor mecanisme care sa faciliteze punerea în aplicare a cadrului legal în domeniul eticii si integritatii la nivelul UAT Sector 4; OS 2. Cultivarea si dezvoltarea cunostintelor, competentelor si abilitatilor personalului propriu din administratia publica locala, prin participarea la programe de formare pentru prevenirea coruptiei si la programe de formare privind etica si integritatea, inclusiv prin abordarea temelor de devoltare durabila, egalitate de sanse, nediscriminare si egalitate de gen; OS 3. Sustinerea dezvoltarii si implementarii unor mecanisme de cooperare cu societatea civila si alte autoritati/institutii publice,
prin organizarea unor grupuri de lucru si a unui instrument de semnalare evenimente, cooperare si colaborare cu cetatenii, in vederea implementarii masurilor anticoruptie</t>
  </si>
  <si>
    <t>Obiectivul general:Dezvoltarea unui management performant la nivelul Primariei Sectorului 4 Bucuresti, prin cresterea calitatii procesului decizional,
reducerea birocratiei, cresterea eficientei, transparentei si integritatii serviciilor publice oferite cetatenilor si mediului de afaceri ca urmare a
introducerii unui Spatiu Virtual Unic si a Arhivei electronice ; Obiective specifice:1. OS1:Imbunatatirea procesului decizional si de planificare strategica la nivelul Sectorului 4 prin schimburi de experienta, analiza si evaluarea intermediara a Strategiei de dezvoltare a Sectorului 4 pentru perioada 2016-2020 si elaborarea Strategiei de dezvoltare pentru perioada 2020-2024 2. OS2:Simplificarea procedurilor, accesul rapid la informatii si reducerea birocratiei pentru cetateni si mediul de afaceri prin implementarea Spatiului Virtual Unic la nivelul Sectorului si a Arhivei electronice.3. OS3:Dezvoltarea cunostintelor si abilitatilor profesionale pentru 90 de persoane din GT: 75 de persoane ca urmare a implementarii Spatiului Univ Virtual al Sectorului 4 si Arhivei electronice si 15 persoane pe teme de planificare strategica si politici publice locale Formarea celor 90 de persoane va cuprinde un modul de dezvoltare durabila, egalitate de sanse, nediscriminare si egalitate de gen.</t>
  </si>
  <si>
    <t>Obiectiv general: Cresterea calitatii procesului decizional la nivelul Primariei Sectorului 1, Bucuresti, prin implementarea unor instrumente de management strategic institutional care sa sustina planificarea strategica si fundamentarea politicilor publice, respectiv evaluarea indicatorilor de performanta a politicilor publice adoptate.
OS1 - Dezvoltarea si implementarea unor mecanisme si instrumente de management strategic institutional care sa sustina planificarea si fundamentarea politicilor publice la nivelul Primariei SectORULUI1.
OS2 - Dezvoltarea unor instrumente de monitorizare si raportare a indicatorilor de performanta privind implementarea politicilor publice, cat si a obiectivelor strategice stabilite la nivelul Primariei Sectorului 1, corborate cu instrumente IT de management strategic, care vor permite cresterea calitatii si performantei actului administrativ, a transparentei, eficientei si eficacitatii în utilizarea fondurilor publice.
OS3 - Modernizarea sistemului de management al documentelor din Primaria Sectorului 1, prin implementarea unei aplicatii informatice care sa sustina digitalizarea proceselor de inregistrare si arhivare a documentelor.</t>
  </si>
  <si>
    <t>OS1. Implementarea si utilizarea instrumentului de auto-evaluare CAF la nivelul PS2, cu scopul cresterii performantei administratiei publice locale, precum si pentru îmbunatatirea continua a serviciilor publice oferite                                                                                                                                                                       OS2. Dezvoltarea/cresterea abilitatilor si certificarea unui numar de 30 de persoane din toate nivelurile ierarhice din cadrul Primariei Sectorului 2 (Formarea/Instruirea specifica a 20 de angajati din cadrul PS2, în vederea utilizarii instrumentului CAF                                                                                     OS3. Diseminarea rezultatelor proiectului la nivelul institutiilor aflate sub autoritatea Consiliul Local al Sectorului 2, prin instruirea
a 10 angajati din cadrul personalului acestor institutii, cu privire la monitorizarea Sistemului de Management al institutiei cu
ajutorul instrumentului CAF</t>
  </si>
  <si>
    <t>Obiectiv specific 1: Modernizarea sistemului de furnizare a serviciilor de asistenta sociala prin implementarea unei aplicatii
informatice de gestiune integrata si standardizata a beneficiilor de asistenta sociala la nivelul Sectorului 1 al Municipiului
Bucuresti;
Obiectiv Specific 2: Cresterea eficientei si eficacitatii aparatului administrativ si reducerea birocratiei pentru cetatenii Sectorului 1
beneficiari ai serviciilor de asistenta sociala prin cresterea gradului de operationalizare a documentelor din arhiva traditionala</t>
  </si>
  <si>
    <t>OS1: Implementarea de masuri de eficientizare a proceselor de lucru specifice domeniului asistentei sociale, atât din perspectiva
back-office, cât si front office. Pentru realizarea obiectivului specific 1 se are in vedere activitatea A3 - Simplificarea Procedurilor
Administrative si Reducerea Birocratiei pentru cetateni. Rezultatul 1 contribuie la atingerea acestui obiectiv.
OS2: Cultivarea si dezvoltarea cunostintelor, competentelor si abilitatilor personalului din cadrul Directiei Generale de Asistenta
Sociala si Protectie a Copilului Sector 3 prin participarea la programe de instruire, inclusiv prin abordarea temelor de dezvoltare
durabila, egalitate de sanse, nediscriminare si egalitate de gen, în vederea utilizarii si administrarii solutiilor informatice
implementate. Pentru realizarea obiectivului specific 2 se are în vedere activitatea A4 - Instruirea utilizatorilor si administratorilor
solutiilor informatice implementate. Rezultatul 2 contribuie la atingerea acestuia.</t>
  </si>
  <si>
    <t>Scopul acestui proiect este a sustine aparatul de specialitate al Primarului Sectorului 1 al Municipiului Bucuresti în ceea ce priveste
cresterea gradului de implementare a masurilor referitoare la prevenirea coruptiei pe termen lung prin realizarea unor activitati specifice
care se încadreaza în Axa prioritara 2. “Administratie publica si sistem judiciar accesibile si transparente” si care contribuie la îndeplinirea
Obiectivul specific 2.2 “Cresterea transparentei, eticii si integritatii în cadrul autoritatilor si institutiilor publice”.
Obiectivul general al proiectului consta în cresterea gradului de implementare a masurilor referitoare la prevenirea coruptiei prin
îmbunatatirea, consolidarea si dezvoltarea capacitatii administrative a Sectorului 1 al Municipiului Bucuresti.                                                                        Obiectiv specific 1: Dezvoltarea si implementarea la nivelul S1MB a unor instrumente si mecanisme de management a riscurilor
de coruptie; Obiectiv specific 2: Dezvoltarea si promovarea unei campanii de constientizare a riscului expunerii la fapte de coruptie la nivelul Sectorului 1;  Obiectiv specific 3: Cresterea gradului de integritate a personalului S1MB prin organizarea si derularea unor sesiuni de formare
profesionala in domeniul prevenirii coruptiei, transparentei, eticii si integritatii si combaterii riscului de expunere la fapte de
coruptie precum si dobandirea unor abilitati si competente specifice privind managementul riscurilor de coruptie; Obiectiv specific 4: Dezvoltarea sistemului anti-mita prin implementarea standardului ISO 37001 – Sistemul de management antimita
si obtinerea certificarii la nivelul S1MB;</t>
  </si>
  <si>
    <t>Obiectivul principal al proiectului consta în cresterea transparentei, eticii si integritatii Primariei Sectorului 3 al Municipiului Bucuresti prin
implementarea unor masuri de prevenerire a coruptiei, in parteneriat cu Directia Generala Anticoruptie . Adoptarea si implementarea unor
masuri anticoruptie necesare prevenirii savârsirii unor fapte de coruptie în acord cu respectarea principiilor transparentei, legalitatii,
eficacitatii si suprematiei interesului public care sunt absolut indispensabile în buna functionare a institutiei Primariei Sectorului 3 al
Municipiului Bucuresti.
Obiectivele specifice ale proiectului
1. Îmbunatatirea capacitatii Primariei Sectorului 3 de a preveni faptele de coruptie prin dezvoltarea unui mecanism de management
al riscurilor de coruptie
2. Dezvoltarea cunostintelor si competentelor personalului Primariei Sectorului 3 si alesilor locali în vederea cresterii gradului de
etica si integritate;
3. Cresterea gradului de constientizare a societatii civile si a personalului administratiei publice în vederea dezvoltarii nivelului de
educatie anticoruptie la nivelul Sectorului 3;
4. Certificarea sistemului de management anti-mita ISO 37001 în vederea asigurarii integritatii la nivelul Sectorului 3;</t>
  </si>
  <si>
    <t>Cresterea transparentei, eticii si integritatii institutionale la nivelul Primariei Sector 6 prin dezvoltarea si operationalizarea unui plan de
actiune integrat privind dezvoltarea masurilor de prevenire a coruptiei si conflictelor de interese, prin implementarea masurilor de prevenire a coruptiei la nivel institutional, prin formarea profesionala a personalului propriu si prin derularea unei campanii de constientizare publica anticoruptie.
Obiectivele specifice ale proiectului
1. Dezvoltarea capacitatii de analiza, monitorizare si evaluare a contextului institutional cu privire la riscurile si vulnerabilitatle de
coruptie identificate la nivelul Primariei Sector 6 prin implementarea si certificarea sistemului de management anti-mita ISO
37001, operationalizarea unui Plan de actiune multianual de promovare a integritatii, implementarea de masuri preventive,
realizarea unui ghid de bune practici destinat angajatilor institutiei si dezvoltarea cooperarii intra- si inter-institutionale în domeniul
integritatii
2. Cresterea gradului de constientizare publica cu privire la fenomenul coruptiei si masurile anticoruptie prin derularea unei campanii
de informare si responsabilizare a cetatenilor din Sectorul 6 cu privire la cauzele, consecintele si la modalitatile de semnalare a
faptelor de coruptie
3. Dezvoltarea competentelor în domeniul prevenirii coruptiei si al promovarii transparentei, eticii si integritatii pentru personalul
Primariei Sector 6 prin derularea unui program de formare profesionala</t>
  </si>
  <si>
    <t>Obiectiv general: Cresterea eficientei serviciilor de asistenta sociala la nivelul DGASPC Sector 6 prin dezvoltarea si implementarea unei
solutii informatice integrate inovative, ca masura de simplificare a procedurilor administrative catre cetateni.
Obiectivele specifice ale proiectului
1. Obiectiv specific 1: Dezvoltarea si implementarea unor instrumente informatice inovatoare (componente de front-office si backoffice)
ce sustin eficientizarea activitatilor interne si reducerea birocratiei institutionale în vederea furnizarii serviciilor de asistenta
sociala pentru cetatenii sectorului 6.
2. Obiectiv specific 2: Dezvoltarea unui website pentru facilitarea accesului cetatenilor la serviciile oferite de catre DGASPC Sector 6</t>
  </si>
  <si>
    <t xml:space="preserve">Obiectivul general al proiectului vizeaza optimizarea proceselor orientate catre cetateni, in concordanta cu SCAP, la nivelul Directiei
Generale de Asistenta Sociala si Protectia Copilului, sector 5 (competenta partajata a administratiei publice locale in conformitate cu
prevederile art 3 din Legea 292/2011 a asistentej sociale coroborate cu prevederile art 129 din OUG 57/2019 privind Codul
administrative).
Obiectivele specifice ale proiectului
1. OS 1 – Simplificarea/optimizarea unui set de proceduri interne de lucru in relatia cu beneficiarii, de la nivelul nivelul Directiei
Generale de Asistenta Sociala si Protectia Copilului, sector 5, in vederea reducerii birocratiei pentru cetateni, în concordanta cu
Planul integrat de simplificare a procedurilor administrative pentru cetateni implementate. 
2. OS 2 – Crearea de masuri de simplificare pentru cetateni prin dezvoltarea si implementarea unui ecosistem digital
interinstitutional interconectat si interoperabil pentru asigurarea accesului online la serviciile gestionate la nivelul Directiei
Generale de Asistenta Sociala si Protectia Copilului, sector 5. </t>
  </si>
  <si>
    <t>Obiectivul general al proiectului consta in implementarea unui sistem unitar de management al calitatii si performantei, conform
standardului ISO 9001:2015 si CAF 2020, la nivelul Sectorului 1 al Municipiului Bucuresti si in deplin acord cu principiile dezvoltarii
durabile.
Obiectivele specifice ale proiectului
1. Obiectiv specific 1:Implementarea si dezvoltarea Sistemului de Management al Calitatii, conform SR EN ISO 9001:2015.
OS 1 contribuie la R2 POCA: Sisteme de management al performantei si calitatii corelate cu Planul de actiune în etape
implementat în administratia publica locala
2. Obiectiv specific 2: Certificarea Sistemului de Management al Calitatii, conform SR EN ISO 9001:2015.
OS 2 contribuie la R2 POCA: Sisteme de management al performantei si calitatii corelate cu Planul de actiune în etape
implementat în administratia publica locala
3. Obiectiv specific 3: Impementarea instrumentului de autoevaluare CAF 2020
OS 2 contribuie la R2 POCA: Sisteme de management al performantei si calitatii corelate cu Planul de actiune în etape
implementat în administratia publica locala</t>
  </si>
  <si>
    <t xml:space="preserve">Obiectivul general al proiectului vizeaza consolidarea capacitatii institutionale si eficientizarea activitatii la nivelul Sectorului 2 al
Municipiului Bucuresti-DGASPC Sector 2 în ceea ce priveste componentele partajate pe care institutia le exercita alaturi de celelalte
entitati publice sau private în domeniul asistentei sociale, prin implementarea de masuri menite sa ajute la standardizarea modului de
lucru si a activitatilor specifice acestui domeniu de activitate, la cresterea gradului de interoperabilitate al sistemelor si interconectarea cu
ceilalti actori cu atributii de asistenta sociala, atât din perspectiva back-office, cât si din perspectiva front office.
Obiectivele specifice ale proiectului
1. OS1: Implementarea de masuri de eficientizare a proceselor de lucru specifice domeniului asistentei sociale, atât din perspectiva
back-office, cât si front office. 
2. OS2: Cultivarea si dezvoltarea cunostintelor, competentelor si abilitatilor personalului din cadrul Directiei Generale de Asistenta
Sociala si Protectie a Copilului Sector 2 prin participarea la programe de instruire, inclusiv prin abordarea temelor de dezvoltare
durabila, egalitate de sanse, nediscriminare si egalitate de gen, în vederea utilizarii si administrarii solutiilor informatice
implementate. </t>
  </si>
  <si>
    <t>Obiectivul general al proiectului vizeaza consolidarea relatiei dintre cetatean si institutie prin reducerea birocratiei in concordanta cu
SCAP, la nivelul Sectorului 3 al Municipiului Bucuresti, precum si fundamentarea deciziilor prin planificarea strategica a transformarii
digitale a Sectorului 3 pe termen lung, astfel încât sa fie implementate solutii transparente si eficiente pentru cetateni.
Obiectivele specifice ale proiectului
1. 1.Implementarea unui sistem informatic pentru optimizarea relatiei dintre cetatean si institutie, prin aducerea informatiilor mai
aproape de cetateni.
OS 1 corespunde rezultatului de program R3 - Proceduri simplificate pentru reducerea birocratiei pentru cetateni la nivel local
corelate cu Planul integrat de simplificare a procedurilor administrative pentru cetateni implementate.
2. 2. Elaborarea Strategiei de Transformare Digitala a Sectorului 3 al Municipiului Bucuresti. Strategia va analiza si va identifica cele
mai smart solutii pentru a digitaliza sectorul si pentru a facilita relatia cu cetatenii.
OS 2 corespunde rezultatului de program R1 – Mecanisme si proceduri standard implementate la nivel local pentru
fundamentarea deciziilor si planificarea strategica pe termen lung.</t>
  </si>
  <si>
    <t>Obiectivul general al proiectului vizeaza consolidarea capacitatii institutionale si eficientizarea activitatii la nivelul Sectorului 2 al
Municipiului Bucuresti în ceea ce priveste exercitarea atributiilor prevazute de OUG 57/2019 privind Codul Administrativ, prin
implementarea de masuri pentru îmbunatatirea procesului decizional si a planificarii strategice si de digitalizare, menite sa ajute la
cresterea calitatii procesului administrativ, pentru a raspunde în mod fundamentat si coerent nevoilor comunitatilor locale.
Obiectivele specifice ale proiectului
1. Implementarea de masuri de eficientizare a proceselor de lucru aferente relatiei dintre institutie si asociatiile de proprietari, atât
din perspectiva back-office, cât si din perspectiva front-office, în vederea reducerii birocratiei. Pentru realizarea obiectivului
specific 1 se are în vedere activitatea A3 - Simplificarea Procedurilor Administrative si Reducerea Birocratiei pentru cetateni.
Subactivitatea 3.1 - Implementarea unei platforme informatice destinata comunicarii cu asociatiile de proprietari / chiriasi.
Rezultatul 2 contribuie la atingerea acestui obiectiv.
2. Cultivarea si dezvoltarea cunostintelor, competentelor si abilitatilor pentru 30 de angajati din cadrul aparatului primarului, în
vederea utilizarii si administrarii platformei informatice dezvoltate în proiect, prin participarea la programe de instruire, inclusiv prin
abordarea temelor de dezvoltare durabila, egalitate de sanse, nediscriminare si egalitate de gen, în vederea utilizarii si
administrarii platformei informatice implementate. Pentru realizarea obiectivului specific 2 se are în vedere activitatea A3 -
Simplificarea procedurilor administrative si reducerea birocratiei pentru cetateni, subactivitatea 3.3 - Activitati instruire utilizatori si
administratori. Rezultatul 3 contribuie la atingerea acestuia.
3. Dezvoltarea de mecanisme si proceduri standard pentru fundamentarea deciziilor si planificarea strategica pe termen lung în
concordanta cu SCAP, prin elaborarea Strategiei de transformare digitala a Sectorului 2. pentru realizarea acestui obiectiv
specific se are în vedere activitatea A4 - Dezvoltarea Strategiei de transformare digitala. Rezultatul 1 contribuie la atingerea
acestui obiectiv.</t>
  </si>
  <si>
    <t>Obiectivul general este dezvoltarea capacitatii partenerilor sociali, a organizatiilor societatii civile si a actorilor economici de a actiona impreuna pentru dezvoltarea durabila si cresterea adaptabilitatii mediului privat romanesc la standardele europene, prin promovarea unui mediu antreprenorial etic si responsabil social. Acest obiectiv converge cu obiectivul operational al DMI 3.3,prin dezvoltarea capacitatii partenerilor de dialog social de a participa la procesul decizional si la dezvoltarea durabila a comunitatilor lor. Proiectul propune o abordare integrata pentru cresterea adaptabilitatii la eficienta, eficacitate si integritate.Aceste factori cheie in dezvoltarea economica si sociala a Romaniei se regasesc in urmatoarele obiective specifice: 1.Implementarea responsabilitatii sociale, a integritatii in mediul de afaceri, a dialogului cu actorii sociali relevanti,ca premise ale unor intiative comune pentru dezvoltarea durabila,ocupare si incluziune sociala La nivel global, se asteapta ca afacerile sa fie responsabile, sa aduca valoare adaugata in comunitatile lor de interes,dincolo de orientarea spre profit. Mai mult, efectele pe care le genereaza in randul membrilor comunitatii se masoara prin noi standarde, cum sunt cele de integritate si etica, la care mediul antreprenorial romanesc trebuie adaptat. 2.Cresterea capacitatii si expertizei actorilor relevanti pe piata muncii de a se adapta la standardele europene si internationale privind dezvoltarea durabila si responsabilitatea civica si sociala In conditiile globalizarii si de integrare europeana, piata muncii din Romania trebuie sa raspunda nevoii companiilor de a se adapta permanent cerintelor de crestere a competitivitatii.Acestea presupun politici de ocupare elaborate in comun cu mediul de afaceri, reprezentantii lucratorilor si ai asociatiilor profesionale, dar si adaptarea antreprenorilor si angajatilor la standardele de reglementare a relatiilor de munca impuse de acest context (responsabilitate sociala,respectarea standardelor de calitate,etica si integritate,egalitate de sanse, respectarea drepturilor angajatilor etc.). 3.Dezvoltarea capacitatii actorilor locali, regionali si nationali de a participa la dialogul social privind politicile, strategiile si prioritatile de coeziune economico-sociala,pentru a promova principiul bunei guvernari si principiul parteneriatului public-privat in sprijinul ocuparii si incluziunii sociale O buna guvernare inseamna,conform Planului National de Dezvoltare,implicare,transparenta,consens in privinta orientarii si sensibilizarii,responsabilitate,eficienta si eficacitate,echitate si aplicarea legii.Acestea pot fi asigurate doar prin resurse umane profesioniste,relatii benefice intre actorii implicati in procesele de dezvoltare si atitudini pozitive privitoare la mediul de afaceri. Acestea pot sustine pe termen lung dezvoltarea durabila,implicarea actorilor relevanti in atingerea obiectivelor de coeziune sociala si economica. Regiunile de dezvoltare: Sud-Muntenia, Bucuresti-Ilfov, Centru, Nord-Est, Sud-Est, Vest, Sud-Vest Oltenia.</t>
  </si>
  <si>
    <t>Obiectivul general al proiectului este implementarea unui sistem unitar pentru managementul serviciilor furnizate de catre Municipiul Buzau si pentru managementul comunicarii, care va asigura optimizarea proceselor de lucru si cresterea calitatii serviciilor prestate pentru cetateni si mediul de afaceri.
Prin prezentul proiect se are in vedere implementarea sistemului ISO 9001 de management al calitatii pentru serviciile publice furnizate de Municipiul Buzau catre cetateni si mediul de afaceri, inclusiv din punctul de vedere al proceselor interne necesare pentru furnizarea acestor servicii.                                                                                                                                                                                                                          1. Elaborarea procedurilor de lucru pentru managementul calitatii si performantei serviciillor furnizate de Municipiul Buzau (parte a sistemului de management al calitatii ISO 9001), care sa permita asigurarea unei abordari unitare si eficiente a tuturor proceselor aferente si integrarea acestora in sistemul general de management al calitatii.
2. Implementarea unui sistem informatic suport pentru procedurile de lucru ce eficientizeaza activitatea
3. Extinderea cunostintelor si abilitatilor personalului din Municipiul Buzau pentru utilizarea sistemului informatic pentru asigurarea eficienta a managementului serviciilor.</t>
  </si>
  <si>
    <t>Obiectivul general al proiectului
Simplificare administrativa si optimizarea serviciilor online furnizate catre cetateni, inclusiv prin digitizarea arhivei la nivelul Primariei Municipiului Buzau, contribuind astfel la îndeplinirea obiectivului specific 2.1 al POCA "Introducerea de sisteme si standarde comune în administratia publica locala ce optimizeaza procesele orientate catre beneficiari în concordanță cu SCAP".
Obiectivele specifice ale proiectului
1. Optimizarea activitaților interne ale funcționarilor, prin implementarea unei platforme integrate de management al activităților si al înregistrarilor, inclusiv prin digitalizarea si gestiunea electronica a arhivei primariei Buzau
2. Configurarea unor noi servicii în portal
3. Îmbunatatirea abilitatilor si cunostințelor personalului municipiului Buzau  pentru utilizarea sistemelor informatice dezvoltate prin proiect si pentru gestionarea documentelor electronice</t>
  </si>
  <si>
    <t>Consolidarea capacitații institutionale a Primariei Municipiului Râmnicu-Sarat în vederea optimizarii proceselor administrative ale primariei si adoptarii unor masuri de simplificare a furnizarii serviciilor catre cetațeni si mediul de afaceri, prin implementarea unor sisteme informatice inovative.</t>
  </si>
  <si>
    <t xml:space="preserve">Obiectivul general este implementarea unor proceduri integrate de management al proceselor complexe, de emitere si fundamentare a deciziilor strategice de dezvoltare a Municipiului Buzau, precum si de facilitare a procesului de consultare a cetatenilor în vederea elaborarii actelor administrative.
Obiectivele specifice ale proiectului
1. Definirea unui set de cerinte funcționale si a arhitecturii operationale a Centrului operational de management. 
2. Elaborarea de proceduri de lucru pentru optimizarea proceselor decizionale si a planificarii strategice. - Implementarea unui sistem informatic suport pentru managementul administrativ integrat si a unei platforme informatice online în vederea desfasurarii consultarilor pentru elaborarea actelor administrative. 
3. Extinderea cunostintelor si abilitatilor personalului din Municipiul Buzau pentru utilizarea procedurilor si platformei informatice, pentru asigurarea planificarii strategice si a consultarii cetațenilor. </t>
  </si>
  <si>
    <t>Obiectivele specifice ale proiectului
1. Elaborarea Strategiei Integrate de Dezvoltare Urbana. Obiectivul specific este în corelare cu Activitatea 3, respectiv cu Rezultatul
de proiect 1.
2. Elaborarea Planului de Mobilitate Urbana Durabila. Obiectivul specific este în corelare cu Activitatea 4, respectiv cu Rezultatul de
proiect 2.
3. Extinderea cunostintelor si abilitatilor personalului din Municipiul Buzau în vederea cunoasterii conditionalitatilor specifice
perioadei de finantare 2021-2027, precum si a procedurilor de prioritizare a proiectelor, de monitorizare a implementarii planurilor
de actiune si de evaluare a rezultatelor acestora, pentru documentele strategice elaborate. Obiectivul specific este în corelare cu
Activitatea 5 si cu Rezultatul de proiect 3.</t>
  </si>
  <si>
    <t>Obiectivul general al proiectului consta in consolidarea capacitatii institutionale si eficientizarea activitatii la nivelul Municipiului Râmnicu
Sarat prin planificare strategica si continuarea simplificarii procedurilor administrative si reducerea birocratiei pentru cetateni,
implementând masuri din perspectiva back-office (adaptarea procedurilor interne de lucru, digitalizarea proceselor) si front-office pentru
serviciile publice furnizate aferente competentelor partajate ale administratiei publice locale.
Obiectivele specifice ale proiectului
1. OS1: Implementarea unor masuri de simplificare pentru cetateteni, in corespondenta cu Planul integrat pentru simplificarea
procedurilor administrative aplicabile cetatenilor din perspectiva front-office, dar si back-office prin introducerea unor solutii
aplicative noi si integrarea cu cele existente, în scopul digitalizarii fluxurilor de lucru, pentru reducerea timpului de procesare a
cererilor cetatenilor si asigurarea accesului online la serviciile publice gestionate de Municipiu din domeniul urbanismului si
asistentei sociale
2. OS2: Dezvoltarea cunostintelor si abilitatilor personalului din cadrul Municipiului, in vederea sprijinirii masurilor vizate de proiect.
Este avuta in vedere formarea/instruirea, evaluarea/testarea si certificarea competentelor/cunostintelor dobândite pentru 45
persoane din cadrul grupului tinta, in ceea ce priveste managementul strategic si utilizarea solutiilor informatice implementate in
cadrul proiectului
3. OS3: Dezvoltarea capacitatii necesare in vederea fundamentarii deciziilor si planificarii strategice pe termen lung, prin
implementare masuri si instrumente pentru planificare strategica, inclusiv elaborarea Strategiei Integrate de dezvoltare urbana a
Municipiului Râmnicu Sarat 2021-2027</t>
  </si>
  <si>
    <t>Obiectivul general al proiectului - Cresterea transparenței, eticii si integritații la nivelul Judetului Calarasi, prin intermediul unor activitati care vizeaza identificarea riscurilor si vulnerabilitatilor la coruptie, realizarea de mecanisme si proceduri anticoruptie si aplicarea unitara a acestora, realizarea unor mecanisme de cooperare cu societatea civila, precum si imbunatatirea cunostintelor si a competentelor personalului propriu.
Os.1) Cresterea gradului de dezvoltare a capacitatii analitice a UAT-ului, de a efectua activitati de evaluare a riscurilor si vulnerabilitatilor in vederea realizarii de actiuni concrete si eficiente de prevenire si combatere a coruptiei.
Os.2) Cresterea gradului de dezvoltare si implementare a unor proceduri de identificare a riscurilor si vulnerabilitatilor la coruptie, precum si a unor masuri concrete si modalitati de monitorizare permanenta a aplicarii acesteia, la nivel de UAT.
Os.3) Sustinerea dezvoltarii si implementarii unui mecanism de cooperare cu societatea civila si alte autoritati/institutii publice, prin infiintarea unui grup de actiune privind prevenirea si combaterea coruptiei (GAPCC) si prin dezvoltarea unor proceduri organizatorice si a mecanismului de cooperare si functionare a GAPCC.
Os.4) Sustinerea dezvoltarii si diseminarii unui instrument pentru facilitarea intelegerii mecanismelor de aplicare a cadrului legal in domeniul eticii si integritatii, prin modele de buna practica.
Os.5) Cresterea gradului de informare a cetatenilor, prin organizarea si implementarea unei campanii inovative de educatie anticoruptie in randul acestora.
Os.6) Cultivarea si dezvoltarea cunostintelor, competentelor si abilitatilor angajatilor din administratia publica locala, prin participarea la programe de educatie in domeniul prevenirii si combaterii coruptiei, precum si de dobandire de competente privind</t>
  </si>
  <si>
    <t>Obiectivele specifice ale proiectului
OS1.Identificarea si fundamentarea zonei urbane functionale a municipiului Calarasi prin analiza dezvoltarii in teritoriu, a actorilor
implicati, studiul documentatiilor strategice anterioare si initiativele asociate, definirea problemelor si oportunitatilor;OS2. Elaborarea Planului de Mobilitate Urbana Durabila (PMUD) la nivelul zonei urbane functionale a municipiului Calarasi in vederea cresterii gradului de mobilitate al persoanelor si bunurilor, sporirea adaptabilitatii populatiei la nevoile pietei fortei de munca de la
nivel regional/local precum si favorizarea unei cresteri economice sustenabile din punct de vedere social si al mediului înconjurator;OS3. Elaborarea Strategiei Integrate de Dezvoltare Urbana ( SIDU) a zonei urbane functionale a municipiului Calarasi pentru a raspunde în mod fundamentat si coerent nevoilor comunitatilor locale cu scopul dezvoltarii economice, sociale si de mediu, prin promovarea de actiuni integrate si complementare .OS4. Planificarea investitiilor în date si tehnologii digitale, care sa catalizeze reforma serviciilor administrative si colaborarea între toți actorii prin elaborarea Strategiei de Smart City a Municipiului Calarasi;OS5. Realizarea unor seturi de Proceduri simplificate pentru reducerea birocratiei pentru cetateni la nivel local; OS6. Cresterea nivelului de cunostinte si abilitati ale personalului Municipiului Calarasi, în vederea sprijinirii masurilor/ actiunilor vizate de acest obiectiv specific.</t>
  </si>
  <si>
    <t>1. Îmbunatatirea capacitatii de planificare strategica si alocare a resurselor la nivelul administratiei publice locale Municipiul Resita
prin introducerea unui instrument informatic de bugetare participativa, realizarea unor instrumente de planificare si dezvoltare
locala si realizarea Strategiei Smart City – orizont 2027
2. Eficientizarea si simplificarea serviciilor furnizate cetatenilor de catre Primaria Muncipiului Resita prin implementarea unei solutii
de portal cu servicii digitale pentru cetateni, managementul documentelor, ERP si digitalizarea arhivei
3. Promovarea modernizarii in administratia publica locala din Municipiul Resita prin dezvoltarea cunostintelor si abilitatilor
personalului din cadrul Primariei Municipiului Resita, în vederea sprijinirii masurilor vizate de proiect prin formarea/instruirea,
evaluarea/testarea si certificarea competentelor/cunostintelor dobândite pentru persoanele din cadrul grupului tinta, în ceea ce
priveste planificarea strategica, managementul calitatii si utilizarea noului sistem informatic, ceea ce va determina motivarea si
mobilizarea acestora in directia inovatiei si in oferirea de servicii publice de calitate catre cetateni
4. Implementarea sistemului de management al calitatii in conformitate cu prevederile standardului SR EN ISO 9001:2015 in scopul
imbunatatirii calitatii si eficientei serviciilor publice furnizate de catre Municipiul Resita</t>
  </si>
  <si>
    <t xml:space="preserve">Obiectivul general: Imbunatatirea planificarii strategice, simplificarea procedurilor administrative si reducerea birocratiei pentru cetateni, prin dezvoltarea si implementarea urmatoarelor masuri : elaborarea si implementarea unei strategii de dezvoltare in plan local, o solutie informatica integrata, cat si dezvoltarea cunostintelor personalului de la nivelul UAT Mun.Caransebes in scopul implementarii si utilizarii optime a masurilor realizate in proiect.
OS1. Dezvoltarea si implementarea unei solutii informatice integrate care sa sustina simplificarea procedurilor administrative si reducerea birocratiei pentru cetatenii Municipiului Caransebes, atat din perpectiva back-office cat si front-office, in scopul furnizarii unor servicii publice gestionate in mod eficient la nivelul UAT-ului si performante.
OS 2. Imbunatatirea procesului de planificare strategica la nivelul UAT Mun. Caransebes prin elaborarea si implementarea unei Strategii de Dezvoltare Locale a Municipiului Caransebes aferenta perioadei 2021-2027.
OS 3. Dezvoltarea cunostintelor si abilitatilor personalului din UAT Mun. Caransebes, pe teme specifice de interes
</t>
  </si>
  <si>
    <t>Obiectivele specifice ale proiectului
OS1 - Eficientizarea activitații administrației publice din municipiul Reșița prin implementarea unui sistem informatic integrat inclusiv servicii digitale pentru cetateni pentru serviciile furnizate partajat de catre Municipiul Resița în vederea simplificarii accesului cetațenilor la serviciile oferite partajat de Municipiul Resița
OS2 - Dezvoltarea capacitatii de planificare si fundamentarea procesului decizional la nivelul administratiei publice locale din Municipiul Resita prin realizarea documentelor strategice SIDU si PMUD orizont 2030;OS3 - Cresterea nivelului de responsabilitate si eficienta in administratia publica locala din Municipiul Resita prin instruirea unui numar de 100 de angajati ai primariei pentru a-i capacita in domeniile implementate prin proiect</t>
  </si>
  <si>
    <t>Obiective proiect
Cresterea calitatii si transparentei procesului administrativ la nivelul Municipiului Caransebes prin continuarea implementarii de masuri de simplificare a procedurilor administrative si reducere a birocratiei pentru cetateni, atat din perspectiva back-office (adaptarea procedurilor interne de lucru, digitalizarea arhivelor), cat si front-office pentru serviciile publice furnizate aferente competentelor partajate ale administratiei publice locale
Obiectivele specifice ale proiectului
1. 1. Implementarea unor masuri de simplificare pentru cetateni, in corespondenta cu Planul integrat pentru simplificarea
procedurilor administrative aplicabile cetatenilor din perspectiva front-office, dar si back-office prin introducerea unor solutii
aplicative noi si integrarea cu cele existente, în scopul digitalizarii fluxurilor de lucru, pentru reducerea timpului de procesare a
cererilor cetatenilor si asigurarea accesului online la serviciile publice gestionate de Municipiul Caransebes din domeniile de
interes asistenta sociala si amenajarea teritoriului si urbanism
2. 2. Cresterea nivelului de pregatire, cunostinte si abilitati ale personalului din cadrul Primariei atat in domenii specifice, cat
si in utilizarea si administrarea sistemelor informatice</t>
  </si>
  <si>
    <t>Consolidarea capacitatii de planificare strategica pe termen lung si de asigurarea calitatii serviciile publice prin simplificarea procedurilor administrative pentru reducerea birocratiei la nivelul Consiliului Judetean Caras-Severin.
Obiectivele specifice ale proiectului
1. OS 1 Imbunatatirea capacitatii de planificare strategica la nivelul Consiliului Judetean Caras-Severin prin elaborarea Strategiei de
dezvoltare durabila a judetului pentru perioda 2021-2027, pentru gestionarea eficienta a resurselor financiare proprii si atragerea
de finantari UE
2. OS 2 Implementarea unor masuri de simplificare, în corespondenta cu Planul Integrat pentru simplificarea procedurilor
administrative aplicabile cetatenilor, din perspectiva back-office adaptarea procedurilor interne de lucru, digitalizarea arhivelor
3. OS 3 Dezvoltarea cunostintelor si abilitatilor personalului din cadrul Consiliului Judetean Caras-Severin (inclusiv a factorilor de
decizie), în domeniul planificarii strategice si planificarii bugetare, prin schimburi de experienta/networking cu
autoritatii/institutii/organisme ale administratiei publice internationale dintr-o tara UE</t>
  </si>
  <si>
    <t>Consolidarea capacitatii Consiliului Judetean Caras-Severin de a asigura calitatea si accesul la serviciile publice oferite exclusiv prin
simplificarea procedurilor administratiei locale si pentru reducerea birocratiei pentru cetateni.
Obiectivele specifice ale proiectului
1. OS1. Implementarea sistemului de management al calitati la nivelul Consiliul Judetean Caras-Severin (CJCS) prin utilizarea
sustenabila a standardului ISO 9001:2015 corelat cu Planul de actiune pentru implementarea etapizata a managementului calitatii
in autoritatiI si institutii publice 2016 - 2020 ;
2. OS2. Implementarea unor masuri de reducere a birocratiei pentru cetateni si persoane juridice la nivelul CJCS, în corespondenta
cu Planul Integrat pentru simplificarea procedurilor administrative aplicabile cetatenilor din perspectiva front-office si back-office;
3. OS3.Dezvoltarea cunostintelor si abilitatilor personalului din cadrul Consiliului Judetean Caras-Severin in vederea sprijinirii
masurilor vizate de proiect. Este avuta in vedere formarea/instruirea, evaluarea/testarea si certificarea
competentelor/cunostiintelor dobandite pentru 30 persoane din cadrul grupului tinta, in ceea ce priveste simplificarea procedurilor
administrative Totodata este avuta in vedere formarea/instruirea, evaluarea/testarea competentelor/cunostiintelor dobandite
pentru 30 persoane din cadrul grupului tinta în domeniul implementarii managementului de calitate ISO 9001:2015
15 angajati ai aparatului de specialitate al Consiliului Judetean Caras-severin (personal de conducere si executie), vor beneficia
de cursuri de instruire in cadrul unui schimb de experienta cu autoritati si institutii publice locale care au implementat cu sucuces
digitalizarea administratiei intr-o tara UE</t>
  </si>
  <si>
    <t>Obiectivul general al proiectului: Cresterea calitatii si transparentei procesului administrativ la nivelul Primariei Municipiului Turda pentru a raspunde in mod fundamentat si coerent nevoilor comunitatii locale.                                                                                                    1.Implementarea de instrumente si proceduri standard la nivelul primariei Municipului Turda pentru asigurarea fundamentarii deciziilor si elaborarii de politici publice in baza planificarii strategice pe termen lung.
2. Simplificarea procedurilor adiministrative din perspectiva back-office, prin actualizarea si extinderea solutiilor informatice existente la nivelul aparatului administrativ al Primariei Turda si digitalizarea arhivelor
3. Reducerea birocratiei pentru comunitatea locala a Municipiului Turda prin implementarea unui portal de servicii catre cetateni ce va asigura accesul on-line la serviciile gestionate exclusiv de Primarie
4. Cresterea nivelului de pregatire, cunostinte si abilitati ale personalului din cadrul Primariei Municipiului Turda in domeniul
planificarii strategice si politicilor publice, precum si in utilizarea si administrarea sistemelor informatice</t>
  </si>
  <si>
    <t xml:space="preserve">Obiectivul general  - Implementarea de masuri care vizeaza adaptarea structurilor administrative existente, optimizarea proceselor orientate catre cetateni, prin crearea accesului online la serviciile administratiei publice locale, precum si utilizarea centrului de inovare si imaginatie civica în planificarea strategica a proceselor de inovare sociala, pentru cresterea transparentei decizionale si simplificarea procedurilor oferite cetatenilor municipiului Cluj-Napoca.
Obiective specifice:
OS 1. Dezvoltarea si introducerea mecanismelor Centrului de Inovare si Imaginatie Civica (CIIC) în vederea optimizarii proceselor decizionale orientate catre cetateni si mediul de afaceri în Municipiul Cluj-Napoca.
OS 2. Design-ul, dezvoltarea si implementarea unui sistem electronic de digitalizare si simplificare a serviciilor publice oferite
cetatenilor Municipiului Cluj-Napoca prin implementarea functionarului public electronic si virtual – ANTONIA.
OS 3. Formarea/instruirea functionarilor publici si contractuali, inclusiv a factorilor de decizie la nivel politic, în utilizarea instrumentelor digitale si a functionarului electronic.
</t>
  </si>
  <si>
    <t>Obiectivul general al proiectului consta in consolidarea capacitații institutionale si eficientizarea activitații la nivelul Municipiului DEJ prin
simplificarea procedurilor administrative si reducerea birocratiei pentru cetațeni, implementând masuri din perspectiva back-office
(adaptarea procedurilor interne de lucru, digitalizarea arhivelor) si front-office pentru serviciile publice furnizate.
Obiectivele specifice ale proiectului
1. OS1. Implementarea unor masuri de simplificare pentru cetateni, in corespondenta cu Planul integrat pentru simplificarea
procedurilor administrative aplicabile cetatenilor din perspectiva front-office, dar si back-office prin achizitia si implementarea unei
platforme integrate (portal web, arhivare electronica, captura documente, fluxuri de lucru cu documente, registratura electronica
si management arhiva fizica de documente) care va furniza digital fluxurile de lucru de baza din cadrul institutiei, în scopul
eficientizarii procesarii documentelor, evitarii întreruperilor ce pot aparea în fluxurile informationale ale institutiei, reducând astfel
întârzierile în procesul decizional cu impact asupra activitatilor operative si va asigura accesul online la serviciile publice
gestionate de Municipiul DEJ si retro-digitalizarea unui numar de cca. 20.000 dosare aflate in arhiva clasica si cu valoare
operationala prezenta pentru a facilita rezolvarea cererilor cetatenilor în curs de solutionare.
2. OS2. Dezvoltarea cunostintelor si abilitatilor personalului din cadrul Municipiului DEJ, in vederea sprijinirii masurilor vizate de
proiect. Este avuta in vedere formarea/instruirea, evaluarea/testarea si certificarea competentelor/cunostintelor dobândite pentru
50 persoane din cadrul grupului tinta, in ceea ce priveste utilizarea solutiilor informatice implementate in cadrul proiectului .
Obiectivul general al serviciilor de instruire ii constituie familiarizarea cu componentele solutiei informatice implementate, prin
însusirea cunostintelor necesare utilizarii aplicatiilor, deprinderea functionalitatilor si a modului de folosire a acestora, întelegerea
implicatiilor si avantajelor raportate la realizarea obiectivelor specifice aferente proiectului.</t>
  </si>
  <si>
    <t xml:space="preserve">
Obiectivul general al proiectului: Consolidarea capacitatii administrative a Municipiului Dej prin adoptarea si utilizarea instrumentelor
planificarii strategice conforme cu Strategia pentru Consolidarea Administratiei Publice (SCAP) 2014 – 2020 in vederea optimizarii
proceselor orientate catre beneficiari.
Obiectivele specifice ale proiectului
1. OS 1: Dezvoltarea abilitatilor si cunostintelor factorilor implicati (personal si alesi locali) in domeniile planificarii strategice si
bugetare, a fundamentarii si implementarii politicilor publice locale in acord cu principiile bunei gestiuni financiare.
2. OS 2: Proiectarea si adoptarea Planului Strategic Institutional (PSI) al Municipiului Dej in vederea optimizarii proceselor orientate
catre beneficiari în concordanta cu SCAP;
3. OS 3: Elaborarea si adoptarea Strategiei Integrate de Dezvoltare Urbana (SIDU 2021 – 2027) ca instrument pentru programarea
bugetara multianuala si gestiunea politicilor publice ale municipiului Dej pentru perioada 2021 – 2027
4. OS 4: Elaborarea si adoptarea Planului de Mobilitate Urbana Durabila (PMUD 2021 – 2027) ca instrument pentru gestiunea
politicilor publice ale municipiului Dej in acord cu Pactul Ecologic European ce prevede obligativitatea atingerii neutralitatii
climatice pana in anul 2050</t>
  </si>
  <si>
    <t>Obiectivul general al proiectului consta in consolidarea capacitatii institutionale si eficientizarea activitatii la nivelul Municipiului Gherla prin simplificarea procedurilor administrative si reducerea birocratiei pentru cetateni, implementând masuri din perspectiva back-office si frontoffice.
Obiectivele specifice ale proiectului
1. OS1. Implementarea unor masuri de simplificare pentru cetateni, în corespondenta cu Planul integrat pentru simplificarea
procedurilor administrative aplicabile cetatenilor, atât din perspectiva back-office, cât si front-office. În acest sens este avuta în
vedere achizitia si implementarea unei platforme integrate pentru servicii electronice complete vizând competentele partajate ale
primariei. Platforma integrata include atat solutii front-office, cât si back-office.
- prin obiectivul specific OS1 vor fi achizitionate o serie de echipamente IT, respectiv software, o parte din acestea fiind
identificate si descrise la sectiunea ,,Rezultate asteptate” din cadrul prezentei Cereri de finantare.
2. OS2. Dezvoltarea cunostintelor si abilitatilor personalului din cadrul Municipiului Gherla, in vederea sprijinirii masurilor vizate de
proiect. Este avuta in vedere formarea/instruirea, evaluarea/testarea si certificarea competentelor/cunostintelor dobândite pentru
30 de persoane, din cadrul grupului tinta, in ceea ce priveste utilizarea solutiilor informatice implementate in cadrul proiectului.</t>
  </si>
  <si>
    <t>Obiectivul general al proiectului consta in consolidarea capacitatii institutionale si eficientizarea activitatii la nivelul Municipiului Câmpia
Turzii prin planificare strategica si simplificarea procedurilor administrative si reducerea birocratiei pentru cetateni, implementând masuri
din perspectiva back-office (adaptarea procedurilor interne de lucru, digitalizarea proceselor) si front-office pentru serviciile publice
furnizate aferente competentelor partajate ale administratiei publice locale.
Obiectivele specifice ale proiectului
1. OS1: Implementarea unor masuri de simplificare pentru cetateni, in corespondenta cu Planul integrat pentru simplificarea
procedurilor administrative aplicabile cetatenilor din perspectiva front-office, dar si back-office prin introducerea unor solutii
aplicative noi si integrarea cu cele existente, în scopul digitalizarii fluxurilor de lucru, pentru reducerea timpului de procesare a
cererilor cetatenilor si asigurarea accesului online la serviciile publice gestionate de Municipiu din domeniul asistentei sociale,
urbanism si siguranta si ordine publica.
2. OS2: Dezvoltarea cunostintelor si abilitatilor personalului din cadrul Municipiului, in vederea sprijinirii masurilor vizate de proiect.
Este avuta in vedere formarea/instruirea, evaluarea/testarea si certificarea competentelor/cunostintelor dobândite pentru 32
persoane din cadrul grupului tinta, in ceea ce priveste managementul strategic si utilizarea solutiilor informatice implementate in
cadrul proiectului
3. OS3: Dezvoltarea capacitatii necesare in vederea fundamentarii deciziilor si planificarii strategice pe termen lung, prin
implementare masuri si instrumente pentru planificare strategica, inclusiv elaborarea Strategiei de dezvoltare integrata a
Municipiului Câmpia Turzii 2021-2027</t>
  </si>
  <si>
    <t>Obiectivul general al proiectului consta in consolidarea capacitatii institutionale si eficientizarea activitatii la nivelul Municipiului Turda prin continuarea simplificarii procedurilor administrative si reducerea birocratiei pentru cetateni, implementând masuri din perspectiva backoffice (adaptarea procedurilor interne de lucru, digitalizarea proceselor) si front-office pentru serviciile publice furnizate aferente
competentelor partajate ale administratiei publice locale.
Obiectivele specifice ale proiectului
1. OS1: Implementarea unor masuri de simplificare pentru cetateni, in corespondenta cu Planul integrat pentru simplificarea
procedurilor administrative aplicabile cetatenilor din perspectiva front-office, dar si back-office prin introducerea unor solutii
aplicative noi si integrarea cu cele existente, în scopul digitalizarii fluxurilor de lucru, pentru reducerea timpului de procesare a
cererilor cetatenilor si asigurarea accesului online la serviciile publice gestionate de Municipiul Turda din domeniul asistentei
sociale si siguranta si ordine publica.
2. OS2: Dezvoltarea cunostintelor si abilitatilor personalului din cadrul Municipiului, in vederea sprijinirii masurilor vizate de proiect.
Este avuta in vedere formarea/instruirea, evaluarea/testarea si certificarea competentelor/cunostintelor dobândite pentru 33
persoane din cadrul grupului tinta, in ceea ce priveste utilizarea solutiilor informatice implementate in cadrul proiectului.</t>
  </si>
  <si>
    <t>Obiectivele specifice ale proiectului
1. Intarirea capacitatii de planificare strategica si a capacitatii de planificare si gestionare a investitiilor, pentru o dezvoltare
eficienta si durabila a Municipiului Cluj-Napoca si a zonei metropolitane aferente.
2. Implementarea de solutii pentru simplificarea procedurilor de furnizare a serviciilor sociale (titluri de calatorie subventionate) oferite cetatenilor municipiului Cluj-Napoca.
3. Formarea/instruirea functionarilor publici si contractuali, în planificare strategica si utilizarea instrumentelor digitale
implementate prin proiect.</t>
  </si>
  <si>
    <t>Obiectivul general al proiectului consta în consolidarea capacitatii institutionale si eficientizarea activitatii la nivelul UAT Municipiul Câmpia Turzii prin continuarea simplificarii procedurilor administrative si reducerea birocratiei pentru cetateni, implementând masuri din
perspectiva back-office (optimizarea proceselor de lucru cu documente) si front-office pentru serviciile publice furnizate aferente
competentelor exclusive ale administratiei publice locale.
Obiectivele specifice ale proiectului
1. OS1: Eficientizarea activitatii la nivelul UAT Municipiul Câmpia Turzii prin implementarea unui sistem de management al calitatii
si performantei (BSC si CAF) care sa asigure gestiunea, monitorizarea si evaluarea continua a calitatii si performantei
administratiei publice;
2. OS2: Optimizarea proceselor de lucru în scopul simplificarii procedurilor administrative aplicabile cetatenilor, atât din perspectiva
front-office, pentru asigurarea accesului online la serviciile publice, cât si back-office, pentru reducerea timpului de procesare a
cererilor cetatenilor din domeniile de competenta exclusiva ale administratiei publice locale.
3. OS3: Dezvoltarea cunostintelor si abilitatilor personalului din cadrul UAT Municipiul Câmpia Turzii, în vederea sprijinirii masurilor
vizate de proiect. Este avuta în vedere formarea/instruirea, evaluarea/testarea si certificarea competentelor/cunostintelor
dobândite pentru 30 de persoane din cadrul grupului tinta în ceea ce priveste instrumentul BSC si 50 persoane din cadrul grupului
tinta, în ceea ce priveste utilizarea solutiilor informatice implementate în cadrul proiectului.</t>
  </si>
  <si>
    <t>Obiectivul general consta în actualizarea si extinderea masurilor de simplificare din perspectiva back-office, cat si front-office, pentru
serviciile gestionate exclusiv de catre UAT Municipiul Turda, judetul Cluj, din regiunea mai putin dezvoltata Nord-Vest, pentru a simplifica
procedurile administrative si reducerea birocratiei pentru cetateni.
Obiectivele specifice ale proiectului
1. OS1: Actualizarea si extinderea solutiilor informatice prin introducerea unor module aplicative noi si integrarea cu cele existente,
din perspectiva front-office, dar si back-office pentru serviciile gestionate exclusiv de UAT pentru simplificarea procedurilor
administrative si reducerea birocratiei pentru cetateni.
2. OS 2. Continuarea procesului de retro-digitalizare si ocerizarea arhivei digitale deja existente.
3. OS 3. Imbunatatirea competentelor profesionale a unui numar de circa 30 persoane din cadrul UAT Municipiul Turda în ceea ce
priveste utilizarea solutiilor informatice implementate in cadrul proiectului</t>
  </si>
  <si>
    <t>Obiectivul general al proiectului consta in consolidarea capacitatii administrative a Unitatii Administrativ Teritoriale Municipiul Constanta prin dezvoltarea capacitatii de planificare strategica si prin simplificarea procedurilor administrative, corelata cu introducerea de metode electronice de gestionare si management a documentelor administrative, fapt ce va determina cresterea calitatii actului administrativ pe termen lung.
Obiectivele specifice ale proiectului
1. OS 1 Dezvoltarea capacitatii de planificare strategica la nivelul administratiei publice locale din municipiul Constanta prin
realizarea Strategiei Smart City a municipiului.
2. OS 2 Eficientizarea si simplificarea serviciilor furnizate cetatenilor de catre prin implementarea unei solutii de portal cu servicii digitale pentru cetateni, managementul documentelor, ERP si digitalizarea partiala a arhivei.
3. OS3 Promovarea modernizarii in administratia publica locala din Municipiul Constanta prin specializarea angajatilor primariei pe teme specifice proiectului (planificare strategica) ceea ce va determina motivarea si mobilizarea acestora in directia inovatiei si in oferirea de servicii publice de calitate catre cetateni.</t>
  </si>
  <si>
    <t>Obiectivul general al proiectului vizeaza introducerea de sisteme si standarde comune în administratia publica locala ce
optimizeaza procesele orientate catre beneficiari în concordanta cu Strategia pentru Consolidarea Administratiei Publice 2014-2020
(SICAP).                                                                                                                                                                                                                                                       Obiectivele specifice ale proiectului:                                                                                                                                                                                                       1) Realizarea Strategiei de Dezvoltare a Judetului Constanta pentru perioada 2021-2027                                                                                                           2) Modernizarea arhivei Consiliului Judetean Constanta.</t>
  </si>
  <si>
    <t>Obiectivul general al proiectului consta in consolidarea capacitatii institutionale si eficientizarea activitatii la nivelul Municipiului Mangalia
prin planificare strategica si simplificarea procedurilor administrative si reducerea birocratiei pentru cetateni, implementând masuri din
perspectiva back-office (adaptarea procedurilor interne de lucru, digitalizarea proceselor) si front-office pentru serviciile publice furnizate
aferente competentelor partajate ale administratiei publice locale.
Obiectivele specifice ale proiectului
1. OS1: Implementarea unor masuri de simplificare pentru cetateni, in corespondenta cu Planul integrat pentru simplificarea
procedurilor administrative aplicabile cetatenilor din perspectiva front-office, dar si back-office prin introducerea unor solutii
aplicative noi si integrarea cu cele existente, în scopul digitalizarii fluxurilor de lucru, pentru reducerea timpului de procesare a
cererilor cetatenilor si asigurarea accesului online la serviciile publice gestionate de Municipiu din domeniul sigurantei si ordinii
publice si urbanismului
2. OS2: Dezvoltarea cunostintelor si abilitatilor personalului din cadrul Municipiului, in vederea sprijinirii masurilor vizate de proiect.
Este avuta in vedere formarea/instruirea, evaluarea/testarea si certificarea competentelor/cunostintelor dobândite pentru 60
persoane din cadrul grupului tinta, in ceea ce priveste managementul strategic si utilizarea solutiilor informatice implementate in
cadrul proiectului
3. OS3: Dezvoltarea capacitatii necesare in vederea fundamentarii deciziilor si planificarii strategice pe termen lung, prin
implementare masuri si instrumente pentru planificare strategica, inclusiv elaborarea Strategiei de dezvoltare integrata a
Municipiului Mangalia 2022-2027</t>
  </si>
  <si>
    <t>Obiectivul general al proiectului consta în îmbunatatirea capacitatii administrative la nivelul UAT municipiul Constanta si a întregii sale
Zone Urbane Functionale prin dezvoltatea capacitatii de planificare strategica integrata, eficientizarea proceselor de management si
simplificarea procedurilor administrative, pentru a raspunde în mod fundamentat si coerent nevoilor comunitatilor locale.
Obiectivele specifice ale proiectului
1. OS 1 Dezvoltarea capacitatii de planificare strategica la nivelul UAT municipiul Constanta si a Zonei Metropolitane Constanta prin
actualizarea Strategiei Integrate de Dezvoltare Urbana si a portofoliului de proiecte prioritare al Zonei Metropolitane Constanta
2. OS 2 Eficientizarea si simplificarea serviciilor furnizate cetatenilor de catre UAT municipiul Constanta printr-un sistem informatic
competente partajate si continuare retro-digitalizare arhiva
3. OS 3 Întarirea capacitatii institutionale a UAT municipiul Constanta si a celorlalte autoritati publice locale din Zona Metropolitana
Constanta prin pregatirea adecvata a personalului în domeniul planificarii strategice si a managementului public eficient</t>
  </si>
  <si>
    <t>Obiectivul general al proiectului presupune consolidarea capacitatii administrative a Consiliului Judetean Constanta prin cresterea
integritatii si reducerii vulnerabilitatilor la coruptie prin dezvoltarea si implementarea unui sistem de integritate care include standarde,
politici si proceduri de etica si integritate, precum si printr-un program de educatie anticoruptie, contribuind astfel la dezvoltarea unei
administratii locale si judetene eficiente.
Obiectivele specifice ale proiectului
1. OS1 – Cresterea capacitatii administrative a UAT Judetul Constanta – Consiliul Judetean Constanta in domeniul transparentei,
eticii si integritatii prin elaborarea si aplicarea unitara a unui set de standarde de etica si integritate, insotite de politicile si
procedurile operationale aferente, care sa faciliteze punerea in aplicare a cadrului legal in domeniul eticii si integritatii contribuind
totodata la implementarea la nivelul CJC a masurilor anticoruptie reglementate de legislatia nationala si monitorizate de Strategia
Anticoruptie Nationala (SNA) - revizuire/evaluare proceduri operationale aferente;
2. OS2 - Dezvoltarea de instrumente in vederea cresterii asumarii responsabilitatii la nivelul UAT judetul Constanta, Consiliul
Judetean Constanta prin: realizarea unei campanii de constientizare a publicului si a personalului institutiilor si autoritatilor publice
cu privire la anticoruptie, privind perceptia in randul cetatenilor si al personalului din cadrul administratiei publice, realizarea unui
Ghid de informare anticoruptie (instrument de buna practica) cu scopul de a preveni coruptia si de a stabili indicatorii specifici de
evaluare, respectiv introducerea si certificarea standardului ISO 37001 privind certificarea sistemului de management anti-mita
conform prevederilor standardului international.
3. OS3 – Cresterea nivelului de educatie anticoruptie in randul grupului tinta prin organizarea unui program in acest scop care va
cuprinde: cursuri de formare/perfectionare profesionala in domeniul eticii si integritatii, respectiv prevenirea coruptiei si implicit
formarea in domeniul comunicare si transparenta decizionala.</t>
  </si>
  <si>
    <t>Obiectivul general al proiectului il reprezinta cresterea transparentei, eticii si integritatii in cadrul Primariei Mangalia. Obiectivul general va
fi atins prin dezvoltarea si implementarea de masuri si instrumente care sa reduca riscul de coruptie, sa creasca transparenta si etica
profesionaa in randul angajatilor. Toate acestea vor sustine un management performant la nivelul autoritattii publice locale si vor conduce
la cresterea calitatii serviciilor furnizate.
Obiectivele specifice ale proiectului
1. OS1. Cresterea gradului de implementare a masurilor referitoare la prevenirea coruptiei si a indicatorilor de evaluare prin
implementarea de masuri referitoare la prevenirea coruptiei si a indicatorilor de evaluare în cadrul institutiei.
Va fi elaborata o Strategie anticoruptie la nivelul institutiei si un plan de masuri care va cuprinde si instrumente de evaluare, va fi
implementat standardul ISO 37001 - sistem anti-mita
2. OS2. Cresterea gradului de constientizare a coruptiei atât în rândul cetatenilor cât si al personalului din cadrul Primariei
Muncipiului Mangalia cat si a altor entitati din subordine.
Va fi efectuat un sondaj cu privire la perceptia cu privire la coruptie în rândul cetatenilor si al personalului din cadrul administratiei
publice locale in raport cu serviciile publice oferite de municipalitate si va fi implementata o campanei de constientizare a publicului
cu privire la coruptie.
3. OS3. Îmbunatatirea cunostintelor si a competentelor personalului din cadrul Primariei Municipiului Mangalia si a entitatilor
subordonate în ceea ce priveste prevenirea coruptiei.
Vor fi derulate doua cursuri: un curs de etica si integritate in administratia publica si un curs de prevenire si combatere a coruptiei</t>
  </si>
  <si>
    <t>Consolidarea capacitatii institutionale si eficientizarea activitatii la nivelul UAT Comuna Istria în ceea ce priveste exercitarea atributiilor
prevazute de OUG 57/2019 privind Codul Administrativ, prin implementarea de masuri de digitalizare menite sa ajute la standardizarea
modului de lucru si a activitatilor specifice, la cresterea gradului de interoperabilitate a sistemelor informatice si interconectarea cu ceilalti
actori care opereaza sisteme informatice compatibile, atât din perspectiva back-office, cât si din perspectiva front office.
Obiectivele specifice ale proiectului
1. Optimizarea procedurilor administrative interne în raport cu beneficiarii serviciilor publice, în scopul reducerii birocratiei, prin
implementarea unui ecosistem digital integrat.
2. Imbunatatirea competentelor digitale ale grupului tinta</t>
  </si>
  <si>
    <t>Consolidarea capacitatii institutionale si eficientizarea activitatii la nivelul UAT Comuna Mihai Viteazu în ceea ce priveste exercitarea
atributiilor prevazute de OUG 57/2019 privind Codul Administrativ, prin implementarea de masuri de digitalizare menite sa ajute la
standardizarea modului de lucru si a activitatilor specifice, la cresterea gradului de interoperabilitate a sistemelor informatice si
interconectarea cu ceilalti actori care opereaza sisteme informatice compatibile, atât din perspectiva back-office, cât si din perspectiva
front office.
Obiectivele specifice ale proiectului
1. Optimizarea procedurilor administrative interne în raport cu beneficiarii serviciilor publice, în scopul reducerii birocratiei, prin
implementarea unui ecosistem digital integrat.
2. Imbunatatirea competentelor digitale ale grupului tinta</t>
  </si>
  <si>
    <t>Obiectivul general al proiectului consta în consolidarea capacitatii institutionale si eficientizarea activitatii la nivelul UAT Comuna Corbu,
Jud. Constanta prin optimizarea proceselor de lucru în scopul simplificarii procedurilor administrative si reducerii birocratiei pentru cetateni, implementând masuri din perspectiva back-office (adaptarea procedurilor interne de lucru) si front-office pentru serviciile publice furnizate cetatenilor.
Obiectivele specifice ale proiectului
1. OS1: Dezvoltarea capacitatii necesare în vederea fundamentarii deciziilor si planificarii strategice pe termen lung, prin
implementare de masuri si instrumente pentru planificare strategica, inclusiv elaborarea Strategiei de Dezvoltare Locala a UAT
Comuna Corbu, Jud. Constanta pentru perioada 2023-2027
2. OS2: Optimizarea proceselor de lucru în scopul simplificarii procedurilor administrative aplicabile cetatenilor, atât din perspectiva
front-office, pentru asigurarea accesului online la serviciile publice, cât si back-office, pentru reducerea timpului de procesare a
cererilor cetatenilor din domeniile de competenta exclusiva si partajata ale administratiei publice locale.
3. OS3: Dezvoltarea cunostintelor si abilitatilor personalului din cadrul UAT Comuna Corbu, Jud. Constanta, în vederea sprijinirii
masurilor vizate de proiect. Este avuta în vedere formarea/instruirea, evaluarea/testarea si certificarea
competentelor/cunostintelor dobândite pentru 18 persoane din cadrul grupului tinta, în ceea ce priveste utilizarea solutiilor
informatice implementate în cadrul proiectului si 13 persoane din cadrul grupului tinta instruite în domeniul planificarii strategice.</t>
  </si>
  <si>
    <t>Consolidarea capacitatii administrative a UAT Judetul Constanta prin Consiliul Judetean Constanta pentru sustinerea unui management
performant si eficient prin introducerea si utilizarea sistemelor ISO si instrumentului CAF aplicabile administratiei locale, în concordanta cu
”Planul de actiuni pentru implementarea etapizata a managementului calitatii în autoritati si institutii publice 2016-2020”.
Obiectivele specifice ale proiectului
1. OS1. Implementarea si utilizarea instrumentului de auto-evaluare de tip CAF (Cadrul comun de autoevaluare a modului de
functionare a institutiilor publice) la nivelul UAT Judetul Constanta prin Consiliul Judetean Constanta pentru cresterea
performantei în administratia publica locala si îmbunatatirea serviciilor publice pentru comunitate.
2. OS2. Implementarea si certificarea sistemului de management al calitatii ISO 9001 în UAT Judetul Constanta prin Consiliul
Judetean Constanta pentru o administratie publica eficienta, transparent si adaptata nevoilor comunitatii locale.
3. OS3. Dezvoltarea cunostintelor si abilitatilor unui numar de 20 de persoane de la nivelul UAT Judetul Constanta prin Consiliul
Judetean Constanta în vederea utilizarii unui management al calitatii si performantei la nivelul autoritatii publice locale.</t>
  </si>
  <si>
    <t>Obiectivul general al proiectului îl reprezinta cresterea performantei administratiei publice din judetul Covasna.
Obiectivele specifice ale proiectului
1. Crearea de mecanisme si proceduri standard pentru fundamentarea deciziilor si planificare strategica în judetul Covasna, prin
realizarea Strategiei Integrate de Dezvoltare a judetului Covasna 2021-2030 (Planul POTSA), în corelare cu Strategia pentru
Consolidarea Administratiei Publice (SCAP).
2. Optimizarea procedurilor administrative în raport cu cetatenii în scopul reducerii birocratiei, prin dezvoltarea si implementarea de
masuri de simplificare a serviciilor furnizate de autoritatea publica locala, judetul Covasna, prin intermediul unei solutii informatice
integrate si prin retro-digitalizarea documentelor relevante din arhiva clasica.</t>
  </si>
  <si>
    <t>Obiectivul general al proiectului consta în îmbunatatirea procesului decizional, a capacitații administrative si a calitatii si eficientei
serviciilor publice furnizate la nivelul Municipiului Moreni, din regiunea mai puțin dezvoltata Sud-Muntenia, prin implementarea de
proceduri de sistem si inițierea de masuri de simplificare a unor proceduri de lucru si a unor politici publice si prin dezvoltarea
cunostințelor si abilitaților personalului din cadrul instituției.
1. OS1: Implementarea unor mecanisme si proceduri standard (elaborare Strategie de dezvoltare a Municipiului Moreni, un set de
proceduri de sistem si operationale aplicabile la nivelul institutiei) pentru a creste eficienta actiunilor administrative la nivelul
Municipiului. OS 1 se va îndeplini prin Subactivitatile 2.1 si 2.2 si va conduce la atingerea rezultatului de program POCA R1.
2. OS2. Implementarea si utilizarea instrumentului de auto-evaluare de tip CAF (Cadrul comun de autoevaluare a modului de
functionare a institutiilor publice) la nivelul Municipilui Moreni pentru sprijinirea schimbarii pentru performanta, îmbunatatirea
modului de realizare a activitatilor si de prestare a serviciilor publice. OS 2 se va indeplini prin subactivitatea 3.1 si va conduce la
atingerea rezultatului R2.
3. OS3. Imbunatatirea competentelor profesionale a unui numar de 100 persoane din diferite niveluri ierarhice (personal de
conducere, de executie, alesi locali) din cadrul Municipiului Moreni pe teme specifice. OS 3 se va îndeplini prin Activitatea 4 si va
conduce la atingerea rezultatului R5.</t>
  </si>
  <si>
    <t>Obiectivul general al proiectului îl constituie Cresterea calitatii actului administrativ la nivelul UAT Judetul DB, prin consolidarea procesului
de planificare strategica si implementarea masurilor de simplificare si modernizare a procedurile administrative
Obiectivele specifice ale proiectului
1. 1. Consolidarea capacitatii de planificare strategica si de îmbunatatire a procesului de fundamentare a deciziilor la nivelul UAT
Judetul DB, prin elaborarea Strategiei de dezvoltare a serviciilor sociale a judetului DB si a Planului Strategic Institutional.
2. 2. Simplificarea procedurilor administrative si reducerea birocratiei pentru cetateni prin dezvoltarea si implementarea de solutii
informatice la nivelul UAT Judetul DB, pentru serviciile partajate din domeniul urbanismului si al serviciilor de asistenta sociala
pentru copii aflati în dificultate.
Solutiile informatice dezvoltate vizeaza inclusiv cresterea gradului de accesibilitate pentru persoanele cu dizabilitati
3. 3. Reducerea timpilor de raspuns la solicitarile adresate UAT Judetul DB, prin digitalizarea si retro-digitalizarea arhivei
electronice pentru documentele cu valoare operationala in prezent
4. 4. Îmbunatatirea abilitatilor si competentelor angajatilor UAT Judetul DB, prin participarea la sesiuni de instruire pe teme specifice
actiunilor prevazute prin proiect</t>
  </si>
  <si>
    <t>Dezvoltarea si consolidarea capacitatii administrative a institutiei prin eficientizarea activitatilor de prevenire si combatere a coruptiei în administratia publica locala, promovarea eticii si integritatii pentru îmbunatatirea performantelor în activitate, cresterea transparentei în procesului decizional, precum si îmbunatatirea cunostintelor si a competenttelor personalului si alesilor locali.
Obiectivele specifice ale proiectului
1. OS 1 - Cresterea gradului de implementare a masurilor de prevenire a coruptiei si a indicatorilor de evaluare.
2. OS 2 - Cresterea gradului de constientizare a efectelor coruptiei la nivelul personalului din administratia publica locala cât si în
rândul cetatenilor.
3. OS 3 - Îmbunatatirea cunostintelor si a competentelor personalului si alesilor locali în ceea ce priveste masurile anticoruptie.</t>
  </si>
  <si>
    <t>Obiectivul general al proiectului este reprezentat de digitalizarea serviciilor publice oferite cetatenilor din judetul Dâmbovita, în vederea
reducerii birocratiei, prin implementarea unui sistem informatic integrat intra si interinstitutional la nivelul aparatului de specialitate al
Consiliului Judetean Dâmbovita.
Activitatile propuse în cadrul prezentului proiect conduc la îndeplinirea Obiectivului specific 2.1. - Introducerea de sisteme si standarde
comune în administratia publica locala ce optimizeaza procesele orientate catre beneficiari în concordanta cu SCAP a Axei Prioritare 2.
Administratie publica si sistem judiciar accesibile si transparente din cadrul Programului Operational Capacitate Administrativa
Obiectivele specifice ale proiectului
1. Implementarea unui sistem informatic integrat intra si interinstitutional, la nivelul aparatului de specialitate al Consiliului Judetean
Dâmbovita în vederea digitalizarii serviciilor publice (competente exclusive) si îmbunatatirii modului de acordare a acestora.
Acest obiectiv va fi atins prin dezvoltarea/stabilirea arhitecturii sistemelor hardware si software necesare asigurarii serviciilor
publice online.</t>
  </si>
  <si>
    <t>Obiectivul general al proiectului vizeaza consolidarea capacitatii instituttionale si eficientizarea activitatii la nivelul UAT Municipiul
Târgoviste în ceea ce priveste exercitarea atributiilor prevazute de OUG 57/2019 privind Codul Administrativ, prin implementarea de
masuri pentru îmbunatatirea procesului decizional si a planificarii strategice si de digitalizare menite sa ajute la standardizarea modului de
lucru si a activitatilor specifice, la cresterea gradului de interoperabilitate a sistemelor informatice si interconectarea cu ceilalti actori care
opereaza sisteme informatice compatibile, atât din perspectiva back-office, cât si din perspectiva front office
Obiectivele specifice ale proiectului
1. Dezvoltarea de mecanisme si proceduri standard pentru fundamentarea deciziilor si planificarea strategica pe termen lung în
concordanta cu SCAP
2. Optimizarea procedurilor administrative interne în raport cu beneficiarii serviciilor publice, în scopul reducerii birocratiei, prin
implementarea unui ecosistem digital integrat si dezvoltarea abilitatilor personalului prin participarea la programe de instruire în
vederea utilizarii si administrarii solutiilor informatice implementate</t>
  </si>
  <si>
    <t>Obiectivul general al proiectului consta in consolidarea capacitatii institutionale si eficientizarea activitatii la nivelul Primariei Municipiului
Moreni, prin simplificarea procedurilor administrative si reducerea birocratiei pentru cetateni, implementând masuri din perspectiva backoffice
(adaptarea procedurilor interne de lucru, digitalizarea arhivelor) si front-office pentru serviciile publice furnizate.
Obiectivele specifice ale proiectului
1. OS1. Implementarea unor masuri de simplificare pentru cetateni conform Planului integrat pentru simplificarea procedurilor
administrative aplicabile cetatenilor din perspectiva front-office si back-office. În acest sens, este avuta în vedere achizitia si
implementarea unei platforme integrate pentru servicii electronice complete vizând competentele exclusive si partajate ale
primariei. Platforma integrata include atat solutii front-office (portal web pentru servicii electronice), cât si back-office (solutii care
faciliteaza exercitarea competentelor exclusive si partajate vizate de prezentul proiect, arhivare electronica, retrodigitalizare).
Platforma integrata pentru servicii electronice este bazata pe implementarea urmatoarelor principii: one stop shop pentru livrarea
de servicii publice electronice; utilizarea inteligenta a informatiilor disponibile prin aplicarea principiului înregistrarii "o singura
data" a datelor – conceptul de identitate electronica a cetateanului; spatiul privat virtual al cetateanului în relatia cu primaria.
2. OS2. Dezvoltarea cunostintelor si abilitatilor personalului din cadrul Primariei Municipiului Moreni, in vederea sprijinirii masurilor
vizate de proiect. Este avuta in vedere formarea/instruirea, evaluarea/testarea si certificarea competentelor/cunostintelor
dobândite pentru 130 de persoane (personal de conducere, de executie, alesi locali) din care 50 de persoane pentru comunicare
interna, 50 de persoane pentru analiza de proces in administratia publica, precum si 30 de persoane, din cadrul grupului tinta, in
ceea ce priveste utilizarea solutiilor informatice implementate in cadrul proiectului.</t>
  </si>
  <si>
    <t>Obiectivul general al proiectului/Scopul proiectului
Consolidarea capacitatii Primariei municipiului Craiova de a asigura calitatea si accesul la serviciile publice oferite exclusiv de Primarie
prin simplificarea procedurilor administratiei locale si reducerea birocratiei pentru cetateni                                                                                                          Obiectivele specifice ale proiectului
1. Reducerea cu minim 10% a timpului aferent livrarii serviciilor catre cetateni
2. Implementarea fluxului electronic pentru cel putin 10 servicii oferite online (acte livrate semnate electronic) exclusiv de primarie.
3. Punerea la dispozitia cetatenilor a unui nou portal de servicii electronice
4. Simplificarea fluxurilor interne prin eliminarea nevoii de acte doveditoare eliberate deja de Primarie
5. Imbunatatirea accesului la informatiile institutiei prin actualizarea site-ului web al instiutiei pentru a fi responsive, intuitiv si accesibil persoanelor cu dizabilitati
6. Elaborarea unui instrument extranet pentru confirmare a veridicitatii actelor emise de institutie</t>
  </si>
  <si>
    <t>Obiectivul general al proiectului - Fundamentarea deciziilor, planificarea strategica si masuri de simplificare pentru cetateni la nivelul UAT Bailesti.
Obiectivele specifice ale proiectului
1. OS 2.1: Introducerea unor mecanisme si proceduri standard implementate la nivel local pentru fundamentarea deciziilor si
planificarea strategica pe termen lung;
2. OS 2.3: Realizarea unor seturi de Proceduri simplificate pentru reducerea birocratiei pentru cetateni la nivel local corelate cu
Planul integrat de simplificare a procedurilor administrative pentru cetateni implementate;
3. OS 2.4: Cresterea nivelului de Cunostinte si abilitati ale personalului UAT Bailesti în vederea sprijinirii masurilor/actiunilor vizate
de acest obiectiv specific.</t>
  </si>
  <si>
    <t>Obiectivul general al proiectului/Scopul proiectului
Consolidarea capacitații Consiliului Județean Dolj de a asigura calitatea si accesul la serviciile publice oferite exclusiv prin simplificarea
procedurilor administratiei locale si reducerea birocrației pentru cetațeni.
Obiectivele specifice ale proiectului
1. OS2. Implementarea unor masuri de simplificare pentru cetateni si firme, în corespondenta cu Planul Integrat pentru simplificarea
procedurilor administrative aplicabile cetatenilor, atât din perspectiva back-office (adaptarea procedurilor interne de lucru,digitalizarea arhivelor), cât si front-office.
2. OS3. Dezvoltarea cunostintelor si abilitatilor personalului din cadrul Consiliului Judetean Dolj, în vederea sprijinirii masurilor vizate
de proiect. Este avuta în vedere formarea/instruirea, evaluarea/testarea si certificarea competentelor/cunostintelor dobândite
pentru 75 de persoane din cadrul grupului tinta, în ceea ce priveste simplificarea procedurilor administrative. Obiectivul general al
serviciilor de instruire îl constituie familiarizarea persoanelor din grupul tinta cu implicatiile conceptului de simplificare administrativa.</t>
  </si>
  <si>
    <t>Obiectivul general al proiectului:
Asigurarea unei transparențe si integrități sporite la nivelul sistemului judiciar în vederea îmbunatatirii accesului si a calității serviciilor furnizate la nivelul acestuia în cadrul UAT Drobeta-Turnu Severin;
Obiectiv specific al proiectului:
OS 2.1: Grad crescut de acces la justiție al cetățenilor prin derularea de campanii de informare/educatie juridica si oferirea de servicii suport, inclusiv de asistenăț juridică, puse la dispoziția cetățenilor.</t>
  </si>
  <si>
    <t>Obiectivul general consta în îmbunatațirea capacitatii administrative, a calitatii si eficientei serviciilor publice furnizate la nivelul UAT Municipiul Tecuci, județul Galați, din regiunea mai putin dezvoltata Sud-Est, prin investiții integrate si complementare conform reglementarilor europene si naționale (planificare strategica instituționala, revizuire si actualizare strategie de dezvoltare locala UAT Tecuci, sistem informatic pentru arhiva electronica si implementarea unui sistem informatic personalizat pentru optimizarea serviciilor administratiei locale).
OS 1: Implementarea unor mecanisme si proceduri standard (actualizare Strategie de dezvoltare a Municipiului, Plan strategic
institutional, proceduri cadru de adoptare a hotarârilor de consiliu local) pentru a creste eficienta actiunilor adimintrative la nivelul Municipiului Tecuci. 
2. OS 2. Masuri de simplificare a procedurilor administrative si reducerea birocratiei prin crearea si integrarea unui sistem informatic pentru arhiva (digitalizarea arhivelor) si administrarea electronica a documentelor (registratura) la nivelul Municipiului Tecuci.
3. OS 3. Imbunatatirea competentelor profesionale a unui numar de circa 70 persoane din toate nivelurile ierarhice din cadrul UAT Municipiul Tecuci pe teme specifice, în urma unei analize de nevoi.</t>
  </si>
  <si>
    <t>Obiectivul general consta în îmbunatatirea capacitatii administrative, a calitatii si eficientei serviciilor publice furnizate la nivelul Consiliul Judetean Galati si a 5 institutii subordonate, din regiunea mai putin dezvoltata, prin investitii integrate si complementare conform reglementarilor europene si nationale (implementare CAF, planificare strategica institutionala, sistem informatic pentru arhiva electronica).
Obiectivele specifice ale proiectului
1. OS 1: Implementarea unor mecanisme si proceduri standard (Strategie de dezvoltare a judetului, Plan strategic institutional si proceduri operationate de aplicare a acestuia) pentru a creste eficienta actiunilor adimintrative la nivelul Consiliului Judetean Galati. OS 1 se va îndeplini prin Activitatea 3 si va conduce la atingerea rezultatului de program POCA R1.
2. OS 2. Implementarea si utilizarea instrumentului de management al calitatii CAF (Cadrul comun de autoevaluare a modului de functionare a institutiilor publice) la nivelul Consiliului Judetean Galati si a 5 institutii subordonate pentru sprijinirea schimbarii spre performanta, îmbunatatirea modului de realizare a activitatilor si de prestare a serviciilor publice. OS 2 se va îndeplini prin Activitatea 4 si va conduce la atingerea rezultatului de program POCA R2. Pentru realizarea acestui obiectiv se va implementa instrumentul CAF (Cadru Comun de autoevaluare a modului de functionare a institutiilor publice) pentru autoevaluarea institutiilor publice, instrument prin care angajatii identifica punctele forte si slabe ale functionarii institutiei proprii si propun solutii de imbunatatire a activitatii. Acest instrument este inovativ pentru Consiliul Judetean Galati si institutiile subordinate si îsi propune sa îmbunatateasca performanta institutionala si calitatea serviciilor publice prestate.
3. OS 3. Masuri de simplificare a procedurilor administrative si reducerea birocratiei pentru cetateni prin crearea si integrarea unui sistem informatic pentru arhiva (digitalizarea documentelor din arhiva) la nivelul Consiliului Judetean Galati. OS 3 se va îndeplini prin Activitatea 6 si va conduce la atingerea rezultatului de program POCA R3.
4. OS 4. Imbunatatirea competentelor profesionale a unui numar de 150 persoane din toate nivelurile ierarhice din cadrul Consiliului Judetean Galati si a institutiilor subordonate pe teme specifice, în urma unei analize de nevoi. OS 4 se va îndeplini prin Activitatea 7 si va conduce la atingerea rezultatului R5.</t>
  </si>
  <si>
    <t>Obiectiv general: Consolidarea capacitatii administrative a Unitatii administrativ teritoriale (UAT) Municipiul Galati pentru sustinerea unui
management performant prin introducerea si utilizarea instrumentului CAF aplicabil administratiei locale, în concordanta cu ”Planul de
actiuni pentru i+J131mplementarea etapizata a managementului calitatii în autoritati si institutii publice 2016-2020” (cuantificare: 1 sistem de J131management implementat).                                                                                                        OS1. Implementarea si utilizarea instrumentului de auto-evaluare de tip CAF (Cadrul comun de autoevaluare a modului de
functionare a institutiilor publice) la nivelul UAT Municipiul Galati pentru cresterea performantei în administratia publica locala si
îmbunatatirea serviciilor publice pentru comunitate.
 OS2. Dezvoltarea cunostintelor si abilitatilor unui numar de 45 de persoane de la nivelul UAT Municipiul Galati în vederea utilizarii
unui management al calitatii si performantei la nivelul autoritatii publice locale.</t>
  </si>
  <si>
    <t>Consolidarea integritatii, reducerea vulnerabilitatilor si a riscurilor de coruptie la nivelul UAT Municipiul Galati, prin dezvoltarea,
promovarea si utilizarea de instrumente specifice prevenirii coruptiei, în paralel cu îmbunatatirea cunostintelor si competentelor privind
prevenirea coruptiei în rândul personalului si alesilor din administratia publica locala.
Obiectivele specifice ale proiectului
1. OS1.Cresterea capacitatii administratiei publice locale de elaborare, adoptare si implementare a normelor, mecanismelor si
procedurilor în materie de etica, integritate si prevenire a coruptiei, în conformitate cu legislatia în vigoare.
2. OS2. Cresterea gradului de constientizare a personalului din cadrul UAT Municipiul Galati cu privire la impactul fenomenului
coruptiei.
3. OS3. Dezvoltarea cunostintelor, competentelor si abilitatilor personalului din cadrul UAT Municipiul Galati (aparat de specialitate
al primarului, Serviciul Public Comunitar Local de Evidenta a Persoanelor Galati si alesi locali).</t>
  </si>
  <si>
    <t>Obiectivul general consta în simplificarea procedurilor administrative, îmbunatatirea calitatii si eficientei serviciilor publice gestionate
partajat de catre UAT Municipiul Tecuci, judetul Galati, din regiunea mai putin dezvoltata Sud-Est, prin extinderea unei platforme integrate
reducând astfel întârzierile în procesul decizional cu impact asupra activitatilor operative si asigurarea accesului online la serviciile publice
gestionate partajat.
Obiectivele specifice ale proiectului
1. OS1: Implementarea unei platforme informatice integrate prin introducerea unor module aplicative noi si integrarea cu cele
existente, din perspectiva front-office, dar si back-office ce sustine simplificarea procedurilor administrative si reducerea birocratiei
pentru cetatenii Municipiului Tecuci pentru serviciile furnizate partajat de catre UAT.
OS 1 se va îndeplini prin activitatea 1 si va conduce la atingerea rezultatului de program POCA R3, domeniul vizat D.
2. OS 2. Imbunatatirea competentelor profesionale a unui numar de circa 50 persoane din cadrul serviciilor furnizate partajat de
catre UAT Municipiul Tecuci, în ceea ce priveste utilizarea solutiilor informatice implementate in cadrul proiectului
OS 2 se va îndeplini prin Activitatea 1.2 si va conduce la atingerea rezultatului R5.</t>
  </si>
  <si>
    <t>Obiectivul general al proiectului consta in modernizarea mecanismelor si procedurilor administrative la nivelul Municipiului Giurgiu, in
vederea cresterii capacitatii institutionale privind fundamentarea deciziilor si planificare strategica pe termen lung, precum si reducerea
birocratiei, prin implementarea si sustinerea de masuri de simplificare, atat din perspectiva back-office, cât si din perspectiva front-office,
pentru serviciile furnizate catre comunitate; Obs. 1) Introducerea si implementarea unui mecanism de bugetare participativa in scopul cresterii calitatii procesului decizional,pentru a raspunde in mod fundamentat si coerent nevoilor comunitatii locale Giurgiu;Obs. 2) Consolidarea capacitatii institutionale privind planificarea si fundamentarea strategica, prin dezvoltarea si elaborarea Strategiei de dezvoltare durabila a Municipiului Giurgiu pentru perioada 2020-2027;Obs. 3) Dezvoltarea, implementarea si sustinerea de masuri de simplificare, atat din perspectiva back-office cât si front-office
pentru serviciile furnizate direct cetatenilor si mediului de afaceri din Municipiul Giurgiu;Obs. 4) Dezvoltarea si implementarea unor programe de instruire specifice privind dezvoltarea competentelor si abilitatilor pentru angajatii (demnitari, consilieri, personal de conducere si executie) din Municipiul Giurgiu</t>
  </si>
  <si>
    <t>Obiectivul general al proiectului/Scopul proiectului
Cresterea calitatii si transparentei procesului administrativ la nivelul Municipiului Giurgiu prin continuarea implementarii de masuri de
simplificare a procedurilor administrative si reducere a birocratiei pentru cetateni, atat din perspectiva back-office (adaptarea procedurilor
interne de lucru, digitalizarea arhivelor), cat si front-office pentru serviciile publice furnizate aferente competentelor partajate ale
administratiei publice locale
Obiectivele specifice ale proiectului
1. Dezvoltarea capacitatii institutionale a Municipiului Giurgiu pentru asigurarea planificarii strategice pe termen lung si fundamentarii
deciziilor prin elaborarea Planului de Mobilitate Urbana Durabila a Municipiului pentru perioada 2021-2027
2. Simplificarea procedurilor adiministrative din perspectiva back-office, prin introducerea unor solutii aplicative noi si integrarea cu
cele existente pentru serviciile furnizate partajat de catre autoritatea publica locala
3. Reducerea birocratiei pentru comunitatea locala prin implementarea unui portal de servicii catre cetateni si a unei aplicatii mobile
ce va asigura accesul on-line la serviciile partajate</t>
  </si>
  <si>
    <t xml:space="preserve">Obiectivele specifice ale proiectului
OS1: Implementarea de mecanisme si proceduri standard (Strategie de dezvoltare a județului, Plan strategic institutional 2021 –2027, Procedura operationala de administrare a infrastructurii rutiere cu ajutorul solutiilor informatice) pentru a creste eficienta actiunilor administrative la nivelul Judetului.OS 2. Implementarea unei soluții informatice pentru simplificarea procedurilor administrative vizand competentele partajate in domeniul infrastructurii de transport rutier judetean, in cadrul Consiliului Judetean Giurgiu, contribuie la simplificarea procedurilor
administrative în conformitate cu Planul integrat de simplificare a procedurilor pentru cetațeni si se ofera servicii publice electronice de informare si servicii digitale pentru cetateni.OS 3. Imbunatatirea competentelor profesionale a unui numar de 75 de persoane din cadrul Consiliului Județean Giurgiu, a
subordonatelor si a altor instituții publice din raza Judetului Giurgiu pe teme specifice proiectului, prin cursuri de formare profesionala (55 de persoane) si instruire utiliare solutie informatica (20 de persoane). </t>
  </si>
  <si>
    <t>Obiectivul general al proiectului îl reprezinta reducerea birocratiei la nivelul UAT Judet Giurgiu prin implementarea masurilor care vizeaza
simplificarea procedurilor pentru cetateni în conformitate cu Planul integrat de simplificare a procedurilor pentru cetateni elaborat la nivel
national prin introducerea sistemelor informatice inovative pentru competente exclusive ale UAT Judet Giurgiu.
Proiectul isi propune sa raspunda nevoilor identificate in cadrul UAT Judet Giurgiu in vederea alinierii sale la standardele si exigentele
europene, precum si crearea unei administratii publice moderne.                                                                                                                                                                                   OS1 – Implementarea unor masuri simplificate pentru reducerea birocratiei pentru cetateni la nivel local, corelate cu Planul
integrat de simplificare a procedurilor administrative pentru cetateni din perspectiva back office pentru competente exclusive, prin
achizitia si implementarea solutiilor informatice care sa asigure administrarea electronica a documentelor si prin retrodigitalizarea
documentelor existente.
2. OS2 - Dezvoltarea cunostintelor si abilitatilor personalului în vederea sprijinirii masurilor vizate în proiect prin realizarea
vizitelor/schimb de experienta pentru 12 persoane, instruirea a 60 de persoane in sisteme IT si cerificarea CNFPA a 30 de
persoane din personalul din Consiliului Judetean Giurgiu (personal de conducere si de executie).</t>
  </si>
  <si>
    <t>Obiectivul general al proiectului - Optimizarea si eficientizarea proceselor orientate catre cetateni, în concordanta cu Strategia pentru Consolidarea Administratiei Publice, prin introducerea sistemelor comune de calitate si performanta, în cadrul UAT Municipiul Motru.                                                                                                                                                                                                                                                                      Obiectiv specific 1: Implementarea unui sistem unitar de management al calitatii si performantei (în conformitate cu Planul de
actiune pentru prioritizarea si etapizarea implementarii managementului calitatii) la nivelul UAT Municipiul Motru si realizarea unui schimb de experienta între personalul din institutia publica beneficiara a proiectului si autoritati, organisme, organizatii publice nationale.
2. Obiectiv specific 2: Dezvoltarea abilitatilor unui numar de 40 participanti din cadrul UAT Municipiul Motru în domeniile
implementarii sistemelor de management al calitatii (CAF, ISO), control managerial intern, politici publice locale.</t>
  </si>
  <si>
    <t>1. Dezvoltarea unui sistem de proceduri operationale privind masurile preventive anticoruptie si indicatorii aferenti în cadrul UAT Judetul Gorj si a structurilor subordonate.
2. Implementarea masurilor referitoare la prevenirea coruptiei si a indicatorilor de evaluare inclusiv prin cresterea gradului de constientizare publica si campanii de educatie anticoruptie privind masurile referitoare la prevenirea coruptiei si a indicatorilor de evaluare.
3. Îmbunatatirea cunostintelor si competentelor în domeniul prevenirii coruptiei, transparentei, eticii si integritatii pentru: - 25 persoane - personal de conducere si de executie din cadrul aparatului de specialitate al Unitatii Administrativ Teritoriale Judetul Gorj;
- 25 persoane - personal de conducere si de executie din cadrul structurilor subordonate Unitatii Administrativ Teritoriale Judetul Gorj;
- 20 alesi locali ( consilieri judeteni, presedinte, vicepresedinti) ai Consiliului Judetean Gorj</t>
  </si>
  <si>
    <t>Obiectiv specific: Introducerea de sisteme si standarde comune în administratia publica locala ce optimizeaza procesele orientate catre beneficiari în concordanta cu SCAP.                                                                                                                                                                           OS1. Simplificarea procedurilor administrative si reducerea birocratiei pentru cetateni în Primaria Municipiului Târgu Jiu.
OS2. Îmbunatatirea cunostințelor si abilitatilor personalului din Primaria Municipiului Târgu Jiu în vederea optimizarii masurilor simplificate pentru cetățeni.</t>
  </si>
  <si>
    <t>Fundamentarea deciziilor, planificare strategica si masuri de simplificare pentru cetateni la nivelul administraței publice locale din Municipiul Motru.
Obiectivele specifice ale proiectului
1. Obiectiv specific 1: Elaborarea Strategiei de dezvoltare locala a UAT Municipiul Motru pe perioada 2021-2027, a Planului strategic institutional al Municipiului Motru pe perioada 2020-2021.
2. Obiectiv specific 2: Implementarea unei solutii informatice privind simplificarea procedurilor administrative si reducerea birocratiei pentru cetateni si retrodigitalizarea documentelor din arhiva UAT Municipiul Motru.
3. Obiectiv specific 3: Dezvoltarea abilitatilor personalului din cadrul UAT Municipiul Motru.</t>
  </si>
  <si>
    <t>Obiectiv specific 1: Realizarea în mod participativ a Strategiei de dezvoltare a judetului Gorj pentru perioada 2021-2027 in scopul îmbunatatirii procesului decizional, a planificarii strategice si executiei bugetare la nivelul UAT Judetul Gorj.
Obiectiv specific 2: Implementarea la nivelul UAT Judetul Gorj a masurilor de simplificare pentru cetateni în corespondenta cu Planul integrat pentru simplificarea procedurilor administrative aplicabile cetatenilor.</t>
  </si>
  <si>
    <t>Cresterea transparenței, eticii si integritații în cadrul UAT Municipiul Targu Jiu prin implementarea masurilor referitoare la prevenirea
corupției si a indicatorilor de evaluare în autoritațile si instituțiile publice
Obiectivele specifice ale proiectului
1. Consolidarea integritații si eficienței masurilor anticorupție prin introducerea si certificarea standardului ISO 37001 în Primaria
municipiului Târgu -Jiu
2. Reducerea vulnerabilitaților si a riscurilor de corupție prin implementarea metodologiei de identificare a riscurilor si
vulnerabilitaților la corupție
3. Cresterea gradului de constientizare a publicului cu privire la impactul fenomenului coruptiei prin organizarea unei campanii
online de educație anticorupție adresate cetațenilor din Municipiul Târgu -Jiu
4. Îmbunatațirea cunostințelor si a competențelor personalului din Primaria municipiului Târgu- Jiu în ceea ce priveste prevenirea
corupției</t>
  </si>
  <si>
    <t xml:space="preserve">Obiectivul general este optimizarea proceselor orientate catre beneficiari în concordanta cu SCAP prin introducerea sistemului CAF si instruirea personalului pentru implementarea unitara a managementului calitatii si performantei în administratia publica locala, pentru a oferi servicii de calitate care sa asigure obtinerea satisfactiei si încrederii cetatenilor, în condiții de eficienta, eficacitate.
Obiectivele specifice ale proiectului
1. Obiectiv specific 1: Elaborarea unui studiu privind situatia actuala a managementului performanței la nivel strategic în cadrul Consiliului Județean Harghita si Introducerea unui instrument al managementului calitații, respectiv instrumentul CAF la nivelul Consiliului Județean Harghita pentru îmbunatațirea managementului performanței.
2. Obiectiv specific 2: Dezvoltarea si perfecționarea cunostințelor si abilitaților pentru 91 de persoane din cadrul Consiliului Judetean Harghita în domeniul managementului performanței si a standardelor instrumentului CAF, cu scopul aplicarii acestor concepte în organizatie pentru un management al calitații mai bun. Persoanele instruite vor acumula cunostințe care vizeaza atât principiile de management al calitații cât si aplicarea acestora în cadrul instituției. Cu ocazia desfasurarii fiecarei sesiuni de instruire, fiecarui modul de formare va fi prezentata o tema dedicata egalitații de sanse, nediscriminare si egalitate de gen si o tema dedicata dezvoltarii durabile.
</t>
  </si>
  <si>
    <t>Cresterea eficientei administrative a Primariei Municipiului Gheorgheni prin implementarea unor sisteme informatice inovative, ca masuri de simplificare si modernizare a furnizarii serviciilor catre cetateni si mediul de afaceri.
Obiectivele specifice ale proiectului
1. Optimizarea activitaților interne ale funcționarilor, prin implementarea unei platforme informatice integrate pentru managementul
fluxurilor de activitați si de documente, pentru managementul activitatilor financiar-economice, al gestiunii patrimoniului si al
activitatilor de urbanism.
2. Implementarea unei platforme software de tip portal, integrarea acesteia cu subsistemul back-office si configurarea in portal a
unor servicii electronice care sa fie furnizate online catre cetațeni.
3. Imbunatatirea abilitaților si cunostintelor personalului municipiului Gheorgheni pentru utilizarea sistemelor informatice
implementate prin proiect.</t>
  </si>
  <si>
    <t>Obiectivul general consta în îmbunatatirea capacitatii administrative, a calitatii si eficientei serviciilor publice furnizate la nivelul Municipiului
Odorheiu Secuiesc, judetul Harghita din regiunea mai putin dezvoltata Centru, prin implementarea unui sistem informatic integrat care
permite comunicarea online cu cetatenii si cu alte institutii pentru domenii gestionate partajat de UAT, eficientizarea activitatilor de tip
back-office si implementarea de masuri pentru îmbunatatirea planificarii strategice.
Prin implementarea unui sistem informatic integrat care ofera acces online la serviciile gestionate partajat de administratia locala si
achizitia unor noi module software cu functionalitati noi si un sistem îmbunatatit fata de cel existent, prin pregatirea a circa 120 de
persoane pentru o administratie performanta si eficienta la nivel local, proiectul contribuie la realizarea obiectivului general POCA 2014-
2020. Pe termen lung implementarea si utilizarea unui sistem informatic care sa permita accesul facil la servicii on-line, instruirea
personalului, contribuie la dezvoltarea unei culturii a calitatii in administratia publica, la crearea unei administratii locale performante,
capabile sa ofere servicii performante si sa genereze dezvoltare socio-economica la nivelul comunitatii.</t>
  </si>
  <si>
    <t>Consolidarea integritatii la nivelul UAT Miercurea-Ciuc prin dezvoltarea si implementarea de proceduri si instrumente specifice prevenirii
coruptiei.
Obiectivele specifice ale proiectului
1. Cresterea gradului de implementare a masurilor de prevenire a coruptiei si a indicatorilor de evaluare la nivelul UAT Miercurea-
Ciuc.
2. Îmbunatatirea cunostintelor angajatilor si alesilor locali din cadrul UAT Miercurea-Ciuc în domenii precum prevenirea coruptiei,
conflicte de interese, incompatibilitati, achizitii publice etc.</t>
  </si>
  <si>
    <t>Obiectivul general este optimizarea si digitalizarea proceselor administrative orientate catre beneficiari în concordanta cu SCAP, prin
implementarea sistemului de management al calitatii ISO 9001:2015, prin realizarea unui Sistem Informatic Integrat, prin digitalizarea
Arhivarii, si prin instruirea personalului pentru a oferi servicii de calitate.
Obiectivele specifice ale proiectului
1. Obiectiv specific 1: Implementarea si certificarea unui Sistemului de management al calitatii ISO 9001:2015
2. Obiectiv specific 2: Implementarea unui Sistem Informatic Integrat la nivelul Primariei
3. Obiectiv specific 3: Implementarea unei solutii informatice care sa asigure administrarea electronica a documentelor create,
primite sau întocmite pentru uz intern în cadrul Primariei Miercurea-Ciuc, asa cum este cerut de Legea Arhivelor Nationale nr.
16/1996
4. Obiectiv specific 4: Retro-digitalizarea documentelor din arhiva</t>
  </si>
  <si>
    <t>Obiectivul general al proiectului vizeaza consolidarea capacitatii institutionale si eficientizarea activitatii la nivelul UAT Municipiul Toplita în
ceea ce priveste exercitarea atributiilor prevazute de OUG 57/2019 privind Codul Administrativ, prin implementarea de masuri pentru
îmbunatatirea procesului decizional si a planificarii strategice si de digitalizare menite sa ajute la standardizarea modului de lucru si a
activitatilor specifice, la cresterea gradului de interoperabilitate a sistemelor informatice si interconectarea cu ceilalti actori care opereaza
sisteme informatice compatibile, atât din perspectiva back-office, cât si din perspectiva front office.
Obiectivele specifice ale proiectului
1. Dezvoltarea de mecanisme si proceduri standard pentru fundamentarea deciziilor si planificarea strategica pe termen lung în
concordanta cu SCAP
2. Optimizarea procedurilor administrative interne în raport cu beneficiarii serviciilor publice, în scopul reducerii birocratiei, prin
implementarea unui ecosistem digital integrat si dezvoltarea abilitatilor personalului prin participarea la programe de instruire în
vederea utilizarii si administrarii solutiilor informatice implementate</t>
  </si>
  <si>
    <t>Dezvoltarea unui management performant si facilitarea accesului la serviciile oferite de Consiliul Judetean Harghita, prin reducerea
birocratiei, cresterea eficientei, transparentei si integritatii serviciilor oferite cetatenilor ca urmare a implementarii unei platforme de servicii electronice pentru cetatenii judetului Harghita - DIGIT HR.
Obiectivele specifice ale proiectului
1. Simplificarea procedurilor, introducerea de instrumente digitale pentru furnizarea de servicii electronice, retrodigitizarea
documentelor, accesul rapid la informatii si reducerea birocratiei pentru cetatenii judetului Harghita prin implementarea platformei
de servicii electronice pentru cetateni DIGIT-HR, la nivelul Judetului Harghita.
2. Dezvoltarea cunostintelor si abilitatilor profesionale pentru 35 de persoane din cadrul Consiliului Judetean Harghita pentru
operarea si administrarea DIGIT-HR in vederea oferirii unor servicii de calitate cetatenilor judetului. Formarea celor 35 de
persoane va cuprinde si un modul de dezvoltare durabila, egalitate de sanse, nediscriminare si egalitate de gen.</t>
  </si>
  <si>
    <t>Obiectivul general al proiectului consta în consolidarea capacitatii institutionale si eficientizarea activității la nivelul Municipiului Hunedoara, prin simplificarea procedurilor administrative si reducerea birocrației pentru cetațeni, implementând masuri din perspectiva back-office (adaptarea procedurilor interne de lucru, digitalizarea arhivelor) si front-office pentru serviciile publice furnizate.
OS1 Implementarea unor masuri de simplificare pentru cetațeni, în corespondenta cu Planul integrat pentru simplificarea
procedurilor administrative aplicabile cetatenilor, atât din perspectiva back-office (adaptarea procedurilor interne de lucru,
digitalizarea arhivelor), cât si front-office.
OS2 Dezvoltarea cunostintelor si abilitatilor personalului din cadrul Municipiului Hunedoara, în vederea sprijinirii masurilor vizate de proiect.</t>
  </si>
  <si>
    <t>Obiectivul general al proiectului consta consolidarea capacitatii institutionale si eficientizarea activitatii la nivelul Municipiului Deva, prin
fundamentare strategica, simplificarea procedurilor administrative si reducerea birocratiei pentru cetateni, implementând masuri din
perspectiva back-office (adaptarea procedurilor interne de lucru), si front-office pentru serviciile publice furnizate.
OS1. Implementarea unor procedure simplificate pentru reducerea birocratiei pentru cetateni, în corespondenta cu
Planul integrat pentru simplificarea procedurilor administrative aplicabile cetatenilor, atât din perspectiva back-office,cât si frontoffice.
OS2. Dezvoltarea cunostintelor si abilitatilor personalului din cadrul Municipiului Deva, în vederea sprijinirii masurilor
vizate de proiect.
OS 3. Introducerea unor mecanisme si proceduri standard implementate la nivel local pentru fundamentarea deciziilor si
planificarea strategic pe termen lung.</t>
  </si>
  <si>
    <t>Obiectiv general:Consolidarea capacitatii Primariei Municipiului Petrosani de a asigura calitatea si accesul la serviciile publice oferite exclusiv de Primarie prin simplificarea procedurilor administratiei locale si reducerea birocratiei pentru cetateni                                                                     . OS1. Îmbunatațirea procesului de planificare strategica si alocare a resurselor în cadrul Primariei Municipiului Petrosani prin introducerea unui instrument informatic de bugetare participativa
OS2. Implementarea unor masuri administrative simplificate în relatia cu cetatenii, în corespondență cu Planul Integrat pentru simplificarea procedurilor administrative aplicabile cetatenilor, atât din perspectiva back-office (adaptarea procedurilor interne delucru, digitalizarea arhivelor), cât si front-office (prelucrarea si soluționarea on-line a solicitarilor cetațenilor).
3. OS3. Dezvoltarea cunostintelor si abilitatilor personalului din cadrul Primariei Municipiului Petrosani, în vederea sprijinirii masurilor vizate de proiect. Este avuta în vedere formarea/instruirea, evaluarea/testarea si certificarea competentelor/cunostințelor dobândite pentru 75 de persoane din cadrul grupului tinta, în ceea ce priveste simplificarea administrativa si planificarea strategica.</t>
  </si>
  <si>
    <t>Obiectivul general al proiectului: Consolidarea capacității Primăriei municipiului Lupeni de a asigura calitatea și accesul la serviciile publice oferite exclusiv de Primărie prin
simplificarea procedurilor administrației locale și reducerea birocrației pentru cetățeni                                                                                OS1. Îmbunatatirea procesului de planificare strategica si alocare a resurselor în cadrul Primariei Municipiului Lupeni prin introducerea unui sistem intern managerial certificat
2. OS2. Implementarea unor masuri de simplificare pentru cetateni - în corespondenta cu Planul Integrat pentru simplificarea procedurilor administrative aplicabile cetatenilor - atât din perspectiva back-office (adaptarea procedurilor interne de lucru, digitalizarea arhivelor), cât si front-office.
3. OS3. Dezvoltarea cunostintelor si abilitatilor personalului din cadrul Primariei Municipiului Lupeni, în vederea sprijinirii masurilor vizate de proiect. Este avuta în vedere formarea/instruirea, evaluarea/testarea si certificarea competentelor/cunostintelor dobândite pentru 70 de persoane din cadrul grupului tinta, în ceea ce priveste simplificarea procedurilor. Obiectivul general al
serviciilor de instruire îl constituie familiarizarea persoanelor din grupul tinta cu implicatiile simplificarii procedurilor administrative.</t>
  </si>
  <si>
    <t>Obiectivul general al proiectului consta în consolidarea capacitatii institutionale si eficientizarea activitatii la nivelul Municipiului Brad prin
planificare strategica, proceduri simplificate pentru reducerea birocratiei pentru cetateni si formarea personalului.
Obiectivele specifice ale proiectului
1. OS 1: Realizarea de proceduri standard pentru fundamentarea deciziilor si elaborarea documentatiilor de planificare strategica:
Criterii de prioritare a investitiilor în sectoarele educatie, sanatate, asistenta sociala, infrastructura (mediu si transport) pentru
realizarea bugetului aferent anului 2021 sau 2022, politici publice ce necesita resurse financiare din bugetele aferente anilor 2021
si 2022, Strategia integrata de dezvoltare urbana a Municipiului Brad 2021-2027, Planul de Mobilitate Urbana Durabila al
Municipiului Brad pentru perioada 2021-2027, Planul Strategic Institutional 2021-2022 si Planul de Actiune pentru Energie
Durabila si Clima – PAEDC”.
2. OS 2: Implementarea unor masuri de simplificare pentru cetateni, în legatura cu Planul integrat pentru simplificarea procedurilor
administrative aplicabile cetatenilor prin implementarea si utilizarea GIS în administratia publica.
3. OS 3. Dezvoltarea cunostintelor si abilitatilor personalului din cadrul Municipiului Brad, în vederea sprijinirii masurilor vizate de
proiect.</t>
  </si>
  <si>
    <t>Obiectivul general al proiectului consta in consolidarea capacitatii institutionale a UAT Orastie si eficientizarea activitatii la nivelul
Municipiului Orastie si a domeniilor ce sunt gestionate partajat de aceasta autoritate prin introducerea de mecanisme si proceduri standard
pentru fundamentarea deciziilor si planificarea strategica pe termen lung, respectiv prin simplificarea procedurilor administrative in vederea reducerii birocratiei pentru cetateni si cresterea gradului de cunostinte si abilitati ale personalului din administratia publica locala.
In esenta, obiectivul general al proiectului este o consecinta a îndeplinirii obiectivelor specifice ale proiectului ce vor fi atinse ca urmare a
obtinerii rezultatelor asteptate.
Obiectivele specifice ale proiectului
1. OS1. Îmbunatatirea procesului decizional, de planificare strategica si alocare a resurselor în cadrul Primariei Municipiului Orastie
prin introducerea unui sistem de control intern managerial (SCIM), elaborarea strategiei integrate de dezvoltare urbana (SIDU)
2021 - 2027, plan de mobilitate urbana durabila (PMUD) 2021 - 2023.
2. OS2. Implementarea unor masuri de simplificare pentru cetateni, in corespondenta cu Planul integrat pentru simplificarea
procedurilor administrative aplicabile cetatenilor din perspectiva back-office: adaptarea procedurilor interne de lucru, digitalizarea
arhivelor, cat si din perspectiva front-office, luand in considerare competentele partajate ale autoritatilor administratie publice
locale care vizeaza: Spitalul Municipal Orastie siServiciul Public de Asistenta Sociala Orastie.
3. OS3. Dezvoltarea cunostintelor si abilitatilor personalului din cadrul UAT Orastie si a domeniilor partajate: Spitalul Municipal
Orastie si Serviciul Public de Asistenta Sociala, in vederea sprijinirii masurilor vizate de proiect. Este avuta in vedere
formarea/instruirea, evaluarea/testarea si certificarea competentelor/cunostintelor dobândite pentru 70 persoane din cadrul
grupului tinta cu privire la implicatiile conceptului de planificare strategica si evaluare a deciziilor la nivelul administratiei publice
locale si prin efectuarea de schimburi de experienta si networking cu autoritati/institutii/organisme ale administratiilor publice
nationale/internationale pentru 12 persoane.</t>
  </si>
  <si>
    <t>Dezvoltarea si consolidarea capacitații administrative a instituției prin eficientizarea activitaților de prevenire si combatere a corupției în
administrația publica locala, promovarea eticii si integritații pentru îmbunatațirea performantelor în activitate, cresterea transparenței în
procesului decizional, precum si îmbunatațirea cunostințelor si a competențelor personalului si alesilor locali.
Obiectivele specifice ale proiectului
1. OS 1 - Cresterea gradului de implementare a masurilor de prevenire a corupței si a indicatorilor de evaluare.
2. OS 2 - Cresterea gradului de constientizare a efectelor corupției la nivelul personalului din administrația publica locala cât si în
rândul cetațenilor.
3. OS 3 - Îmbunatațirea cunostintelor si a competențelor personalului si alesilor locali în ceea ce priveste masurile anticorupție.</t>
  </si>
  <si>
    <t>Administratia publica locala, promovarea eticii si integritatii pentru îmbunatatirea performantelor în activitate, cresterea transparentei în
procesului decizional, precum si îmbunatatirea cunostintelor si a competentelor personalului si alesilor locali.
Obiectivele specifice ale proiectului
1. OS 1 - Cresterea gradului de implementare a masurilor de prevenire a coruptiei si a indicatorilor de evaluare.
2. OS 2 - Cresterea gradului de constientizare a efectelor coruptiei la nivelul personalului din administratia publica locala cât si în
rândul cetatenilor.
3. OS 3 - Îmbunatatirea cunostintelor si a competentelor personalului si alesilor locali în ceea ce priveste masurile anticoruptie.</t>
  </si>
  <si>
    <t>Dezvoltarea si consolidarea capacitatii administrative a institutiei prin eficientizarea activitatilor de prevenire si combatere a coruptiei în
administratia publica locala, promovarea eticii si integritatii pentru îmbunatatirea performantelor în activitate, cresterea transparentei în
procesului decizional, precum si îmbunatatirea cunostintelor si a competenttelor personalului si alesilor locali.
Obiectivele specifice ale proiectului
1. OS 1 - Cresterea gradului de implementare a masurilor de prevenire a coruptiei si a indicatorilor de evaluare.
2. OS 2 - Cresterea gradului de constientizare a efectelor coruptiei la nivelul personalului din administratia publica locala cât si în
rândul cetatenilor.
3. OS 3 - Îmbunatatirea cunostintelor si a competentelor personalului si alesilor locali în ceea ce priveste masurile anticorupte.</t>
  </si>
  <si>
    <t xml:space="preserve">Obiectivul general consta în consolidarea capacitatii administrative a Consiliului Judetean Hunedoara, din Regiunea mai putin dezvoltata
Vest, prin masuri de planificare strategica (elaborare Strategie de dezvoltare a resurselor umane, Plan Strategic Institutional 2022 - 2024,
Plan de Mobilitate Urbana 2022 - 2027), prin implementarea si utilizarea a doua sisteme unitare de managenent al calitatii si performantei
CAF si ISO 9001:2015 (certificat) aplicabile administratiei locale si implementarea de masuri de simplificare a procedurilor administrative si
reducerea birocratiei pentru cetateni.
Obiectivele specifice ale proiectului
1. OS1: Implementarea unor mecanisme si proceduri standard (Strategie de dezvoltare a resurselor umane, Plan strategic
institutional 2022-2024 si Plan de Mobilitate Urbana Durabila 2022 - 2027) pentru a creste eficienta actiunilor adimintrative la
nivelul Consiliului Judetean Hunedoara.
2. OS2. Implementarea si utilizarea instrumentelor de management al calitatii si performantei pentru autoritati publice CAF, ISO
9001:2015 si certificarea sistemului la nivelul Consiliului Judetean Hunedoara pentru sustinerea schimbarii in vederea obtinerii de
performanta, de îmbunatatire a modului de realizare a activitatilor si de prestare a serviciilor publice.
3. OS3. Implementarea la nivelul UAT Judetul Hunedoara a masurilor de simplificare a procedurilor administrative si reducerea
birocratiei pentru cetateni în corespondenta cu Planul integrat pentru simplificarea procedurilor administrative aplicabile
cetatenilor, prin crearea hartii GIS ca platforma integrata de management al retelelor de utilitati publice .
4. OS4: Imbunatatirea competentelor profesionale si certificarea unui numar de 70 persoane din cadrul Consiliului Judetean
Hunedoara, personal de conducere si de executie. Formarea/instruirea specifica in vederea managementului planificarii strategice
si managementului calitatii se va realiza ca parte a procesului de implementare al acestor sisteme.
</t>
  </si>
  <si>
    <t>Obiectivul general al proiectului consta în consolidarea capacitatii institutionale si eficientizarea activitatii la nivelul Municipiului Hunedoara prin simplificarea procedurilor administrative si reducerea birocratiei pentru cetateni, implementând masuri din perspectiva back-office si front-office pentru serviciile publice vizând competentele partajate din domeniul ordinii si sigurantei publice si asistentei sociale.
Obiectivele specifice ale proiectului
1. OS1. Implementarea unor masuri de simplificare pentru cetateni în domeniul competentelor partajate, în corespondenta cu Planul
integrat pentru simplificarea procedurilor administrative aplicabile cetatenilor, atât din perspectiva back-office, cât si front-office. În
acest sens este avuta în vedere achizitia si implementarea unei platforme integrate pentru servicii electronice complete vizând
competentele partajate ale primariei. 
2. OS2. Dezvoltarea cunostintelor si abilitatilor personalului din cadrul Municipiului Hunedoara, in vederea sprijinirii masurilor vizate
de proiect. Este avuta in vedere formarea/instruirea, evaluarea/testarea si certificarea competentelor/cunostintelor dobândite
pentru 30 de persoane, din cadrul grupului tinta, in ceea ce priveste utilizarea solutiilor informatice implementate in cadrul
proiectului.</t>
  </si>
  <si>
    <t>Obiectivul general al proiectului este consolidarea capacitatii administrative a Unitatii administrativ teritoriale (UAT) Municipiul Deva pentru sustinerea unui management performant prin introducerea si utilizarea instrumentului CAF 2020 aplicabil administratiei locale la nivelul UAT Municipiului Deva, în concordanta cu “Planul de actiuni pentru implementarea etapizata a managementului calitatii în autoritati si institutii publice 2016-2020”
Obiectivele specifice ale proiectului
1. OS1 Implementarea si utilizarea instrumentului de auto-evaluare de tip CAF 2020 (Cadrul comun de autoevaluare a modului de
functionare a institutiilor publice) la nivelul UAT Municipiului Deva pentru cresterea performantei în administratia publica locala si
îmbunatatirea serviciilor publice oferite cetatenilor.
2. OS2 Dezvoltarea cunostintelor si abilitatilor unui numar de 40 de angajati ai UAT Municipiul Deva în vederea utilizarii unui
management al calitatii si performantei la nivelul autoritatii publice locale .</t>
  </si>
  <si>
    <t>Obiectivul general al proiectului/Scopul proiectului
Obiective proiect
Consolidarea capacitatii institutionale si eficientizarea activitatii la nivelul Primariei Municipiului Brad prin introducerea unui cadru comun
de autoevaluare pentru îmbunatatirea calitatii si optimizarea proceselor orientate catre cetateni în concordanta cu SCAP
Obiectivele specifice ale proiectului
1. Îmbunatatirea sistemului de management al calitatii prin implementarea cadrului comun de autoevaluare (CAF) a modului de
functionare a institutiei publice Primaria Municipiului Brad</t>
  </si>
  <si>
    <t>Obiectivul general al proiectului: Cresterea calitattii procesului decizional la nivelul Primariei Municipiului Lupeni, prin implementarea atat a unor instrumente de management strategic institutional care sa sustina planificarea strategica si fundamentarea politicilor publice,
respectiv evaluarea indicatorilor de performanta a politicilor publice adoptate, cat si a unei platforme informatice de gestiune integrata si
standardizata a serviciilor de asistenta sociala si a serviciilor politiei locale.                                                                                                                                                        Obiectiv specific 1: Dezvoltarea si implementarea unor mecanisme si instrumente de management strategic institutional care sa
sustina planificarea strategica si fundamentarea deciziilor la nivelul Primariei Municipiului Lupeni.                                                                                                  Obiectiv specific 2: Dezvoltarea si implementarea unor instrumente informatice inovatoare (aplicatie software integrata cu
componente de front-office si back-office) ce sustin eficientizarea activitatilor interne cat si reducerea birocratiei institutionale în
vederea furnizarii serviciilor de asistenta sociala cat si a serviciilor publice asigurate de politia locala.</t>
  </si>
  <si>
    <t>Obiectivul general al proiectului consta in consolidarea capacitatii institutionale si eficientizarea activitatii la nivelul Municipiului Urziceni prin simplificarea procedurilor administrative si reducerea birocratiei pentru cetateni, implementând masuri din perspectiva back-office (adaptarea procedurilor interne de lucru, digitalizarea arhivelor) si front-office pentru serviciile publice furnizate.                                 OS1. Simplificarea furnizarii serviciilor catre cetateni prin implementarea unei platforme integrate de servicii electronice care va
furniza digital fluxurile de lucru de baza din cadrul institutiei, reducând astfel întârzierile în procesul decizional cu impact asupra
activitatilor operative si va asigura accesul online la serviciile publice gestionate de UAT.
2. OS2. Îmbunatatirea abilitatilor si cunostintelor personalului UAT în domeniul utilizarii sistemelor informatice dezvoltate prin proiect</t>
  </si>
  <si>
    <t>Obiectivele specifice ale proiectului
1. OS1: Implementarea unor masuri de simplificare pentru cetateni, in corespondenta cu Planul integrat pentru simplificarea
procedurilor administrative aplicabile cetatenilor din perspectiva front-office, dar si back-office prin introducerea unor solutii
aplicative noi si integrarea cu cele existente, în scopul digitalizarii fluxurilor de lucru, pentru reducerea timpului de procesare a
cererilor cetatenilor si asigurarea accesului online la serviciile publice gestionate de Municipiul Urziceni din domeniul
urbanismului, asistentei sociale si sigurantei si ordinii publice
2. OS2: Dezvoltarea cunostintelor si abilitatilor personalului din cadrul Municipiului Urziceni, in vederea sprijinirii masurilor vizate de
proiect. Este avuta in vedere formarea/instruirea, evaluarea/testarea si certificarea competentelor/cunostintelor dobândite pentru
30 persoane din cadrul grupului tinta, in ceea ce priveste utilizarea solutiilor informatice implementate in cadrul proiectului</t>
  </si>
  <si>
    <t>Obiectivul general al proiectului este reprezentat de fundamentarea procesului decizional strategic în vederea promovarii dezvoltarii
urbane durabile a Municipiului Slobozia, prin elaborarea principalelor documente de planificare strategica si asigurarea corespondentei
acestora cu conditionalitatile perioadei de programare a fondurilor europene 2021-2027, precum si de simplificarea procedurilor
administrative si reducerea birocratiei pentru cetateni, prin implementarea unui sistem informatic integrat.
Obiectivele specifice ale proiectului
1. Elaborarea Strategiei Integrate de Dezvoltare Urbana. Obiectivul specific este în corelare cu Activitatea 3, respectiv cu Rezultatul
de proiect 1.
2. Elaborarea Planului de Mobilitate Urbana Durabila. Obiectivul specific este în corelare cu Activitatea 4, respectiv cu Rezultatul de
proiect 2.
3. Implementare sistem informatic integrat. Obiectivul specific este în corelare cu Activitatea 5, respectiv cu Rezultatul de proiect 3.
4. Extinderea cunostintelor si abilitatilor personalului din Municipiul Slobozia în vederea utilizarii sistemului informatic integrat,
precum si a cunoasterii conditionalitatilor specifice pentru perioada de finantare 2021-2027, a arhitecturii programelor
operationale si a oportunitatilor de finantare, a procedurilor de prioritizare a proiectelor, de monitorizare a implementarii planurilor
de actiune si de evaluare a rezultatelor acestora, pentru documentele strategice elaborate. Obiectivul specific este în corelare cu
Activitatea 6 si cu Rezultatul de proiect 4.</t>
  </si>
  <si>
    <t>Obiectivul general al proiectului este cresterea gradului de constientizare al pericolului pe care îl reprezinta actul de coruptie în rândul
functionarilor publici din cadrul Primariei Municipiului Urziceni, prin implementarea unor masuri de prevenire a coruptiei, aplicarea
mecanismelor, procedurilor si normelor de etica si integritate, precum si îmbunatatirea cunostintelor si competentelor în ceea ce priveste
prevenirea coruptiei.
Obiectivele specifice ale proiectului
1. OS1. Implementarea a 3 proceduri operationale aplicabila in cadrul Primariei Municipiului Urziceni cat si in cadrul autoritatilor si
institutiilor locale aflate in subordinea, sub autoritatea sau coordonarea Primariei Municipiului Urziceni in vederea cresterii
integritatii si reducerii vulnerabilitatii la coruptie.
2. OS2. Cresterea gradului de constientizare a coruptiei atât în rândul cetatenilor cât si al personalului din administratia publica
3. OS3. Cresterea gradului de educatie anticoruptie pentru un numar de 60 de persoane, personal de conducere si de executie, cat
si consilieri locali din cadrul UAT Urziceni prin organizarea de cursuri de instruire/formare profesionala, in domeniul prevenirii
coruptiei, eticii si integritatii
4. OS4. Implementarea sistemului de management anti-mita conform Standardului ISO 37001</t>
  </si>
  <si>
    <t>Dezvoltarea si consolidarea capacitatii administrative prin implementarea masurilor de prevenire si combatere a coruptiei în administratia
publica locala, promovarea eticii si integritatii pentru îmbunatatirea performantelor în activitate, cresterea transparentei în procesul
decizional, precum si pregatirea personalului din institutiile publice si alesii locali în acest sens.
Obiectivele specifice ale proiectului
1. OS 1 - Implementarea în institutia publica solicitanta a unei proceduri interne specifice privind managementul riscurilor si
vulnerabilitatilor la fenomenul de coruptie în cadrul autoritatii publice locale
2. OS 2 - Elaborarea unui ghid de bune practici în institutia publica solicitanta cu scopul de a preveni fenomenul de coruptie si
conflictele de interese în administratia publica locala si de a stabili indicatori specifici de evaluare.
3. OS 3 - Formarea a 75 de persoane în vederea prevenirii si limitarii fenomenului de coruptie în institutiile publice locale.
4. OS 4 - Organizarea a 2 campanii de constientizare si a 3 workshop-uri cu tematici specifice de constientizare publica a
fenomenului de coruptie, promovarii transparentei în administratia publica locala si educatie in anticoruptie.</t>
  </si>
  <si>
    <t>Consolidarea capacitatii institutionale si eficientizarea activitatii la nivelul UAT Judetul Ialomita în ceea ce priveste exercitarea atributiilor
exclusive, prin implementarea de masuri de digitalizare menite sa ajute la standardizarea modului de lucru si a activitatilor specifice, la
cresterea gradului de interoperabilitate a sistemelor informatice si interconectarea cu ceilalti actori care opereaza sisteme informatice
compatibile, atât din perspectiva back-office, cât si din perspectiva front office.
Obiectivele specifice ale proiectului
1. Optimizarea procedurilor administrative interne în raport cu beneficiarii serviciilor publice exclusive, în scopul reducerii birocratiei,
prin implementarea unui ecosistem digital integrat.
2. Imbunatatirea competentelor digitale ale grupului tinta</t>
  </si>
  <si>
    <t xml:space="preserve">Obiectiv general-Consolidarea capacitatii Primariei Municipiului Pascani de a asigura calitatea si accesul la serviciile publice oferite exclusiv de Primarie prin simplificarea procedurilor administratiei locale si reducerea birocratiei pentru cetatenii.
Obiective specifice:
OS1. Îmbunatatirea procesului de planificare strategica si alocare a resurselor în cadrul Primariei Municipiului Pascani
prin introducerea unui instrument informatic de bugetare participativa.
 OS2. Implementarea unor masuri de simplificare pentru cetateni, în corespondenta cu Planul Integrat pentru
simplificarea procedurilor administrative aplicabile cetatenilor, atât din perspectiva back-office (adaptarea procedurilor interne de lucru, digitalizarea arhivelor), cât si front-office
OS3. Dezvoltarea cunostintelor si abilitatilor personalului din cadrul Primariei Municipiului Pascani , în vederea sprijinirii masurilor vizate de proiect. Este avuta în vedere formarea/instruirea,evaluarea/testarea si certificarea competentelor/cunostintelor dobândite pentru 75 de persoane din cadrul grupului tinta, în ceea ce priveste planificarea strategica. </t>
  </si>
  <si>
    <t>Obiectivul general al proiectului consta in consolidarea capacitatii institutionale si eficientizarea activitatii la nivelul Municipiului PASCANI
prin simplificarea procedurilor administrative si reducerea birocratiei pentru cetateni, implementând masuri din perspectiva back-office si
front-office pentru serviciile publice furnizate.
Obiectivele specifice ale proiectului
1. OS 1: Introducerea unor mecanisme si proceduri standard implementate la nivel local pentru fundamentarea deciziilor si
planificarea strategica pe termen lung
2. OS 2 Realizarea unor seturi de Proceduri simplificate pentru reducerea birocratiei pentru cetateni la nivel local corelate cu Planul
integrat de simplificare a procedurilor administrative pentru cetateni implementate
3. OS 2.4: Cresterea nivelului de Cunostinte si abilitati ale personalului UAT Pascani, în vederea sprijinirii masurilor/actiunilor vizate
de acest obiectiv specific</t>
  </si>
  <si>
    <t>Obiectivul general al proiectului vizeaza consolidarea capacitattii institutionale si eficientizarea activitatii la nivelul Primariei Municipiului Iasi- institutiii subordonate, în ceea ce priveste exercitarea atributiilor prevazute de OUG 57/2019 privind Codul Administrativ, prin
implementarea de masuri pentru îmbunatatirea procesului decizional si de digitalizare menite sa ajute la standardizarea modului de lucru
si a activitatilor specifice, la cresterea gradului de interoperabilitate a sistemelor informatice si interconectarea cu ceilalti actori care
opereaza sisteme informatice compatibile, atât din perspectiva back-office, cât si din perspectiva front office.
Obiectivele specifice ale proiectului
1. Optimizarea procedurilor administrative interne în raport cu beneficiarii serviciilor publice, în scopul reducerii birocratiei, prin
implementarea unui ecosistem digital integrat si dezvoltarea abilitatilor personalului prin participarea la programe de instruire în
vederea utilizarii si administrarii solutiilor informatice implementate.</t>
  </si>
  <si>
    <t>Obiectivul general al proiectului vizeaza consolidarea capacitatii administrative la nivelul UAT - Judetul Iasi, în vederea realizarii
obiectivelor de dezvoltare a judetului Iasi, în concordanta cu liniile strategice europene, nationale si regionale si crearea de masuri de
simplificare pentru cetateni in concordanta cu SCAP.
Obiectivele specifice ale proiectului
1. OS.1 Realizarea Strategiei de Dezvoltare a Judetului Iasi pentru perioada 2021-2027. OS1 corespunde rezultatului de program
R1 – Mecanisme si proceduri standard implementate la nivel local pentru fundamentarea deciziilor si planificarea strategica pe
termen lung.
2. OS.2 Realizarea Strategiei de Transformare Digitala a Judetului Iasi. OS2 corespunde rezultatului de program R1 - Mecanisme si
proceduri standard implementate la nivel local pentru fundamentarea deciziilor si planificarea strategica pe termen lung..
3. OS.3 Implementarea unui portal pentru facilitarea accesului cetatenilor la serviciile publice furnizate de Consiliul Judetean Iasi.
OS 3 corespunde rezultatului de program R3 - Proceduri simplificate pentru reducerea birocratiei pentru cetateni la nivel local
corelate cu Planul integrat de simplificare a procedurilor administrative pentru cetateni implementate.
4. OS.4 Implementarea unei solutii informatice in vederea simplificarii procedurilor administrative si reducerii birocratiei pentru
cetateni - Realizarea unei platforme integrate pentru arhivare electronica si Constituirea unei arhive electronice
retrodigitalizate.OS 4 corespunde rezultatului de program R3 - Proceduri simplificate pentru reducerea birocratiei pentru cetateni
la nivel local corelate cu Planul integrat de simplificare a procedurilor administrative pentru cetateni implementate.</t>
  </si>
  <si>
    <t>Cresterea capacitatii UAT - Judetul Ilfov de a asigura pe termen lung servicii de calitate sporita comunitatii din Judetul Ilfov prin implementarea unui sistem de management al calitatii de tip ISO la nivelul aparatului propriu.
Astfel proiectul va contribui direct la atingerea Obiectivului specific POCA 2.1 – Introducerea de sisteme si standarde comune în administratia publica locala ce optimizeaza procesele orientate catre beneficiari în concordanta cu SCAP.
Obiectivele specifice ale proiectului
1. OS1. Implementarea unui sistem de management al calitatii în cadrul aparatului propriu al UAT - Judetul Ilfov în vederea îmbunatatirii calitatii serviciilor oferite comunitatii judetului Ilfov. Acest obiectiv va fi atins în principal prin realizarea documentatie SMC pentru implementarea cerintelor SR EN ISO 9001:2015 la nivelul aparatului propriu al UAT - Judetul Ilfov si certificarea UAT -Judetul Ilfov în urma unei proceduri de audit extern de certificare conform SR EN ISO 9001:2015.
2. OS2. Dezvoltarea si implementarea unui sistem de management al investitiilor publice, în concordanta cu procedurile si standardele specifice SR EN ISO 9001:2015. Acest obiectiv va fi atins prin dezvoltarea unui sistem IT care va concentra procedurile, standardele si activitatile specifice aparatului administrativ al UAT - Judetul Ilfov, în care sunt implicati cel putin 150 salariati si membri ai structurilor deliberative.
3. OS3. Îmbunatatirea competentelor alesilor locali, ale personalului de conducere si executie din UAT - Judetul Ilfov pentru cresterea performantei autoritatilor locale. Acest obiectiv va fi atins prin activitati de formare – se vor organiza 2 tipuri de cursuri pentru cel putin 120 persoane.</t>
  </si>
  <si>
    <t>Obiectivul general al proiectului este reprezentat de eficientizarea serviciilor publice oferite cetatenilor din judetul Ilfov, în vederea reducerii birocratiei, prin facilitarea accesului la o platforma online dezvoltata prin implementarea unui sistem informatic la nivelul aparatului de specialitate al Consiliului Judetean Ilfov.OS1 - Implementarea unei solutii informatice la nivelul aparatului de specialitate al Consiliului Judetean Ilfov în vederea îmbunatatirii modului de acordare a serviciilor publice;OS2- Asigurarea capacitatii tehnice a Consiliului Judetean Ilfov în vederea oferirii serviciilor publice online prin achizitionarea, instalarea si operationalizarea echipamentelor specifice;OS3- Îmbunatatirea competentelor digitale ale personalului de conducere si executie din structurile functionale ale Consiliului Judetean Ilfov în vederea utilizarii în bune conditii a noilor facilitati informatice create prin intermediul prezentului proiect</t>
  </si>
  <si>
    <t>1. Dezvoltarea si implementarea unor mecanisme si proceduri standard pe baza unei metodologii fundamentate pe analiza ex-post
a procesului decizional si a planificarii strategice la nivelul UAT-Judetul Ilfov în perioada 2014-2018
2. Dezvoltarea si implementarea unui program de formare având ca obiect planificarea strategica si fundamentarea deciziilor în
vederea întaririi capacitatii a 80 de angajati (demnitari, consilieri, personal de conducere si executie) ai UAT – Judetul Ilfov.</t>
  </si>
  <si>
    <t>Îmbunatatirea capacitatii administrative a Consiliului Judetean Ilfov si a institutiilor din subordine de a creste integritatea si preveni
coruptia in judetul Ilfov, prin implementarea unor mecanisme institutionale care sa faciliteze punerea în aplicare a cadrului legal în
domeniu si prin cresterea gradului de informare a cetatenilor cu privire rolul acestora in prevenirea faptelor de coruptie
Obiectivele specifice ale proiectului
1. Consolidatea integritatii, reducerea vulnerabilitatilor si a riscurilor de coruptie sau a incidentelor de integritate în cadrul institutiei,
prin implementarea procedurilor de management anticoruptie si certificarea în acord cu standardul ISO 37001 Sisteme de
management anti-mita la Consiliul Judetean Ilfov;
2. Implementarea unui mecanism de evaluare a riscurilor de coruptie în cadrul Consiliului Judetean Ilfov precum si identificarea
profilelor functiilor din cadrul aparatului public local supuse acestui risc
3. Îmbunatatirea cunostintelor si competentelor în domeniul prevenirii coruptiei, transparentei, eticii si integritatii personalului supus
riscurilor de coruptie, din cadrul Consiliului Judetean Ilfov precum si din cadrul UAT-urilor din judetul Ilfov.
4. Cresterea rolului comunitatilor locale din judetul Ilfov in prevenirea coruptiei prin informarea acestora cu privire la importanta si
impactul masurilor anti-coruptie</t>
  </si>
  <si>
    <t>Consolidarea capacitatii institutionale si eficientizarea activitatii la nivelul CJI în ceea ce priveste exercitarea atributiilor, prin
implementarea de masuri menite sa ajute la standardizarea modului de lucru si activitatilor specifice, la cresterea gradului de
interoperabilitate a sistemelor informatice si interconectare, atât din perspectiva back-office, cât si din perspectiva front office
Obiectivele specifice ale proiectului
1. OS 1: Optimizarea procedurilor administrative interne în raport cu beneficiarii serviciilor publice, în scopul reducerii birocratiei, prin
implementarea unui ecosistem digital integrat si dezvoltarea abilitatilor personalului prin participarea la programe de instruire în
vederea utilizarii si administrarii solutiilor informatice implementate.</t>
  </si>
  <si>
    <t>Obiectivul proiectului este implementarea si certificarea sistemului propriu de management al calitatii implementat în cadrul Consiliului Judetean Maramures, conform standardelor ISO 9001 – 2015.                                                                                                                                                                         1.Elaborarea documentelor necesare pentru realizarea, implementarea si certificarea unui sistem propriu de management al calitatii (SMC) implementat în cadrul Consiliului Judetean Maramures, conform standardelor ISO 9001 - 2015;
2. Instruirea unui numar de 160 persoane – aparatul propriu al Consiliului Judetean Maramures în utilizarea, mentinerea si dezvoltarea SMC, din care 3 functii de demnitate publica, 130 functii publice si 27 functii contractuale;
3. Realizarea unui sistem informatic suport al SMC cu adresabilitate întregului personal;
4. Instruirea unui numar minim de 20 persoane din aparatul propriu al Consiliului Judetean Maramures în utilizarea aplicatiilor
informatice din cadrul sistemului informatic suport.</t>
  </si>
  <si>
    <t>1. Elaborarea documentelor dezvoltarii pe perioada urmatoare a judetului Maramures, planuri si strategii sectoriale, pornind de la
actualizarea documentelor de planificare (pentru care este cazul), în perioada de implementare a proiectului.
2. Realizarea unui sistem informatic de gestiune a arhivelor proprii, precum si digitalizarea proceselor si a fluxurilor de documente
inclusiv retro-arhivarea documentelor din arhiva traditionala Consiliul Judetean Maramures, în perioada de implementare a
proiectului
3. Realizarea unui sistem informatic de tip portal informatic care sa asigure interfata on line pentru cetateni cu scopul reducerii
birocratiei si pentru furnizarea de informare /asistenta, formulare, primire solicitari, emitere documente, efectuarea plati
impozitelor si taxelor on line, inclusiv sistem informatic de gestiune a informatiilor geospatiale (GIS) în perioada de implementare
a proiectului.
4. Instruirea unui numar de 48 persoane – aparatul propriu al Consiliului Judetean Maramures în diverse teme legate de planificarea
strategica, urbanism si amenajarea teritoriului, politici publice, etc., în perioada de implementare a proiectului.</t>
  </si>
  <si>
    <t>Obiectivul general al proiectului
Îmbunatatirea proceselor si implementarea de masuri de simplificare a procedurilor administrative pentru cetateni în domeniul sociomedical.
Obiectivele specifice ale proiectului
1. OS 1. Furnizarea instrumentelor software de interactiune cu cetateanul în domeniul social si socio-medical
2. OS 2. Retrodigitizarea arhivei Municipiului Baia Mare
3. OS 3. Cresterea capacitatii administrative si facilitarea importului de bune practici în domeniul social si socio-medical</t>
  </si>
  <si>
    <t>Obiectivul general al proiectului consta în: consolidarea capacitatii administrative a Municipiului Sighetu Marmatiei în vederea cresterii
integritatii, reducerea vulnerabilitatilor la coruptie, cresterea transparentei si eticii prin dezvoltarea si implementarea unor masuri de
prevenire a coruptiei, aplicarea unitara a mecanismelor, procedurilor si normelor de etica si integritate, precum si prin îmbunatatirea
cunostintelor salariattilor în ceea ce priveste prevenirea coruptiei.                                                                                                                                                                    Obiectivele specifice ale proiectului
1. O.S.1. Consolidarea integritatii, reducerea vulnerabilitatilor si a riscurilor de coruptie în cadrul institutiei prin implementarea de
masurile preventive anticoruptie, respectiv dezvoltarea de proceduri operationale anticoruptie si implementarea sistemului de
management anti-mita ISO 37001.
2. O.S.2. Cresterea eficientei masurilor preventive anticoruptie prin identificarea riscurilor si vulnerabilitatilor si realizarea unui sondaj
privind perceptia în rândul cetatenilor si al personalului din cadrul institutiei cu privire la fenomenul coruptiei.
3. O.S.3. Cresterea gradului de constientizare a publicului si societatii civile cu privire la impactul fenomenului coruptiei, prin
derularea unei campanii de constientizare a publicului cu privire la coruptie.
4. O.S.4. Îmbunatatirea cunostintelor si competentelor unui numar de 75 de persoane din cadrul Primariei Sighetu Marmatiei,
personal de conducere si executie si alesi locali, prin organizarea unui program de formare/instruire în domeniul eticii,
transparentei, integritatii si a bunelor practici cu privire la prevenirea coruptiei.</t>
  </si>
  <si>
    <t xml:space="preserve">Obiectivul general al proiectului consta in consolidarea capacitații instituționale si eficientizarea activitații la nivelul Municipiului Drobeta
Turnu Severin prin simplificarea procedurilor administrative si reducerea birocratiei pentru cetațeni, implementând masuri din perspectiva
back-office si front-office pentru serviciile publice furnizate si asigurarea unei planificari urbane integrate, prin conjugarea eforturilor de
planificare specifica de nivel local si sectorial, pentru asigurarea unui proces decizional strategic, astfel încât sa se asigure corespondența
cu nevoile si exigențele de finanțare pentru perioada de programare a fondurilor europene 2021-2027.
Obiectivele specifice ale proiectului
1. OS.1. Elaborarea Strategiei Integrate de Dezvoltare Urbana. 
2. OS.2. Elaborarea Planului de Mobilitate Urbana Durabila. 
3. OS.3. Extinderea cunostintelor si abilitatilor personalului din Primaria Municipiului Drobeta Turnu Severin pentru aplicarea
procedurilor de prioritizare a proiectelor, de monitorizare a implementarii planurilor de actiune, de evaluare a rezultatelor acestora,
pentru documentele strategice elaborate si de instruire pentru folosirea aplicatiei informatice implementate. 
4. OS.4. Implementarea unor masuri de simplificare pentru cetateni, in corespondenta cu Planul integrat pentru simplificarea
procedurilor administrative aplicabile cetatenilor din perspectiva front-office, dar si back-office prin achizitia si implementarea unei
platforme integrate (portal) care va furniza digital fluxurile de lucru de baza din cadrul institutiei, în scopul eficientizarii procesarii
documentelor, evitarii întreruperilor ce pot aparea în fluxurile informationale ale institutiei, reducând astfel întârzierile în procesul
decizional cu impact asupra activitatilor operative si va asigura accesul online la serviciile publice gestionate de Municipiul
Drobeta Turnu Severin. </t>
  </si>
  <si>
    <t>Obiectivul general al proiectului vizeaza implementarea unui sistem informatic smart-city de digitalizare a proceselor de administrare a
documentelor, simplificarea procedurilor administrative, comunicarea online cu alte sisteme de creare de documente de la alte institutii,
eficientizarea activitatilor de tip back-office si planificare strategica pe termen lung, in vederea imbunatatirii calitatii si eficientei serviciilor
furnizate de administratia publica a Municipiului Orsova, judetul Mehedinti, din regiunea mai putin dezvoltata Sud-Vest Oltenia.
Proiectul este corelat cu obiectivul specific al apelului de proiecte CP13/2019 (POCA/661/2/1) deoarece urmareste, pentru regiunea mai
putin dezvoltata Sud-Vest Oltenia, implementarea masurilor de planificare strategica pe termen lung prin elaborare SIDU pentru
urmatoarea perioada de programare; masuri de simplificare a birocratiei prin dezvoltarea unor module software specifice domeniilor
partajate ale autoritati publice locale (de exemplu: harta interactiva (GIS), asistenta sociala, Politie locala si ordine publica, stare civila,
etc), digitalizarea poceselor de administrare a documentelor, dar si instruirea pe teme specifice de interes.
Proiectul contribuie la realizarea obiectivului general POCA 2014-2020 si sustine Axa prioritara 2 POCA: „Administratie publica si sistem
judiciar accesibile si transparente”, Obiectivul Specific 2.1. prin dezvoltarea strategiei de dezvoltare Municipiului, coroborata cu
implementarea de masuri de reducere a birocratiei si simplificare pentru cetateni, în perioada de implementare a proiectului si pregatirea a
circa 60 de persoane pentru o administratie performanta si eficienta la nivel local. Pe termen lung acestea contribuie la crearea unei
administratii locale performante, capabile sa ofere servicii performante si sa genereze dezvoltare socio-economica la nivelul comunitatii.
Realizarea celor 3 obiective specifice mentionate în sectiunea ”Obiective specifice” vor conduce la îndeplinirea obiectivului general al
proiectului.
Activitatile prevazute in cadrul acestuia contribuie semnificativ la atingerea obiectivelor programului si ai indicatorilor de realizare si
rezultat, în conformitate cu specificatiile din Ghidul Solicitantului pentru CP 13/2019 si corelate cu ”Planul integrat pentru simplificarea
procedurilor adminsitrative aplicabile cetatenilor” si cu ”Ghidul pentru planificarea si fundamentarea procesului decizional din adminsitratia
publica locala”:
- Elaborarea Strategiei Integrate de Dezvoltare urbana 2021 - 2027 contribuie la atingerea indicatorului de rezultat 5S18 si a
indicatorului de realizare 5S57, prin Activitatea 3
- Dezvoltarea si implementarea sistem informatic smart-city de digitalizare a proceselor de administrare a documentelor , un
portal care ofera acces la servicii online gestionate partajat de catre UAT, din perspectiva back-office si front-office si comunicarea online
cu alte sisteme de creare de documente de la alte institutii, contribuie la atingerea indicatorului de rezultat 5S20 si a indicatorului de
realizare 5S59, prin Activitatea 4
- Participarea la activitati de instruire specifica si certificarea a 60 de persoane din diferite departamente, servicii, contribuie la
atingerea indicatorilor POCA - 5S23 indicator de rezultat si 5S62 indicatorul de realizare si rezultat POCA R5, prin realizarea Activitatii 5
Proiectul raspunde obiectivului general II 1.5. propus prin Strategia pentru consolidarea administratiei publice 2014 - 2020 (SCAP) ”
Consolidarea transparentei procesului decizional”, deoarece prin proiect se stimuleaza dezvoltarea de parteneriate între administratia
publica locala si companiile IT în vederea crearii unor aplicatii de date deschise (aplicatii informatice de tip front-office si back-office) prin
care se faciliteaza accesul la servicii online pentru o mai buna implementare a regulilor transparentei procesului decizional.</t>
  </si>
  <si>
    <t>Cresterea calitatii serviciilor publice furnizate de catre Primaria Municipiului Tîrgu Mures cetatenilor prin îmbunatatirea sistemului de management al calitatii si performantei în concordanta cu Planul de actiuni pentru implementarea etapizata a managementului calitatii în autoritati si institutii publice 2016-2020.
Obiectivele specifice ale proiectului
1. Cresterea transparentei institutionale si a proceselor decizionale din cadrul municipiului Tîrgu Mures cu 20%, prin introducerea unui sistem unitar de mangement: ISO 9001:2015-Managementul calitatii
2. Cresterea calitatii serviciilor publice cu 20%, prin instruirea unui numar de 102 angajati cu functii de conducere din cadrul municipiului Tîrgu Mures în domeniul managementului calitatii.
3. Consolidarea sistemului de management al calitatii la nivelul municipiului Tîrgu Mures cu cel putin 20% - organizare 1 Conferinta privind managementul calitatii în administratia publica.</t>
  </si>
  <si>
    <t>Consolidarea capacitatii Primariei Municipiului Sighisoara de a asigura calitatea si accesul la serviciile publice oferite exclusiv de primarie prin simplificarea procedurilor administratiei locale si reducerea birocratiei pentru cetateni</t>
  </si>
  <si>
    <t>Consolidarea capacitații Consiliului Judetean Mures de a asigura calitatea si accesul la serviciile publice oferite prin simplificarea
procedurilor administrative si reducerea birocratiei pentru cetațeni.</t>
  </si>
  <si>
    <t>Obiectivul general al proiectului/Scopul proiectului
Imbunatatirea procesului de planificare strategica si implementarea de masuri de simplificare a procedurilor administrative pentru cetateni
Obiectivele specifice ale proiectului
1. Imbunatatirea procesului de planificare strategica si alocare a resurselor in cadrul Municipiului Reghin si facilitarea importului de
bune practici la nivel strategic în domeniile socio-medical si urbanistic
2. Îmbunatatirea procesului de planificare strategica – Actualizarea SIDU si elaborarea strategiei de Smart City a Municipiului
Reghin
3. Simplificarea interactiunii cetatenilor cu administratia publica locala prin implementarea de instrumente informatice de eGuvernare
în domeniul social si urbanistic.
4. Retrodigitizarea documentelor din arhiva fizica a Municipiului Reghin</t>
  </si>
  <si>
    <t>Obiectivul general al proiectului consta in consolidarea capacitatii institutionale si eficientizarea activitatii la nivelul Municipiului Târnaveni prin continuarea simplificarii procedurilor administrative si reducerea birocratiei pentru cetateni, implementând masuri din perspectiva back-office (adaptarea procedurilor interne de lucru, digitalizarea proceselor) si front-office pentru serviciile publice furnizate aferente competentelor partajate ale administratiei publice locale.
Obiectivele specifice ale proiectului
1. OS1: Implementarea unor masuri de simplificare pentru cetateni, in corespondenta cu Planul integrat pentru simplificarea
procedurilor administrative aplicabile cetatenilor din perspectiva front-office, dar si back-office prin introducerea unor solutii
aplicative noi si integrarea cu cele existente, în scopul digitalizarii fluxurilor de lucru, pentru reducerea timpului de procesare a
cererilor cetatenilor si asigurarea accesului online la serviciile publice gestionate de Municipiu din domeniul asistentei sociale si
urbanismului.
2. OS2: Dezvoltarea cunostintelor si abilitatilor personalului din cadrul Municipiului, in vederea sprijinirii masurilor vizate de proiect.
Este avuta in vedere formarea/instruirea, evaluarea/testarea si certificarea competentelor/cunostintelor dobândite pentru 32
persoane din cadrul grupului tinta, in ceea ce priveste utilizarea solutiilor informatice implementate in cadrul proiectului</t>
  </si>
  <si>
    <t>Obiectivul general al proiectului il reprezinta imbunatatirea calitatii si eficientei serviciilor publice furnizate la nivelul Consiliul Judetean Neamt prin consolidarea capacitatii administrative de a gestiona aceste servicii, prin implementarea si utilizarea a doua sisteme unitare de management al calitatii CAF si ISO, aplicabile administratiei locale.                                                                                                                                                                              OS1: Realizarea procedurilor de lucru in cadrul Consiliului Judetean Neamt, conform standardelor de calitate a serviciilor publice pe plan international – CAF                                                                                                                                                                                                                                                                                                       OS2: Obtinerea certificarii ISO 9001:2015 a Sistemului de Management al Calitatii                                                                                                                                      OS3: Realizarea programului de pregatire / perfectionare in vederea implementarii si utilizarii SMC</t>
  </si>
  <si>
    <t>Obiectivul general al proiectului consta consolidarea capacitatii institutionale si eficientizarea activitatii la nivelul Municipiului Roman, prin simplificarea procedurilor administrative si reducerea birocratiei pentru cetateni, implementând masuri din perspectiva back-office (adaptarea procedurilor interne de lucru, digitalizarea arhivelor), si front-office pentru serviciile publice furnizate.                                                                                                                                                                                                                                                                                                                                                                                                     OS1. Implementarea unor masuri de simplificare pentru cetateni, în corespondenta cu Planul integrat pentru simplificarea
procedurilor administrative aplicabile cetatenilor, atât din perspectiva back-office (adaptarea procedurilor interne de lucru,
digitalizarea arhivelor), cât si front-office.                                                                                                                                                                                                                                          OS2. Dezvoltarea cunostintelor si abilitatilor personalului din cadrul Municipiului Roman, în vederea sprijinirii masurilor vizate de proiect. Este avuta în vedere formarea/instruirea, evaluarea/testarea si certificarea competentelor/cunostintelor dobândite pentru 50 persoane din cadrul grupului tinta, în ceea ce priveste utilizarea solutiilor informatice implementate în cadrul proiectului (R3).</t>
  </si>
  <si>
    <t>Obiectivul general al proiectului vizeaza consolidarea capacitatii institutionale si eficientizarea activitatii la nivelul Municipiului Roman prin
dezvoltarea capacitatii de planificare strategica si prin continuarea procesului de simplificare a procedurilor administrative si reducerea
birocratiei pentru cetateni, implementând masuri din perspectiva back-office si front-office pentru serviciile publice furnizate aferente
competentelor partajate ale administratiei publice locale.
Obiectivele specifice ale proiectului
1. Dezvoltarea capacitatii necesare in vederea fundamentarii deciziilor si planificarii strategice pe termen lung, prin implementarea
de masuri si instrumente pentru planificare strategica, inclusiv elaborarea Planului strategic institutional pentru perioada 2021-
2023 si a Planului de mobilitate urbana durabila.
2. Implementarea unor masuri de simplificare pentru cetateni, in corespondenta cu Planul integrat pentru simplificarea procedurilor
administrative aplicabile cetatenilor din perspectiva front-office, dar si back-office prin introducerea unor solutii aplicative noi si
integrarea cu cele existente, în scopul digitalizarii fluxurilor de lucru, pentru reducerea timpului de procesare a cererilor cetatenilor
si asigurarea accesului online la serviciile publice gestionate de Municipiul Roman aferente competentelor partajate ale
administratiei publice locale.
3. Promovarea modernizarii administratiei Municipiului Roman prin specializarea angajatilor institutiei pe teme specifice proiectului
(management strategic si managementul schimbarii din perspectiva e-guvernare) ceea ce va determina motivarea si mobilizarea
acestora in directia inovatiei si in oferirea de servicii publice de calitate catre cetateni.</t>
  </si>
  <si>
    <t xml:space="preserve">Obiectivul general al proiectului este: sprijinirea masurilor de prevenire a coruptiei la nivelul Primariei Municipiului Caracal.
Obiectivele specifice ale proiectului
1. OS1: Aplicarea unitara a normelor, mecanismelor si procedurilor în materie de etica si integritate la nivelul Primariei Municipiului
Caracal
2. OS2: Cresterea gradului de implementare a masurilor referitoare la prevenirea coruptiei si a indicatorilor de evaluare în
autoritatile si institutiile publice
3. OS3: Îmbunatatirea cunostintelor si a competentelor personalului din Primaria Municipiului Caracal în ceea ce
priveste prevenirea coruptiei.
</t>
  </si>
  <si>
    <t>Optimizarea proceselor orientate catre beneficiari la nivelul Consiliului Judetean Prahova si al institutiilor subordonate: Directia Generala
pentru Asistenta Sociala si Protectia Copilului Prahova si Directia Judeteana de Evidenta persoanelor Prahova, necesara unei
administratii moderne, performante, eficiente si eficace, in concordanta cu Strategia pentru Consolidarea Administratiei Publice2014-2020,
intr-o perioada de 16 luni.
Obiectivele specifice ale proiectului
1. Dezvoltarea capacitatii manageriale caracteristice unei administratii moderne prin Implementarea instrumentului de management
al calitatii, CAF(Common Assessment Framework), la nivelul Consiliul Judetean Prahova si a institutiilor subordonate: Directia
Generala de Asistenta Sociala si Protectia Copilului Prahova si Directia Judeteana de Evidenta Persoanelor Prahova
2. Dezvoltarea de competente la toate nivelurile ierarhiei profesionale din cadrul Consiliului Judetean Prahova si a doua dintre
institutiile subordonate: Directia pentru Asistenta Sociala si Protectia Copilului Prahova si Directia Judeteana Evidenta
Persoanelor prin Pregatirea a 210 persoane din cele 3 institutii ale administratiei publice locale, in domeniul managementul
calitatii - sisteme si standarde ce optimizeaza procesele orientate catre beneficiarii serviciilor publice.</t>
  </si>
  <si>
    <t>Obiectivul general al proiectului îl reprezinta eficientizarea activitatii administratiei publice locale din cadrul Judetului Prahova prin implementarea de mecanisme si proceduri standard pentru fundamentarea deciziilor si planificare strategica pe termen lung ( pentru perioada 2021-2027), in concordanta cu Strategia pentru Consolidarea Administratiei Publice2014-2020, intr-o perioada de 20 luni.
Obiectivele specifice ale proiectului
1. 1. Cresterea capacitatii de a realiza o planificare strategica a Judetului Prahova bazata pe prioritizarea actiunilor si cheltuielilor bugetare si stabilirea unui dialog cu partenerii locali, prin elaborarea Strategiei de dezvoltare locala durabila a judetului Prahova pentru perioada 2021-2027.
2. Dezvoltarea capacitatii manageriale prin imbunatatirea competentelor la toate nivelurile ierarhiei profesionale din cadrul
Consiliului Judetean Prahova prin pregatirea a 45 de persoane din cadrul aparatului de specialitate, personal de executie si de
conducere si alesi locali, in domeniul planificarii strategice pentru dezvoltare locala durabila.</t>
  </si>
  <si>
    <t>Obiectivul general al proiectului consta in consolidarea capacitatii institutionale si eficientizarea activitatii la nivelul Municipiului Câmpina
prin simplificarea procedurilor administrative si reducerea birocratiei pentru cetateni, implementând masuri din perspectiva back-office
(adaptarea procedurilor interne de lucru, digitalizarea arhivelor) si front-office pentru serviciile publice furnizate.</t>
  </si>
  <si>
    <t>Consolidarea capacitatii institutionale a Primariei Municipiului Ploiesti prin monitorizarea si evaluarea continua a calitatii si performantei
administratiei locale în vederea optimizarii proceselor administrative ale primariei si adoptarea unor masuri de crestere a implicarii
cetatenilor în procesul de dezvoltare urbana si a transparentei actului administrativ, imbunatatirea mecanismelor de control, prin
implementarea unui sistem informatic inovativ de tip portal.
1. 1. Implementarea unor mecanisme si proceduri standard - Plan strategic institutional 2020 – 2021, pentru a creste
eficienta actiunilor adimintrative la nivelul Municipiului Ploiesti.
2. 2. Optimizarea proceselor administrative ale primariei prin implementarea unui sistem informatic integrat de management
al calitatii si performantei care sa asigure gestiunea, monitorizarea si evaluarea continua a calitatii si performantei administratiei
Municipiului Ploiesti.
3. 3. Simplificarea furnizarii serviciilor catre cetateni si mediul de afaceri, prin implementarea unei sistem informatic/platform
integrate de tip portal web centru de Inovare si Initiativa Civica pentru cresterea implicarii functionarilor primariei si a transparentei
actului administrativ si imbunatatirea mecanismelor de control.
4. 4. Îmbunatatirea abilitatilor si cunostintelor personalului municipiului Ploiesti în domeniul utilizarii sistemelor informatice
dezvoltate prin proiect si totodata îmbunatatirea competentelor profesionale a unui numar de 50 persoane din diferite niveluri
ierarhice (personal de conducere si de executie) din cadrul Municipiului Ploiesti pe teme specifice (ex. planificare strategica,
planificare bugetara, politici locale, fundamentare, elaborare, implementare, monitorizare si evaluare a deciziilor la nivelul
administratiei publice locale, etc)</t>
  </si>
  <si>
    <t>Obiectivul general al proiectului este formularea unei propuneri de politica publica prin realizarea Strategiei Integrate de Dezvoltare
Urbana pentru perioada 2021-2027 si actualizarea PMUD 2014-2030, corelata cu modernizarea sistemului informatic existent precum si
cresterea performantei personalului angajat si deservirea cetatenilor.
Obiectivele specifice ale proiectului
1. Obiectiv specific 1: Definirea politicii locale a municipiului Ploiesti cu concursul tuturor factorilor cu aport în dezvoltarea locala,
concretizata prin adoptarea a 2 documente strategice: Strategiei Integrate de Dezvoltare Urbana pentru perioada 2021-2027 si
PMUD 2014-2030, corelat cu SIDU.
Pentru realizarea obiectivului specific 1 se are in vedere activitatea A2.Elaborarea si implementarea de politici si strategii la nivel
local. Rezultatul 1 si Rezultatul 2 contribuie la atingerea acestui obiectiv.
2. Obiectiv specific 2: Implementarea de masuri de eficientizare a proceselor de lucru specifice domeniului asistentei sociale, atât
din perspectiva back office, cât si din perspectiva front office.
Pentru realizarea obiectivului specific 2 se are in vedere activitatea A3. Simplificarea Procedurilor Administrative si Reducerea
Birocratiei pentru Cetateni. Rezultatul 3 contribuie la atingerea acestui obiectiv.
3. Obiectiv specific 3: Dezvoltarea abilitatilor personalului din cadrul Primariei Municipiului Ploiesti si al institutiilor subordonate
Primariei Ploiesti prin asigurarea formarii a 20 persoane din grupul tinta în domeniul SMART CITY MANAGEMENT, inclusiv prin
abordarea temelor de dezvoltare durabila, egalitate de sanse, nediscriminare si egalitate de gen
Pentru realizarea obiectivului specific 3 se are in vedere activitatea A4. Dezvoltarea abilitatilor pe teme specifice. Rezultatul 4
contribuie la atingerea acestuia.</t>
  </si>
  <si>
    <t>Cresterea transparentei, eticii si integritatii la nivelul Judetului Prahova, prin implementarea unor mecanisme care sa faciliteze punerea in
aplicare a cadrului legal in domeniul eticii si integritatii, imbunatatirea cunostintelor si a competentelor personalului propriu si a unitatilor
administrativ teritoriale din judet, precum si implementarea de mecanisme de cooperare cu societatea civila.
Obiectivele specifice ale proiectului
1. OS1: Sustinerea dezvoltarii si implementarii de mecanisme care sa faciliteze punerea în aplicare a cadrului legal în domeniul eticii
si integritatii la nivelul Consiliului Judetean Prahova.
2. OS2: Cultivarea si dezvoltarea cunostintelor, competentelor si abilitatilor personalului propriu din cadrul Consiliului Judetean
Prahova, prin participarea la programe de formare pentru prevenirea coruptiei si programe de formare privind etica si integritatea,
ce vor aborda inclusiv teme privind devoltarea durabila, egalitatea de sanse, nediscriminarea si egalitatea de gen.
3. OS3: Sustinerea dezvoltarii si implementarii unor mecanisme de cooperare cu societatea civila si alte autoritati/institutii
publice,prin organizarea unor grupuri de lucru si a unui instrument de informare si constientizare a cetatenilor, in vederea
implementarii masurilor anticoruptie.</t>
  </si>
  <si>
    <t>Dezvoltarea unui management performant si facilitarea accesului la servicii de asistenta sociala de calitate in judetul Prahova, prin
reducerea birocratiei, cresterea eficientei, transparentei si integritatii serviciilor oferite beneficiarilor ca urmare a implementarii unui Sistem
Informatic Suport pentru Acces la Servicii Sociale (SASS).
Obiectivele specifice ale proiectului
1. OS1. Simplificarea procedurilor, introducerea de instrumente digitale, accesul rapid la informatii, reducerea birocratiei pentru
beneficiarii serviciilor de asistenta sociala din judetul Prahova prin implementarea sistemului informatic de Suport pentru Accesul
la Servicii Sociale (SASS), la nivelul Consiliului Judetean Prahova.
2. OS2. Dezvoltarea cunostintelor si abilitatilor profesionale pentru 60 de persoane din GT pentru operarea si administrarea SASS.
Formarea celor 60 de persoane va cuprinde un modul de dezvoltare durabila, egalitate de sanse, nediscriminare si egalitate de
gen.</t>
  </si>
  <si>
    <t>Scopul proiectului consta în optimizarea proceselor si cresterea eficientei serviciilor publice gestionate partajat de catre Primaria
Municipiului Câmpina, prin punerea la dispozitie de servicii administrative si guvernare locala utilizând mijloace electronice prin
implementarea unui sistem informatic integrat cu functii de e-administratie si e-guvernare, elaborarea unei Strategii Integrate de
Dezvoltare Urbana pentru Municipiul Câmpina, precum si implementarea si certificarea unui sistem de management al calitatii - ISO 9001.
Obiectivele specifice ale proiectului
1. Mecanisme si proceduri standard implementate la nivel local - dezvoltarea unei Strategii Integrate de Dezvoltare Urbana
2. Sprijinirea introducerii de instrumente, procese de management la nivel local prin implementarea unui sistem de management al
calitatii si certificarea acestuia (ISO 9001)
3. Proceduri simplificate pentru reducerea birocratiei pentru cetateni la nivel local prin digitalizarea serviciilor gestionate partajat de
catre Primaria Municipiului Câmpina cu ajutorul unui Sistem Informatic Integrat în domeniile: ordinea si siguranta publica;
prevenirea si gestionarea situatiilor de urgenta la nivel local.
4. Dezvoltarea gradului de cunostinte si abilitati ale personalului din Primaria Municipiului Câmpina, în vederea sprijinirii
masurilor/actiunilor vizate de proiect prin intermediul unor cursuri de formare pentru serviciile digitalizate în cadrul proiectului,
pentru implementarea si folosirea sistemului de management al calitatii etc.</t>
  </si>
  <si>
    <t>Obiectivul general: Cresterea gradului de constientizare a pericolului pe care-l reprezinta actul de corupție la nivelul administratiei publice locale.
Obiectivele specifice ale proiectului:
1. Cresterea gradului de constientizare si a nivelului de educatie anticorupție pentru personalul din cadrul Consiliului Județean Salaj si pentru alesi locali din județ.
2. Prevenirea si combaterea coruptiei în cadrul Consiliului Județean Salaj prin constituirea si consolidarea cadrului procedural
existent.
3. Cresterea gradului de constientizare publica prin organizare campanii de educatie anticoruptie la nivelul institutiilor si serviciilor publice aflate în subordinea Consiliului Județean Salaj si la nivelul unitaților administrativ-teritoriale din Județul Salaj.</t>
  </si>
  <si>
    <t>Obiectivul general al proiectului: 
Consolidarea capacitatii Consiliului Judetean Salaj de a asigura calitatea si accesul la serviciile publice oferite exclusiv de institutie catre cetateni prin simplificarea procedurilor administratiei locale si reducerea birocrației
Obiectivele specifice ale proiectului
1. Reducerea cu minim 30% a timpului aferent livrarii serviciilor catre cetațeni, primarii locale, ONG-uri, asociații si mediul de afaceri prin oferirea unor servicii cu acces on-line, crearea unei arhive digitale si eliminarea astfel a birocratiei existente
2. Reducerea la maxim a fluxului clasic pe hârtie pentru urmatoarele servicii oferite exclusiv de Consiliul Judetean Salaj pentru: 
       a) Obtinere informatii despre concesionare/închieirere/vânzare bunuri proprietate publica sau privata
       b) Obtinere Acord prealabil lucrari în zona drumurilor judetene
       c) Obtinere Acord privind efectuarea de lucrari în cladirile de patrimoniu judetean
       d) Solicitare sprijin financiar cazuri sociale
       e) Comunicarea privind începerea lucrarilor de construire/desfiintare
       f) Comunicarea privind încheierea executiei lucrarilor de construire/desfiintare
       g) Licenta de transport
3. Furnizarea unui canal îmbunatatit de comunicatie informationala pentru cetateni
4. Simplificarea fluxurilor interne prin eliminarea unor acte doveditoare eliberate deja de catre institutie
5. Elaborarea unui instrument de management si evaluare a performantei institutionale privind serviciile livrate prin înfiintarea
canalului de comunicatie nou reprezentat de portalul de servicii electronice
6. Îmbunatatirea accesului la informatii prin up-gradarea site-ului web al institutiei pentru a fi receptiv, intuitiv si accesibil persoanelor
cu dizabilitati
7. Elaborarea unui instrument extranet pentru confirmarea veridicitatii actelor emise de institutie
8. Cresterea eficientei serviciilor oferite prin instruirea a cel putin 70 de angajati din aparatul propriu al Consiliului Judetean Salaj</t>
  </si>
  <si>
    <t xml:space="preserve">Dezvoltarea de sisteme si standarde comune în administratia publica locala pentru optimizarea implementarii unitare a managementului calitatii si performantei în concordanta cu SCAP 2014 - 2020
Obiectivele specifice ale proiectului:
OS1. Cresterea capacitatii Consiliului Judetean Salaj pentru implementarea unitara a managementului calitatii si performantei într-un mod durabil în concordanta cu masurile stabilite în Planul de actiuni pentru implementarea etapizata a managementului calitatii în autoritati si institutii publice 2016–2020 si a Programului de îmbunatatire a calitatii 2017–2018, prin utilizarea Sistemului de Management al Calitatii si Performantei conform SR EN ISO 9001:2015
OS2. Imbunatatirea competentelor alesilor locali, a factorilor de decizie: directori executivi si sefi serviciu/birou, personal contractual de conducere de la nivelul Consiliului Judetean Salaj privind implementarea Sistemului de Management al Calitatii si Performantei conform SR EN ISO 9001:2015.
OS3. Organizarea unui workshop în vederea diseminarii rezultatelor proiectului, a cresterii gradului de
constientizare si sensibilizare a personalului de conducere din cadrul institutiilor subordonate Consiliului Judetean Salaj în vederea luarii unor decizii cu privire la extinderea utilizarii Sistemului de Management al Calitatii si Performantei conform SR EN ISO 9001:2015 la nivelul institutiilor pe care le conduc
</t>
  </si>
  <si>
    <t>implementarea unitara a instrumentelor de planificare strategica si financiara care sa susțina fundamentarea deciziilor privind politicile
publice adoptate, prioritizarea investitiilor realizate în diverse sectoare cât si dezvoltarea institutionala.
Obiectivele specifice ale proiectului
1. Evaluarea gradului de implementare a Strategiei de dezvoltare a judetului Salaj pentru perioada 2015-2020, suport pentru
elaborarea noii strategii având ca temei orientarea pe rezultate si performanta - întarirea rolului monitorizarii si evaluarii sistemului
de indicatori;
2. Dezvoltarea capacitatii instituționale în elaborarea de criterii de prioritizare a investitiilor în diverse sectoare: infrastructura,
sanatate, educatie si asistenta sociala, pentru realizarea bugetului aferent anului 2021 si 2022.
3. Sustinereaunui management performant la nivelul Consiliului Judetean Salaj prin dezvoltarea capacitatii de planificare strategica
si de fundamentare a deciziilor pentru elaborarea Strategiei de Dezvoltare a Judetului Salaj pentru perioada 2021-2027.</t>
  </si>
  <si>
    <t>OBIECTIV GENERAL: Introducerea si extinderea de sisteme si standarde comune în administratia publica locala ce optimizeaza procesele orientate catre beneficiari în concordanta cu SCAP.
OS 1. Introducerea utilizarii de instrumente de management ale calitatii si performantei (ISO9001:2015) în cadrul Serviciului public Politia Locala Satu Mare, Centrul Cultural ”G.M.Zamfirescu”, Teatrul de Nord Satu Mare si Filarmonica "Dinu Lipatti" Satu Mare.
OS 2. Sprijin privind tranzitia de la instrumentul de management ale calitatii si performantei ISO9001:2008 la ISO9001:2015 în cadrul Primariei Municipiului Satu Mare si Directia de Evidenta a Persoanelor a municipiului Satu Mare.
OS 3. Dezvoltarea abilitatilor unui numar de 50 de angajati privind sistemul de management al calitații, din cadrul institutiilor publice locale implicate în derularea proiectului.</t>
  </si>
  <si>
    <t>Obiectivul general al proiectulu
Dezvoltarea si implementarea de masuri de simplificare privind serviciile furnizate catre cetatenii municipiului Satu Mare în scopul
reducerii birocratiei, respectiv sprijinirea Primariei municipiului Satu Mare pentru a implementa masuri de simplificare pentru cetateni în
corespondenta cu Planul integrat pentru simplificarea procedurilor administrative aplicabile cetatenilor. Prin realizarea obiectivului general vor fi îmbunatatite procedurile adminsitrative, respectiv se va facilita accesul la serviciile publice, prin digitalizarea acestora. Prin planul sau de activitati proiectul actioneaza în scopul utilizarii celor mai eficiente instrumente de lucru. Metodologia de implementare are în
vedere interdependentele dintre activitati, la nivelul diagramei Gantt, precum si interdependentele raportate la durata de implementare si la capacitatea resurselor alocate.
Obiectivele specifice ale proiectului
1. Digitalizare si implementare solutii soft în vederea simplicarii procedurilor catre cetateni prin migrarea serviciilor de tip ”analog”
(hârtie, apel telefonic, deplasare personala) pe platforme digitale: desktop (site) si mobile (app);
2. Dezvoltarea si extinderea sistemelor existente, interconectarea tuturor serviciilor într-o singura platforma de ”self-care” precum si
deschiderea mai larga catre cetateni, introducând servicii specifice pentru nevazatori / cetateni cu deficiente de vedere sau de alt
tip;
3. Digitalizarea proceselor de administrare a documentelor necesare prin interconectarea sistemelor de backoffice (sistem de
incasari, managementul documentelor) pentru a facilita functionarea platformei publice;</t>
  </si>
  <si>
    <t>Obiectivul general al proiectului consta in consolidarea capacitatii institutionale si eficientizarea activitatii la nivelul Municipiului Carei prin
planificare strategica si continuarea simplificarii procedurilor administrative si reducerea birocratiei pentru cetateni, implementând masuri
din perspectiva back-office (adaptarea procedurilor interne de lucru, digitalizarea arhivelor) si front-office pentru serviciile publice furnizate
aferente competentelor partajate ale administratiei publice locale.
Obiectivele specifice ale proiectului
1. OS1: Dezvoltarea capacitatii necesare in vederea fundamentarii deciziilor si planificarii strategice pe termen lung, prin elaborarea
Strategiei Integrate de Dezvoltare Urbana a Municipiului Carei 2021-2027 si a Planului de Mobilitate Urbana Durabila 2021-2027
2. OS2: Implementarea unor masuri de simplificare pentru cetateni, in corespondenta cu Planul integrat pentru simplificarea
procedurilor administrative aplicabile cetatenilor din perspectiva front-office, dar si back-office prin introducerea unor solutii
aplicative noi si integrarea cu cele existente, în scopul digitalizarii fluxurilor de lucru, pentru reducerea timpului de procesare a
cererilor cetatenilor si asigurarea accesului online la serviciile publice gestionate de Municipiul Carei din domeniul urbanismului si
asistentei sociale.
3. OS3: Dezvoltarea cunostintelor si abilitatilor personalului din cadrul Municipiului Carei, in vederea sprijinirii masurilor vizate de
proiect. Este avuta in vedere formarea/instruirea, evaluarea/testarea si certificarea competentelor/cunostintelor dobândite pentru
33 persoane din cadrul grupului tinta, in ceea ce priveste utilizarea solutiilor informatice implementate in cadrul proiectului.</t>
  </si>
  <si>
    <t>Obiectivul general al proiectului/Scopul proiectului
Dezvoltarea si consolidarea capacitatii administrative a institutiei prin eficientizarea activitatilor de prevenire si combatere a coruptiei în
administratia publica locala, promovarea eticii si integritatii pentru îmbunatatirea performantelor în activitate, cresterea transparentei în
procesului decizional, precum si îmbunatatirea cunostintelor si a competentelor personalului si alesilor locali.
Obiectivele specifice ale proiectului
1. OS 1 - Cresterea gradului de implementare a masurilor de prevenire a coruptiei si a indicatorilor de evaluare.
2. OS 2 - Cresterea gradului de constientizare a efectelor coruptiei la nivelul personalului din administratia publica locala cât si în
rândul cetatenilor.
3. OS 3 - Îmbunatatirea cunostintelor si a competentelor personalului si alesilor locali în ceea ce priveste masurile anticoruptie</t>
  </si>
  <si>
    <t>Obiectivul general al proiectului consta în consolidarea capacitatii administrative a Primariei Municipiului Carei, din Regiunea mai putin
dezvoltata Nord-Vest, prin implementarea si utilizarea a doua sisteme unitare de management al calitatii si performantei aplicabile
administratiei publice locale, respectiv ISO 9001:2015 si CAF 2020, precum si îmbunatatirea cunostintelor si a competentelor personalului.
Obiectivele specifice ale proiectului
1. O.S. 1 - Implementarea si utilizarea instrumentului de auto-evaluare de tip CAF 2020 (Cadrul comun de autoevaluare a modului
de functionare a institutiilor publice) la nivelul UAT Municipiul Carei pentru cresterea performantei în administratia publica locala si
îmbunatatirea serviciilor publice pentru comunitate.
2. O.S. 2 - Implementarea si certificarea sistemului de management al calitatii ISO 9001:2015 în UAT Municipiul Carei pentru o
administratie publica eficienta, transparenta si adaptata nevoilor comunitatii locale.
3. O.S. 3 - Dezvoltarea cunostintelor si abilitatilor unui numar de 20 de persoane (angajati si alesi locali) de la nivelul UAT Municipiul
Carei în vederea utilizarii unui management al calitatii si performantei la nivelul autoritatii publice locale.</t>
  </si>
  <si>
    <t>Introducerea de standarde si sisteme comune in administratia publica locala ce optimizeaza procesele catre beneficiari în concordanta cu
SCAP, elaborarea PMUD 2023-2030 în scopul obtinerii de finantari aferente perioadei 2021-2027. Obiectivul general al proiectului
contribuie la cresterea calitatii procesului decizional la nivelul administratiei publice locale a UAT Municipiul Satu Mare.
Obiectivele specifice ale proiectului
1. Elaborarea Planului de Mobilitate Urbana Durabila a Municipiului Satu Mare 2023-2030, având în vedere contextul pregatirii
noului cadru strategic multianual de programare 2021-2027, dar si în contextul noilor tendinte de dezvoltare a mobilitatii urbane .</t>
  </si>
  <si>
    <t>OBIECTIV GENERAL: Îmbunatatirea capacitatii administrative a Consiliului Judetean Sibiu de a creste integritatea si preveni coruptia, prin dezvoltarea si implementarea unui standard de integritate, prin dezvoltarea si implementarea unui mecanism de cooperare cu societatea civila si prin cresterea nivelului de educatie anticoruptie a personalului din cadrul institutiei.
Obiectivele specifice ale proiectului
1. OBIECTIV SPECIFIC 1: Dezvoltarea unui standard de integritate, ca mecanism aplicabil la nivelul CJ Sibiu, în corespondenta cu SNA 2016-2020 si raportat la SCAP, prin Elaborarea a minimum 5 politici si proceduri operationale/de sistem, cu indicatorii aferenti si prin dezvoltarea unui sistem de avertizare a iregularitatilor si a posibilelor fapte de coruptie la nivelul institutiei publice.
2. OBIECTIV SPECIFIC 2: Implementarea unui standard de integritate, mecanism aplicabil în cadrul CJ Sibiu în vederea cresterii integritatii si reducerii vulnerabilitatii la coruptie, implementat prin Hotarâre de CJ, cu ajutorul unui manual de implementare elaborat în cadrul proiectului.
3. OBIECTIV SPECIFIC 3: Dezvoltarea si implementarea unui mecanism de cooperare cu societatea civila pentru monitorizarea si evaluarea implementarii masurilor anticoruptie la nivelul CJ Sibiu, în scopul monitorizarii si evaluarii implementarii masurilor anticoruptie aplicabile la nivel de institutiei, în corelare cu Strategia Nationala Anticoruptie 2016-2020.
4. OBIECTIV SPECIFIC 4: Cresterea nivelului de educatie anticoruptie în rândul personalului de conducere si executie din cadrul institutiei CJ Sibiu, prin organizarea de cursuri de formare/ perfectionare în domeniul prevenirii coruptiei, eticii si integritatii.</t>
  </si>
  <si>
    <t>Obiectiv general:Dezvoltarea si implementarea unui Sistem de Management al Calitatii si Performantei unitar si eficient, prin standardizarea proceselor de lucru; actualizarea si extinderea sistemului informatic inovativ de management al documentelor; certificarea ISO9001:2015 si pregatirea resursei umane din CJSibiu, în scopul optimizarii proceselor orientate catre beneficiari si consolidarii capacitatii institutionale.                 OBIECTIV SPECIFIC 1: Standardizarea proceselor de lucru la nivelul Consiliului Judetean Sibiu, asigurarea eficientizarii acestora
si corelarii între sistemul de management al performantei si calitatii cu sistemul de control intern managerial existent la nivelul
institutiei, în scopul optimizarii proceselor orientate catre beneficiari în concordanta cu SCAP si consolidarii capacitatii
institutionale a CJ Sibiu.
2. OBIECTIV SPECIFIC 2: Actualizarea si extinderea sistemului informatic de management al proceselor si documentelor la nivelul
Consiliului Judetean Sibiu, prin includerea de facilitati inovative, în vederea dezvoltarii si consolidarii unui Sistemul de
Management al Calitatii si Performantei unitar si eficient care va contribui la optimizarea proceselor orientate catre beneficiari în
concordanta cu SCAP.
3. OBIECTIV SPECIFIC 3: Îmbunatatirea cunostintelor si abilitatilor a 80 de persoane, reprezentând personalul din cadrul Consiliului
Judetean Sibiu privind implementarea, respectarea si actualizarea continua a standardelor de management al calitatii, prin
sesiunile de formare profesionala clasica si e-learning, actiuni de networking si schimb de bune practici, în vederea sprijinirii
masurilor si actiunilor prevazute de OS2.1 si implicit de proiect pentru optimizarea proceselor orientate catre beneficiari.</t>
  </si>
  <si>
    <t>Obiectivul general al proiectului este cresterea calitatii actului administrativ la nivelul Municipiului Sibiu, prin abordarea sistematica a doua
elemente cheie care asigura aceasta crestere de calitate.Obiectivele specifice ale proiectului
1. OBIECTIVUL SPECIFIC 1: Dezvoltarea sistemului de management al calitatii la Primaria Municipiului Sibiu pe baza autoevaluarii,
planificarii remediilor pentru cresterea calitatii si standardizarii proceselor si activitatilor, prin utilizarea de instumente standard
recomandate la nivel international (ISO9001:2015), european (CAF) si national („Planul de actiuni pentru implementarea etapizata
a managementului calitatii în autoritati si institutii publice 2016-2020”).
2. OBIECTIVUL SPECIFIC 2: Cresterea accesului online la serviciile publice gestionate de Primaria Municipiului Sibiu si institutiile
din subordinea sa, în vederea reducerii birocratiei pentru cetateni la (a) solicitarea si primirea în mod automatizat a unor
documente, certificate, autorizatii si avize, (b) efectuarea de plati pentru servicii publice, taxe si impozite locale si (c) cresterea
accesibilitatii registraturii prin dezvoltarea unui sistem non-stop de auto-înregistrare a documentelor depuse de cetateni.
3. OBIECTIVUL SPECIFIC 3: Îmbunatatirea proceselor de management al documentelor curente si arhivate prin extinderea solutiei
digitale de administrare a documentelor nou create si dezvoltarea arhivei electronice, în vederea eliminarii erorilor si scurtarii
timpului de asteptare pentru cetateni pentru orice eliberare a oricarui document sau raspuns
4. OBIECTIVUL SPECIFIC 4: Cresterea nivelului de competenta a personalului Primariei Municipiului Sibiu si a institutiilor
subordonate CL pentru cresterea calitatii serviciilor locale prin implementarea corecta a sistemelor de management al calitatii si
gestionarea eficienta a solutiilor informatice care permit reducerea birocratiei.a unor interfete prietenoase de interactiune cu cetatenii si scaderea poverii administrative la nivelul acestora, cât si prin scaderea
poverii administrative si a timpului de prelucrare a documentelor la nivelul autoritatii publice locale, ceea ce va scadea corelativ timpul de
asteptare al cetatenilor pentru furnizarea unui serviciu public si va elimina erori generate de gestionarea unui numar mare de documente
înregistrate exclusiv pe hârtie (pentru care mecanismele de verificare se bazeaza exclusiv pe atentia umana).</t>
  </si>
  <si>
    <t>Obiectivul general: Optimizarea proceselor orientate catre beneficiari în concordanta cu SCAP în cadrul administratiei Judetului Sibiu, prin
abordarea strategica a dezvoltarii judetului pe termen lung, utilizând instrumente de prioritizare si planificare a investitiilor, bugetelor si
interventiilor în comunitate si prin dezvoltarea solutii de simplificare a relatiei dintre CJ si cetateni.
Obiectivele specifice ale proiectului
1. OBIECTIVUL SPECIFIC 1: Dezvoltarea capacitatii de planificare strategica si fundamentare a deciziilor la nivelul Consiliului
Judetean Sibiu, prin dezvoltarea de mecansisme de participare publica, prioritizare a investitiilor si prin desfasurarea unui
exercitiu amplu de planificare strategica si a politicilor publice permitând atât fundamentarea solida a tuturor investitiilor si
deciziilor în perioada 2020-2030, cât si cresterea nivelului de competenta la nivelul insitutiei printr-o învatare experientiala.
2. OBIECTIVUL SPECIFIC 2: Cresterea accesului online la serviciile publice gestionate de Consiliul Judetean Sibiu si institutiile din
subordinea sa în vederea reducerii birocratiei pentru cetateni când acceseaza servicii de sanatate.
3. OBIECTIVUL SPECIFIC 3: Simplificarea procedurilor administrative si reducerea birocratiei, cu impact asupra modului de
interactiune al Consiliului Judetean Sibiu cu cetatenii, prin dezvoltarea arhivei electronice, în vederea eliminarii erorilor si scurtarii
timpului de asteptare pentru cetateni pentru eliberarea oricarui document sau emiterea oricarui raspuns.
4. OBIECTIVUL SPECIFIC 4: Cresterea nivelului de competenta a personalului Consiliului Judetean Sibiu si a institutiilor
subordonate în vederea si pentru gestionarea eficienta a solutiilor informatice care permit simplificare si reducerea birocratiei
pentru cetateni.</t>
  </si>
  <si>
    <t>Obiectivul general al proiectului consta în dezvoltarea urbana durabila a Municipiului Sibiu prin asigurarea unei planificari strategice
coerente si integrate.
Obiectivele specifice ale proiectului
1. Îmbunatațirea planificarii strategice si a mobilitații la nivelul municipiului Sibiu prin elaborarea Strategiei Integrate de Dezvoltare
Urbana si actualizarea Planului de Mobilitate Urbana Durabila. Obiectivul specific este în corelare cu Activitatile 3 si 4, respectiv
cu Rezultatul de proiect 1.
2. Extinderea cunostințelor si abilitaților personalului din Municipiul Sibiu în domeniul planificarii strategice, a procedurilor de
prioritizare a proiectelor si de monitorizare a implementarii planurilor de actiune pentru documentele strategice elaborate.
Obiectivul specific este în corelare cu Activitatea 5 si cu Rezultatul de proiect 2.</t>
  </si>
  <si>
    <t>Cresterea capacitații administrative de la nivelul Consiliului județean Sibiu prin introducerea de sisteme informatice menite sa duca la
simplificarea proceselor interne, inclusiv în relația cu cetatenii județului, in concordanta cu SCAP
Obiectivele specifice ale proiectului
1. Gestionarea eficienta a datelor de la nivel judetean prin implementarea solutiei Geographical Information System, cu precadere în
vederea eficientizarii furnizarii de servicii urbanistice de calitate de catre Consiliul Judetean Sibiu</t>
  </si>
  <si>
    <t>Obiectivul general al proiectului propus spre finantare este consolidarea capacitatii institutionale a beneficiarului de a asigura calitatea si
accesul la serviciile publice oferite partajat de Primarie prin simplificarea procedurilor administratiei locale, reducerea birocratiei pentru
cetateni si eficientizarea activitatii personalului de specialitate si a alesilor locali.
Obiectivul general al proiectului este în concordanta cu obiectivul specific 2.1 al POCA, respectiv: "Introducerea de sisteme si standarde
comune în administratia publica locala ce optimizeaza procesele orientate catre beneficiari în concordanta cu SCAP".
Implementarea proiectului va contribui la atingerea obiectivului general II al SCAP: „Implementarea unui management performant în
administratia publica”, respectiv a Obiectivului specific II.1 – Cresterea coerentei, eficientei, predictibilitatii si transparentei procesului
decizional în administratia publica.
Proiectul va contribui la asigurarea de instrumente care sa contribuie la abordarea coerenta si coordonata a aspectelor referitoare la
procesul decizional, resursele umane, tehnologia informatiei, procesele interne, asigurarea calitatii si cercetarea si inovarea, ca premise
ale dezvoltarii viitoare, având un rol important în atingerea obiectivului specific II.1.4 – Cresterea calitatii procesului decizional la nivelul
administratiei publice locale, pentru a raspunde în mod fundamentat si coerent nevoilor comunitatii locale.
Obiectivele specifice ale proiectului
1. OS 2 Realizarea unor seturi de Proceduri simplificate pentru reducerea birocratiei pentru cetateni la nivel local corelate cu Planul
integrat de simplificare a procedurilor administrative pentru cetateni implementate
2. OS 2.4: Cresterea nivelului de Cunostinte si abilitati ale personalului UAT Medias, în vederea sprijinirii masurilor/actiunilor vizate
de acest obiectiv specific.</t>
  </si>
  <si>
    <t xml:space="preserve">1. Implementarea unor masuri de simplificare a procedurilor administrative pentru cetateni, în corespondenta cu Planul Integrat
pentru simplificarea procedurilor administrative aplicabile cetatenilor, atât din perspectiva back-office (adaptarea procedurilor
interne de lucru, digitalizarea arhivelor), cât si front-office.
2. Dezvoltarea cunostintelor si abilitatilor personalului din cadrul Primariei Municipiului Suceava, în vederea sprijinirii masurilor vizate
de proiect.
</t>
  </si>
  <si>
    <t>Obiectivul general al proiectului
Obiectivul general al proiectului consta in consolidarea capacitatii institutionale si eficientizarea activitatii la nivelul Municipiului Câmpulung Moldovenesc prin planificare strategica, simplificarea procedurilor administrative si reducerea birocratiei pentru cetateni, implementând masuri din perspectiva back-office (adaptarea procedurilor interne de lucru, digitalizarea arhivelor) si front-office pentru serviciile publice furnizate.
Obiectivele specifice ale proiectului
1. OS1. Dezvoltarea capacitatii necesare in vederea fundamentarii deciziilor si planificarii strategice pe termen lung, prin elaborarea
Strategiei Integrate de dezvoltare urbana a Municipiului Câmpulung Moldovenesc 2021-2027 in conformitate cu cadrul financiar
multianual 2021-2027, inclusiv Planul de mobilitate urbana durabila.
2. OS2. Implementarea unor masuri de simplificare pentru cetateni conform Planului integrat pentru simplificarea procedurilor
administrative aplicabile cetatenilor din perspectiva front-office si back-office – Sistem informatic integrat pentru simplificarea
procedurilor administrative vizând competentele partajate, în cadrul Primariei Municipiului Câmpulung Moldovenesc.
3. OS3. Dezvoltarea cunostintelor si abilitatilor personalului din cadrul Municipiului Câmpulung Moldovenesc, in vederea sprijinirii
masurilor vizate de proiect. Este avuta in vedere formarea/ instruirea, evaluarea/ testarea si certificarea competentelor/
cunostintelor dobândite pentru 70 de persoane, din cadrul grupului tinta, in ceea ce priveste utilizarea solutiilor informatice
implementate in cadrul proiectului.</t>
  </si>
  <si>
    <t>Obiectivul general al proiectului consta in consolidarea capacitatii institutionale si eficientizarea activitatii la nivelul Municipiului Falticeni
prin planificare strategica, simplificarea procedurilor administrative si reducerea birocratiei pentru cetateni, implementând masuri din
perspectiva back-office (optimizarea procedurilor interne de lucru, digitalizarea arhivelor) si front-office pentru serviciile publice furnizate.
Obiectivele specifice ale proiectului
1. OS1. Dezvoltarea capacitatii necesare in vederea fundamentarii deciziilor si planificarii strategice pe termen lung, prin elaborarea
Planului de Mobilitate Urbana Durabila.
2. OS2. Implementarea unor masuri de simplificare pentru cetateni conform Planului integrat pentru simplificarea procedurilor
administrative aplicabile cetatenilor din perspectiva front-office si back-office – Sistem informatic integrat pentru simplificarea
procedurilor administrative vizând competentele partajate, în cadrul Primariei Municipiului Falticeni.
3. OS3. Dezvoltarea cunostintelor si abilitatilor personalului din cadrul Municipiului Falticeni, in vederea sprijinirii masurilor vizate de
proiect. Este avuta in vedere formarea/ instruirea, evaluarea/ testarea si certificarea competentelor/ cunostintelor dobândite
pentru 70 de persoane, din cadrul grupului tinta, in ceea ce priveste utilizarea solutiilor informatice implementate in cadrul
proiectului.</t>
  </si>
  <si>
    <t>Obiectivul general al proiectului vizeaza consolidarea capacitatii administrative la nivelul UAT - Judetul Suceava, în vederea realizarii
obiectivelor de dezvoltare a judetului Suceava, în concordanta cu limitele strategice europene, nationale si regionale si crearea de masuri
de simplificare pentru cetateni in concordanta cu SCAP.
Proiectul propus spre finantare se incadreaza in Axa prioritara 2 – Administratie publica si sistem judiciar accesibile si transparente,
obiectivul specific 2.1 – Introducerea de sisteme si standarde comune in administratia publica locala ce optimizeaza procesele orientate
catre beneficiari in concordanta cu SCAP.</t>
  </si>
  <si>
    <t>Obiectivul general al proiectului consta in consolidarea capacitatii institutionale si eficientizarea activitatii la nivelul Municipiului Vatra
Dornei prin planificare strategica, simplificarea procedurilor administrative si reducerea birocratiei pentru cetateni, implementând masuri
din perspectiva back-office (adaptarea procedurilor interne de lucru, digitalizarea arhivelor) si front-office pentru serviciile publice furnizate.
Obiectivele specifice ale proiectului
1. OS1. Dezvoltarea capacitatii necesare in vederea fundamentarii deciziilor si planificarii strategice pe termen lung, prin elaborarea
Strategiei Integrate de Dezvoltare Urbana a Municipiului Vatra Dornei 2021-2027 in conformitate cu cadrul financiar multianual
2021-2027.
2. OS2. Implementarea unor masuri de simplificare pentru cetateni conform Planului integrat pentru simplificarea procedurilor
administrative aplicabile cetatenilor din perspectiva front-office si back-office. În acest sens este avuta în vedere achizitia si
implementarea unei platforme integrate pentru servicii electronice complete vizând competentele partajate ale primariei. Platforma
integrata include atat solutii front-office (portal web, aplicatii mobile, terminal interactiv self-service pentru servicii electronice), cât
si back-office (solutii care faciliteaza exercitarea competentelor partajate vizate de prezentul proiect, arhivare electronica,
retrodigitalizare). Platforma integrata pentru servicii electronice este bazata pe implementarea urmatoarelor principii: one stop
shop pentru livrarea de servicii publice electronice; utilizarea inteligenta informatiilor disponibile prin aplicarea principiului
înregistrarii "o singura data" a datelor – conceptul de identitate electronica a cetateanului; spatiul privat virtual al cetateanului în
relatia cu primaria.
3. OS3. Dezvoltarea cunostintelor si abilitatilor personalului din cadrul Municipiului Vatra Dornei, in vederea sprijinirii masurilor vizate
de proiect. Este avuta in vedere formarea/instruirea, evaluarea/testarea si certificarea competentelor/cunostintelor dobândite
pentru 30 de persoane, din cadrul grupului tinta, in ceea ce priveste utilizarea solutiilor informatice implementate in cadrul
proiectului.</t>
  </si>
  <si>
    <t>Obiectivul general al proiectului consta in continuarea masurilor de consolidare a capacitatii institutionale si eficientizarea activitatii la
nivelul Primariei Municipiului Câmpulung Moldovenesc, prin introducerea utilizarii de instrumente de management al calitatii si
performantei în administratia publica locala, în concordanta cu Planul de actiuni pentru implementarea etapizata a managementului
calitatii în autoritati si institutii publice 2016-2020, respectiv CAF (Cadrul Comun de Autoevaluare a modului de functionarea institutiilor
publice) si BSC (Balanced Scorecard – sistem de management strategic), si extinderea masurilor de simplificare a procedurilor
administrative si reducerea birocratiei pentru cetateni, implementând masuri din perspectiva back-office (adaptarea procedurilor interne delucru, digitalizarea arhivelor) si front-office pentru serviciile publice furnizate, aferente competentelor exclusive ale primariei.</t>
  </si>
  <si>
    <t>Obiectivul general al proiectului consta in continuarea masurilor de consolidare a capacitatii institutionale si eficientizarea activitatii la
nivelul Municipiului Vatra Dornei prin introducerea utilizarii de instrumente de management al calitatii si performantei în administratia
publica locala, în concordanta cu Planul de actiuni pentru implementarea etapizata a managementului calitatii în autoritati si institutii
publice 2016-2020, respectiv CAF (Cadrul Comun de Autoevaluare a modului de functionarea institutiilor publice) si BSC (Balanced
Scorecard – sistem de management strategic), si extinderea masurilor de simplificare a procedurilor administrative si reducerea birocratiei
pentru cetateni, implementând masuri din perspectiva back-office (adaptarea procedurilor interne de lucru) si front-office pentru serviciile
publice furnizate aferente competentelor exclusive ale primariei.
Obiectivele specifice ale proiectului
1. OS1. Introducerea utilizarii de instrumente de management al calitatii si performantei în administratia publica locala, în
concordanta cu Planul de actiuni pentru implementarea etapizata a managementului calitatii în autoritati si institutii publice 2016-
2020, respectiv CAF si BSC – aferente Rezultatului de program 2.
2. OS2.Extindere masuri de simplificare pentru cetateni conform Planului integrat pentru simplificarea procedurilor administrative
aplicabile cetatenilor din perspectiva front-office si back-office pentru serviciile publice furnizate aferente competentelor exclusive
ale primariei. În acest sens, este avuta în vedere achizitia si implementarea unor module informatice noi, care vor acoperi
necesitatile institutiei pentru servicii electronice complete vizând competentele exclusive ale primariei. Modulele informatice care
vor fi achizitionate vor viza atât zona de front-office, cât si zona de back-office si vor fi asigura interoperabilitatea si integrarea cu
celelalte sisteme informatice ale primariei . Solutiile pentru servicii electronice aferente competentelor exclusive ale primariei vor
respecta principiile: one stop shop pentru livrarea de servicii publice electronice; utilizarea inteligenta a informatiilor disponibile
prin aplicarea principiului înregistrarii "o singura data" a datelor – conceptul de identitate electronica a cetateanului; spatiul privat
virtual al cetateanului în relatia cu primaria – aferente Rezultatului de program 3 (competente exclusive).
3. OS3. Dezvoltarea cunostintelor si abilitatilor personalului din cadrul Municipiului Vatra Dornei, in vederea sprijinirii masurilor vizate
de proiect. Este avuta in vedere formarea/instruirea, evaluarea/testarea si certificarea competentelor/cunostintelor dobândite
pentru 90 de persoane (personal de conducere, de executie si alesi locali), din care 15 persoane pentru BSC si 45 de persoane
pentru CAF, precum si 30 de persoane din cadrul grupului tinta in ceea ce priveste utilizarea solutiilor informatice implementate in
cadrul proiectului – aferente Rezultatului de program 5.</t>
  </si>
  <si>
    <t>Obiectivul general al proiectului consta in continuarea masurilor de consolidare a capacitatii institutionale si eficientizarea activitatii la
nivelul Primariei Municipiului Falticeni, prin introducerea utilizarii de instrumente de management al calitatii si performantei în administratia publica locala, în concordanta cu Planul de actiuni pentru implementarea etapizata a managementului calitatii în autoritati si institutii publice 2016-2020, respectiv CAF (Cadrul Comun de Autoevaluare a modului de functtionarea instituttiilor publice) si BSC (Balanced
Scorecard – sistem de management strategic), si extinderea masurilor de simplificare a procedurilor administrative si reducerea birocratiei
pentru cetateni, implementând masuri din perspectiva back-office (adaptarea procedurilor interne de lucru, digitalizarea arhivelor) si frontoffice pentru serviciile publice furnizate, aferente competentelor exclusive ale primariei.
Obiectivele specifice ale proiectului
1. OS1. Introducerea utilizarii de instrumente de management al calitatii si performantei în administratia publica locala, în
concordanta cu Planul de actiuni pentru implementarea etapizata a managementului calitatii în autoritati si institutii publice 2016-
2020, respectiv CAF si BSC – aferente Rezultatului de program 2.
2. OS2. Extinderea masurilor de simplificare pentru cetateni conform Planului integrat pentru simplificarea procedurilor
administrative aplicabile cetatenilor din perspectiva front-office si back-office pentru serviciile publice furnizate aferente
competentelor exclusive ale primariei. În acest sens, este avuta în vedere achizitia si implementarea unor module informatice noi
care vor acoperi necesitatile institutiei pentru servicii electronice complete vizând competentele exclusive ale primariei. Modulele
informatice care vor fi achizitionate vor viza atât zona de front-office, cât si de back-office si vor fi asigura interoperabilitatea si
integrarea cu celelalte sisteme informatice ale primariei. Solutiile pentru servicii electronice aferente competentelor exclusive ale
primariei vor respecta principiile: one stop shop pentru livrarea de servicii publice electronice; utilizarea inteligenta a informatiilor
disponibile prin aplicarea principiului înregistrarii "o singura data" a datelor – conceptul de identitate electronica a cetateanului;
spatiul privat virtual al cetateanului în relatia cu primaria – aferente Rezultatului de program 3 (competente exclusive).
3. OS3. Dezvoltarea cunostintelor si abilitatilor personalului din cadrul Primariei Municipiului Falticeni, in vederea sprijinirii masurilor
vizate de proiect. Este avuta in vedere formarea/instruirea, evaluarea/ testarea si certificarea competentelor/cunostintelor
dobândite pentru 120 de persoane (personal de conducere, de executie si alesi locali), din care 30 de persoane pentru BSC si 60
de persoane pentru CAF, precum si 30 de persoane, din cadrul grupului tinta, in ceea ce priveste utilizarea solutiilor informatice
implementate in cadrul proiectului – aferente Rezultatului de program 5;</t>
  </si>
  <si>
    <t>Obiectiv general: 
Obiectivul general al proiectului este îmbunatatirea capacitatii institutionale si de planificare strategica a administratiei publice din județul Teleorman, în vederea cresterii calitatii deciziilor si a dezvoltarii mecanismelor de fundamentare a initiativelor de politici publice la nivel județean.
Obiective specifice:
1- Elaborarea Strategiei de dezvoltare durabila a judetului Teleorman pentru perioada 2021-2030 si Actualizarea Planului de Amenajare Teritoriala a Judetului Teleorman, documente corelate cu noile prioritati investitionale la nivel judetean, in concordanta cu obiectivele strategice la nivel national si european.
2- Instruirea personalului CJ Teleorman în domeniul managementului strategic:
- managementul strategic in administratia publica – 25 persoane
- urbanism, amenajarea teritoriului, autorizarea si disciplina in constructii si protectia mediului – 15 persoane,
în vederea cresterii capacitatii de implementare eficienta a celor doua documente strategice</t>
  </si>
  <si>
    <t>Consolidarea capacitatii institutionale si eficientizarea activitatii la nivelul UAT Turnu Magurele în ceea ce priveste exercitarea atributiilor
exclusive prevazute de OUG 57/2019 privind Codul Administrativ, prin implementarea de masuri de digitalizare menite sa ajute la
standardizarea modului de lucru si a activitatilor specifice, la cresterea gradului de interoperabilitate a sistemelor informatice si
interconectarea cu ceilalti actori care opereaza sisteme informatice compatibile, atât din perspectiva back-office, cât si din perspectiva
front office</t>
  </si>
  <si>
    <t>Obiectivul general al proiectului vizeaza consolidarea capacitatii institutionale si eficientizarea activitatii la nivelul Primariei Municipiului
Alexandria în ceea ce priveste exercitarea atributiilor prevazute de OUG 57/2019 privind Codul Administrativ, prin implementarea de
masuri pentru îmbunatatirea procesului decizional si de digitalizare menite sa ajute la standardizarea modului de lucru si a activitatilor
specifice, la cresterea gradului de interoperabilitate a sistemelor informatice si interconectarea cu ceilalti actori care opereaza sisteme
informatice compatibile, atât din perspectiva back-office, cât si din perspectiva front office.
Obiectivele specifice ale proiectului
1. Optimizarea procedurilor administrative interne în raport cu beneficiarii serviciilor publice, în scopul reducerii birocratiei, prin
implementarea unui ecosistem digital integrat si dezvoltarea abilitatilor personalului prin participarea la programe de instruire în
vederea utilizarii si administrarii solutiilor informatice implementate.</t>
  </si>
  <si>
    <t>Obiectivul general al proiectului consta in optimizarea proceselor orientate catre beneficiari si eficientizarea activitatii la nivelul Municipiului Rosiorii de Vede, prin simplificarea procedurilor administrative si reducerea birocratiei pentru cetateni, implementând masuri din perspectiva back-office (adaptarea procedurilor interne de lucru, digitalizarea arhivelor) si front-office pentru serviciile publice furnizate
pentru competentele partajate ale UAT.
Obiectivele specifice ale proiectului
1. OS1. Dezvoltarea, implementarea si certificarea unui sistem de management al calitatii, structurat pe baza cerintelor standardului
international ISO 9001:2015, care optimizeaza procesele orientate catre beneficiari in concordanta cu SCAP.
2. OS2. Implementarea unor masuri de simplificare pentru cetateni conform Planului integrat pentru simplificarea procedurilor
administrative aplicabile cetatenilor din perspectiva front-office si back-office. In acest sens este avuta in vedere achizitia si
implementarea unei platforme integrate pentru servicii electronice complete vizând competentele partajate ale primariei. Platforma
integrata include atat solutii front-office (portal web, aplicatii mobile, terminal interactiv self-service pentru servicii electronice), cât
si back-office (solutii care faciliteaza exercitarea competentelor partajate vizate de prezentul proiect, arhivare electronica).
Platforma integrata pentru servicii electronice este bazata pe implementarea urmatoarelor principii: one stop shop pentru livrarea
de servicii publice electronice; utilizarea inteligenta informatiilor disponibile prin aplicarea principiului inregistrarii "o singura data" a
datelor – conceptul de identitate electronica a cetateanului; spatiul privat virtual al cetateanului in relatia cu primaria.
3. OS3. Dezvoltarea cunostintelor si abilitatilor personalului din cadrul Municipiului Rosiorii de Vede, in vederea sprijinirii masurilor
vizate de proiect. Este avuta in vedere formarea/instruirea, evaluarea/testarea si certificarea competentelor/cunostintelor
dobândite pentru 131</t>
  </si>
  <si>
    <t>Obiectivul General.
Dezvoltarea unui management performant la nivelul Municipiului Lugoj, în vederea cresterii calitații, eficienței, transparenței si integritații
serviciilor publice oferite cetațenilor, institutiilor administrației publice centrale si locale, operatorilor economici privați si organismelor
neguvernamentale cu care relaționeaza în spiritul dezvoltarii durabile, egalitații de sanse, securitații si sanatatii ocupaționale, prin
implementarea standardului ISO 9001/2015, precum si integrarea coroborata cu restul procedurilor din cadrul institutiei.
Obiectivele specifice ale proiectului
1. OS.1. Îmbunatatirea furnizarii serviciilor publice la nivelul Primariei Municipiului Lugoj prin implementarea Sistemului de Management al Calitatii;
2. OS.2. Dezvoltarea cunostintelor si abilitatilor profesionale grupului tinta prin participarea la cursuri;
3. OS.3. Cresterea transparentei actului public prin organizarea unor actiuni de diseminare a rezultatelor proiectului, cuprinzând si module de dezvoltare durabila si egalitate de sanse.</t>
  </si>
  <si>
    <t>Activitatile desfasurate, rezultatele si obiectivele proiectului conduc la îndeplinirea obiectivului general al acestuia, respectiv cresterea
nivelului de transparenta, etica si integritate în cadrul administratiei publice locale a Municipiului Timisoara, în conformitate cu obiectivul
specific 2.2 al POCA si obiectivul tematic 11, prioritatea de investitii 11i a Fondului Social European. 
Obiectivele specifice ale proiectului
1. Cresterea nivelului de cunoastere si asumare a legislatiei nationale si prevederilor europene în ceea ce priveste prevenirea si combaterea coruptiei si fenomenelor asociate.
2. Cresterea gradului de implicare a personalului administratiei publice locale si a cetatenilor în ceea ce priveste masurile adoptate la nivel national pentru combaterea coruptiei.
3. Aplicarea coerenta si sistematica a masurilor adoptate la nivel local, national si european în domeniul eticii si integritatii în sistemele publice.</t>
  </si>
  <si>
    <t>Cresterea capacitatii de planificare strategica si de fundamentare a deciziilor de dezvoltare economico-sociala si de mediu a judetului la
nivelul Consiliului Judetean Timis
Obiectivele specifice ale proiectului
1. Elaborarea Strategiei de Dezvoltare a Judetului Timis pentru perioada 2021-2027
2. Elaborarea Strategiei de Eficienta energetica pentru perioada 2021-2027</t>
  </si>
  <si>
    <t>Obiectivul general al proiectului
Cresterea calitatii si transparentei procesului administrativ la nivelul Municipiului Lugoj prin continuarea implementarii de masuri de
simplificare a procedurilor administrative si reducere a birocratiei pentru cetateni, atat din perspectiva back-office (adaptarea procedurilor
interne de lucru, digitalizarea arhivelor), cat si front-office pentru serviciile publice furnizate aferente competentelor partajate de asistenta
sociala ale administratiei publice locale
Obiectivele specifice ale proiectului
1. Implementarea unor masuri de simplificare pentru cetateni, in corespondenta cu Planul integrat pentru simplificarea procedurilor
administrative aplicabile cetatenilor din perspectiva front-office, dar si back-office prin introducerea unor solutii aplicative noi si
integrarea cu cele existente, în scopul digitalizarii fluxurilor de lucru, pentru reducerea timpului de procesare a cererilor cetatenilor
si asigurarea accesului online la serviciile publice gestionate de Municipiul Lugoj din domeniul de interes asistenta sociala
2. Cresterea nivelului de pregatire, cunostinte si abilitati ale personalului din cadrul Primariei atat in domenii specifice, cat si in
utilizarea si administrarea sistemelor informatice</t>
  </si>
  <si>
    <t>Obiectivul general al proiectului este eficientizarea administratiei publice a Municipiului Timisoara, prin planificarea strategica si
implementarea mecanismului de digitalizare integrata a procesului participativ si decizional in relatia cu cetatenii.
Prin activitatile desfasurate, rezultatele proiectului conduc la indeplinirea obiectivului general al acestuia, si implicit la obiectivul specific 2.1
"Introducerea de sisteme si standarde comune în administratia publica locala ce optimizeaza procesele orientate catre beneficiari în
concordanta cu SCAP" respectiv debirocratizarea si simplificarea pentru cetateni si consolidarea capacitatii administratiei publice de a
asigura calitatea si accesul la serviciile publice.
Obiectivele specifice ale proiectului
1. Analiza nivelului de participare publica a cetatenilor din Municipiul Timisoara si elaborarea strategiei de eficientizare a participarii
publice pentru o guvernare deschisa.
2. Debirocratizarea si simplificarea interactiunilor cetatenilor si operatorilor economici cu Primaria Municipiului Timisoara prin
crearea unui portal virtual de interactiune.
3. Cresterea performantei aparatului de specialitate al Primariei Municipiului Timisoara, prin formarea angajatilor in ceea ce priveste
- modul de aplicare a recomandarilor din strategia de eficientizare a participarii publice, inclusiv comunicarea si relationarea cu
cetatenii
- folosirea instrumentelor digitale create în cadrul acestui proiect ( infrastructura de identitate digitala pentru informarea si
consultarea cetatenilor in relatia cu administratia locala).
4. Retrodigitalizarea arhivei Primariei Municipiului Timisoara, a cel putin 5000 unitati arhivistice (bibliorafturi).</t>
  </si>
  <si>
    <t>Obiectivul general/ Scopul Proiectului:
- Dezvoltarea unei platforme software de interoperabilitate pentru interactiunea digitala cu beneficiarii serviciilor/partenerii Consiliului
Judetean Timis având ca scop reducerea timpilor alocati proceselor specifice întreprinse cu acestia si oferirea unui mediu prietenos de
relationare
- Retrodigitizarea arhivelor din format letric în format digital
Obiectivele specifice ale proiectului
1. Dezvoltarea platformei digitale orientata catre beneficiarii externi ai institutiei
2. Retrodigitizarea a 180 ml de arhiva (aprox 900.000 pag)
Context</t>
  </si>
  <si>
    <t>Obiectivul general al proiectului: Cresterea calitatii serviciilor publice furnizate de catre autoritate cetatenilor prin consolidarea /imbunatatirea sistemului de management al calitatii si performanta in concordanta cu Planul de actiuni pentru implementarea etapizata a managementului calitatii in autoritati si institutii publice 2016-2020, Obiectivul Specific 2.1: Introducerea de sisteme si standarde comune in administratia publica locala ce optimizeaza procesele orientate catre beneficiari in concordanta cu SCAP, inclusiv dezvoltarea abilitatilor personalului din autoritatea publica locala.
Obiectivele specifice ale proiectului
1. OS1 Cresterea calitatii si performantei organizationale in administratia publica locala ce optimizeaza procesele orientate catre beneficiari.
2. OS2. Imbunatatirea capacitatii personalului referitor la sisteme si standarde comune de management al calitatii si performantei prin pregatirea/instruirea specifica a unui numar de 60 angajati si perfectionarea a 20 angajati.
3. OS3. Dezvoltarea si sustinerea activitatilor de colaborare si interactiune cu cetateni, autoritati, institutii si organisme publice nationale si internationale.</t>
  </si>
  <si>
    <t>Obiectivul general al proiectului ,,Imbunatatirea si asigurarea unor servicii publice eficiente si de calitate,, se afla in concordanta cu
apelul Cererii de proiecte POCA/125/2/2 (CP1/2017) - Sprijinirea masurilor referitoare la prevenirea coruptiei la nivelul autoritatilor si
institutiilor publice locale din regiunile mai putin dezvoltate din cadrul ghidului elaborat pentru POCA 2014-2020.
Scopul proiectului este de a contribui prin activitatile propuse la formarea unei culturi din care sa rezulte mai multa transparenta si
deschidere din partea autoritatii publice locale iar din partea cetatenilor, mai mult interes, implicare si responsabilizare în rezolvarea
problemelor anticorupție                                                                                                                                                                                         Obiectivele specifice ale proiectului
1. OS.1.Cresterea gradului de informare a publicului cu privire la impactul fenomenului de coruptie pentru 250 de cetateni.
OS.2.Cresterea gradului de educatie anticoruptie a personalului din cadrul autoritatii publice de locale pentru 150 de angajati.
OS.3. Imbunatatirea accesului beneficiarilor la serviciile publice – dezvoltarea de instrumente in vederea cresterii asumarii
responsabilitatii la nivelul autoritatii publice locale –realizarea unui Ghid de bune practici anticoruptie. Realizarea obiectivelor
specifice ale proiectului, va crea o administratie publica moderna, capabila sa faciliteze dezvoltarea socio-economica, prin
intermediul unor servicii publice, investitii si reglementari de calitate. De aceea este nevoie in primul rand de resurse umane
competente si bine gestionate, un management eficient si transparent al utilizarii resurselor, precum si de identificarea si
utilizarea unor proceduri clare, simple si predictibile de functionare. Informarea cetatenilor este necesara, pentru a cunoaste ce
este coruptia, care sunt cauzele si efectele ei, cum se sanctioneaza. Astfel o societate civila mai bine informata, constienta de
rolul ei privind participarea, evaluarea si certificarea serviciilor publice, va avea ca efect o diminuare a faptelor de coruptie si va
reprezinta un instrument esential atat pentru functionari cat si pentru cetateni. Implementarea proiectului reprezinta o
oportunitatea pentru autoritatea publica locala si va conduce la dezvoltarea unei culturi privind sustinerea unui management
performant prin cresterea transparentei si eticii .</t>
  </si>
  <si>
    <t>Obiectivul general al proiectului presupune consolidarea capacitatii administrative a Consiliului Judetean Tulcea prin cresterea integritatii
si reducerea vurnelabilitatilor la coruptieprin dezvoltarea si implementarea unui sistem de integritate care include standarde, politici si
proceduri de etica si integritate, precum si printr-un program de educatie si anticoruptie, contribuind astfel la dezvoltarea unei admistratii
locale si judetene eficiente
Obiectivele specifice ale proiectului
1. OS.1.Cresterea gradului de informare a publicului cu privire la impactul fenomenului de coruptie pentru 60 de cetateni.
2. OS.2.Cresterea gradului de educatie anticoruptie a personalului din cadrul autoritatii publice de locale pentru 60 de angajati.
3. OS.3. Imbunatatirea accesului beneficiarilor la serviciile publice – dezvoltarea de instrumente in vederea cresterii asumarii
responsabilitatii la nivelul autoritatii publice locale –realizarea unui Ghid de bune practici anticoruptie. Revizuirea procedurilor
interne in vederea accesului angajatilor la informatiile necesare.
4. OS.4 - Introducerea si certificarea standardului ISO 37001. reprezinta un standard de referinta care asigura un set de bune
practici recunoscute la nivel national si international.</t>
  </si>
  <si>
    <t>Consolidarea capacitatii institutionale si eficientizarea activitatii la nivelul UAT Comuna Greci în ceea ce priveste exercitarea atributiilor
prevazute de OUG 57/2019 privind Codul Administrativ, prin implementarea de masuri de digitalizare menite sa ajute la standardizarea
modului de lucru si a activitatilor specifice, la cresterea gradului de interoperabilitate a sistemelor informatice si interconectarea cu ceilalti
actori care opereaza sisteme informatice compatibile, atât din perspectiva back-office, cât si din perspectiva front office
Obiectivele specifice ale proiectului
1. Optimizarea procedurilor administrative interne în raport cu beneficiarii serviciilor publice, în scopul reducerii birocratiei, prin
implementarea unui ecosistem digital integrat
2. Imbunatatirea competentelor digitale ale grupului tinta</t>
  </si>
  <si>
    <t>Consolidarea capacitatii institutionale si eficientizarea activitatii la nivelul UAT Comuna Nufaru în ceea ce priveste exercitarea atributiilor
prevazute de OUG 57/2019 privind Codul Administrativ, prin implementarea de masuri de digitalizare menite sa ajute la standardizarea
modului de lucru si a activitatilor specifice, la cresterea gradului de interoperabilitate a sistemelor informatice si interconectarea cu ceilalti
actori care opereaza sisteme informatice compatibile, atât din perspectiva back-office, cât si din perspectiva front office.
Obiectivele specifice ale proiectului
1. Optimizarea procedurilor administrative interne în raport cu beneficiarii serviciilor publice, în scopul reducerii birocratiei, prin
implementarea unui ecosistem digital integrat.
2. Imbunatatirea competentelor digitale ale grupului tinta</t>
  </si>
  <si>
    <t>Consolidarea capacitatii institutionale si eficientizarea activitatii la nivelul UAT Comuna Văcăreni în ceea ce priveste exercitarea atributiilor
prevazute de OUG 57/2019 privind Codul Administrativ, prin implementarea de masuri de digitalizare menite sa ajute la standardizarea
modului de lucru si a activitatilor specifice, la cresterea gradului de interoperabilitate a sistemelor informatice si interconectarea cu ceilalti
actori care opereaza sisteme informatice compatibile, atât din perspectiva back-office, cât si din perspectiva front office.
Obiectivele specifice ale proiectului
1. Optimizarea procedurilor administrative interne în raport cu beneficiarii serviciilor publice, în scopul reducerii birocratiei, prin
implementarea unui ecosistem digital integrat.
2. Imbunatatirea competentelor digitale ale grupului tinta</t>
  </si>
  <si>
    <t>Consolidarea capacitatii institutionale si eficientizarea activitatii la nivelul UAT Comuna Luncavita în ceea ce priveste exercitarea
atributiilor prevazute de OUG 57/2019 privind Codul Administrativ, prin implementarea de masuri de digitalizare menite sa ajute la
standardizarea modului de lucru si a activitatilor specifice, la cresterea gradului de interoperabilitate a sistemelor informatice si
interconectarea cu ceilalti actori care opereaza sisteme informatice compatibile, atât din perspectiva back-office, cât si din perspectiva
front office.
Obiectivele specifice ale proiectului
1. Optimizarea procedurilor administrative interne în raport cu beneficiarii serviciilor publice, în scopul reducerii birocratiei, prin
implementarea unui ecosistem digital integrat.
2. Imbunatatirea competentelor digitale ale grupului tinta</t>
  </si>
  <si>
    <t>Consolidarea capacitatii institutionale si eficientizarea activitatii la nivelul UAT Mihail Kogalniceanu în ceea ce priveste exercitarea
atributiilor prevazute de OUG 57/2019 privind Codul Administrativ, prin implementarea de masuri de digitalizare menite sa ajute la
standardizarea modului de lucru si a activitatilor specifice, la cresterea gradului de interoperabilitate a sistemelor informatice si
interconectarea cu ceilalti actori care opereaza sisteme informatice compatibile, atât din perspectiva back-office, cât si din perspectiva
front office
Obiectivele specifice ale proiectului
1. Optimizarea procedurilor administrative interne în raport cu beneficiarii serviciilor publice, în scopul reducerii birocratiei, prin
implementarea unui ecosistem digital integrat.
2. Imbunatatirea competentelor digitale ale grupului tinta</t>
  </si>
  <si>
    <t>Consolidarea capacitatii institutionale si eficientizarea activitatii la nivelul UAT Comuna Grindu în ceea ce priveste exercitarea atributiilor
prevazute de OUG 57/2019 privind Codul Administrativ, prin implementarea de masuri de digitalizare menite sa ajute la standardizarea
modului de lucru si a activitatilor specifice, la cresterea gradului de interoperabilitate a sistemelor informatice si interconectarea cu ceilalti actori care opereaza sisteme informatice compatibile, atât din perspectiva back-office, cât si din perspectiva front office
Obiectivele specifice ale proiectului
1. Optimizarea procedurilor administrative interne în raport cu beneficiarii serviciilor publice, în scopul reducerii birocratiei, prin
implementarea unui ecosistem digital integrat.
2. Imbunatatirea competentelor digitale ale grupului tinta</t>
  </si>
  <si>
    <t>Consolidarea capacitatii institutionale si eficientizarea activitatii la nivelul UAT Comuna Baia în ceea ce priveste exercitarea atributiilor
prevazute de OUG 57/2019 privind Codul Administrativ, prin implementarea de masuri de digitalizare menite sa ajute la standardizarea
modului de lucru si a activitatilor specifice, la cresterea gradului de interoperabilitate a sistemelor informatice si interconectarea cu ceilalti actori care opereaza sisteme informatice compatibile, atât din perspectiva back-office, cât si din perspectiva front office
Obiectivele specifice ale proiectului
1. Optimizarea procedurilor administrative interne în raport cu beneficiarii serviciilor publice, în scopul reducerii birocratiei, prin
implementarea unui ecosistem digital integrat
2. Imbunatatirea competentelor digitale ale grupului tinta</t>
  </si>
  <si>
    <t>Consolidarea capacitatii institutionale si eficientizarea activitatii la nivelul UAT Comuna Maliuc în ceea ce priveste exercitarea atributiilor prevazute de OUG 57/2019 privind Codul Administrativ, prin implementarea de masuri de digitalizare menite sa ajute la standardizarea modului de lucru si a activitatilor specifice, la cresterea gradului de interoperabilitate a sistemelor informatice si interconectarea cu ceilalti
actori care opereaza sisteme informatice compatibile, atât din perspectiva back-office, cât si din perspectiva front office
Obiectivele specifice ale proiectului
1. Optimizarea procedurilor administrative interne în raport cu beneficiarii serviciilor publice, în scopul reducerii birocratiei, prin
implementarea unui ecosistem digital integrat
2. Imbunatatirea competentelor digitale ale grupului tinta</t>
  </si>
  <si>
    <t>Consolidarea capacitatii institutionale si eficientizarea activitatii la nivelul UAT Comuna Bestepe în ceea ce priveste exercitarea atributiilor
prevazute de OUG 57/2019 privind Codul Administrativ, prin implementarea de masuri de digitalizare menite sa ajute la standardizarea
modului de lucru si a activitatilor specifice, la cresterea gradului de interoperabilitate a sistemelor informatice si interconectarea cu ceilalti
actori care opereaza sisteme informatice compatibile, atât din perspectiva back-office, cât si din perspectiva front office
Obiectivele specifice ale proiectului
1. Optimizarea procedurilor administrative interne în raport cu beneficiarii serviciilor publice, în scopul reducerii birocratiei, prin
implementarea unui ecosistem digital integrat.
2. Imbunatatirea competentelor digitale ale grupului tinta</t>
  </si>
  <si>
    <t>Consolidarea capacitatii institutionale si eficientizarea activitatii la nivelul UAT Slava Cercheza în ceea ce priveste exercitarea atributiilor
prevazute de OUG 57/2019 privind Codul Administrativ, prin implementarea de masuri de digitalizare menite sa ajute la standardizarea
modului de lucru si a activitatilor specifice, la cresterea gradului de interoperabilitate a sistemelor informatice si interconectarea cu ceilalti
actori care opereaza sisteme informatice compatibile, atât din perspectiva back-office, cât si din perspectiva front office.
Obiectivele specifice ale proiectului
1. Optimizarea procedurilor administrative interne în raport cu beneficiarii serviciilor publice, în scopul reducerii birocratiei, prin
implementarea unui ecosistem digital integrat.
2. Imbunatatirea competentelor digitale ale grupului tinta</t>
  </si>
  <si>
    <t>Obiectivul general al proiectului consta în consolidarea capacitatii institutionale si eficientizarea activitatii la nivelul UAT Comuna
Ceatalchioi, Jud. Tulcea prin optimizarea proceselor de lucru în scopul simplificarii procedurilor administrative si reducerii birocratiei pentru cetateni, implementând masuri din perspectiva back-office (adaptarea procedurilor interne de lucru) si front-office pentru serviciile publice
furnizate cetatenilor.
Obiectivele specifice ale proiectului
1. OS1: Dezvoltarea capacitatii necesare în vederea fundamentarii deciziilor si planificarii strategice pe termen lung, prin
implementare de masuri si instrumente pentru planificare strategica, inclusiv elaborarea Planului Strategic Institutional (PSI) al
UAT Comuna Ceatalchioi, Jud. Tulcea pentru perioada 2023-2027
2. OS2: Optimizarea proceselor de lucru în scopul simplificarii procedurilor administrative aplicabile cetatenilor, atât din perspectiva
front-office, pentru asigurarea accesului online la serviciile publice, cât si back-office, pentru reducerea timpului de procesare a
cererilor cetatenilor din domeniile de competenta exclusiva si partajata ale administratiei publice locale.
3. OS3: Dezvoltarea cunostintelor si abilitatilor personalului din cadrul UAT Comuna Ceatalchioi, Jud. Tulcea, în vederea sprijinirii
masurilor vizate de proiect. Este avuta în vedere formarea/instruirea, evaluarea/testarea si certificarea
competentelor/cunostintelor dobândite pentru 9 persoane din cadrul grupului tinta, în ceea ce priveste utilizarea solutiilor
informatice implementate în cadrul proiectului si 5 persoane din cadrul grupului tinta instruite în domeniul planificarii strategice.</t>
  </si>
  <si>
    <t>Obiectivul general al proiectului consta în consolidarea capacitatii institutionale si eficientizarea activitatii la nivelul UAT Comuna Crisan,
Jud. Tulcea prin optimizarea proceselor de lucru în scopul simplificarii procedurilor administrative si reducerii birocratiei pentru cetateni,
implementând masuri din perspectiva back-office (adaptarea procedurilor interne de lucru) si front-office pentru serviciile publice furnizate
cetatenilor.
Obiectivele specifice ale proiectului
1. OS1: Dezvoltarea capacitatii necesare în vederea fundamentarii deciziilor si planificarii strategice pe termen lung, prin
implementare de masuri si instrumente pentru planificare strategica, inclusiv elaborarea Planului Strategic Institutional (PSI) al
UAT Comuna Crisan, Jud. Tulcea pentru perioada 2023-2027
2. OS2: Optimizarea proceselor de lucru în scopul simplificarii procedurilor administrative aplicabile cetatenilor, atât din perspectiva
front-office, pentru asigurarea accesului online la serviciile publice, cât si back-office, pentru reducerea timpului de procesare a
cererilor cetatenilor din domeniile de competenta exclusiva si partajata ale administratiei publice locale.
3. OS3: Dezvoltarea cunostintelor si abilitatilor personalului din cadrul UAT Comuna Crisan, Jud. Tulcea, în vederea sprijinirii
masurilor vizate de proiect. Este avuta în vedere formarea/instruirea, evaluarea/testarea si certificarea
competentelor/cunostintelor dobândite pentru 20 persoane din cadrul grupului tinta, în ceea ce priveste utilizarea soluttiilor
informatice implementate în cadrul proiectului si 10 persoane din cadrul grupului tinta instruite în domeniul planificarii strategice.</t>
  </si>
  <si>
    <t>Obiectivul general al proiectului consta în consolidarea capacitatii institutionale si eficientizarea activitatii la nivelul UAT Comuna Chilia
Veche, Jud. Tulcea prin optimizarea proceselor de lucru în scopul simplificarii procedurilor administrative si reducerii birocratiei pentru
cetateni, implementând masuri din perspectiva back-office (adaptarea procedurilor interne de lucru) si front-office pentru serviciile publice
furnizate cetatenilor.
Obiectivele specifice ale proiectului
1. OS1: Dezvoltarea capacitatii necesare în vederea fundamentarii deciziilor si planificarii strategice pe termen lung, prin
implementare de masuri si instrumente pentru planificare strategica, inclusiv elaborarea Planului Strategic Institutional (PSI) al
UAT Comuna Chilia Veche, Jud. Tulcea pentru perioada 2023-2027
2. OS2: Optimizarea proceselor de lucru în scopul simplificarii procedurilor administrative aplicabile cetatenilor, atât din perspectiva
front-office, pentru asigurarea accesului online la serviciile publice, cât si back-office, pentru reducerea timpului de procesare a
cererilor cetatenilor din domeniile de competenta exclusiva si partajata ale administratiei publice locale.
3. OS3: Dezvoltarea cunostintelor si abilitatilor personalului din cadrul UAT Comuna Chilia Veche, Jud. Tulcea, în vederea sprijinirii
masurilor vizate de proiect. Este avuta în vedere formarea/instruirea, evaluarea/testarea si certificarea
competentelor/cunostintelor dobândite pentru 14 persoane din cadrul grupului tinta, în ceea ce priveste utilizarea solutiilor
informatice implementate în cadrul proiectului si 10 persoane din cadrul grupului tinta instruite în domeniul planificarii strategice.</t>
  </si>
  <si>
    <t>Obiectivul general al proiectului consta în consolidarea capacitatii institutionale si eficientizarea activitatii la nivelul UAT Comuna Sfântu
Gheorghe, Jud. Tulcea prin optimizarea proceselor de lucru în scopul simplificarii procedurilor administrative si reducerii birocratiei pentru
cetateni, implementând masuri din perspectiva back-office (adaptarea procedurilor interne de lucru) si front-office pentru serviciile publice
furnizate cetatenilor.
Obiectivele specifice ale proiectului
1. OS1: Dezvoltarea capacitatii necesare în vederea fundamentarii deciziilor si planificarii strategice pe termen lung, prin
implementare de masuri si instrumente pentru planificare strategica, inclusiv elaborarea Strategiei de Dezvoltare Locala a UAT
Comuna Sfântu Gheorghe, Jud. Tulcea pentru perioada 2023-2027
2. OS2: Optimizarea proceselor de lucru în scopul simplificarii procedurilor administrative aplicabile cetatenilor, atât din perspectiva
front-office, pentru asigurarea accesului online la serviciile publice, cât si back-office, pentru reducerea timpului de procesare a
cererilor cetatenilor din domeniile de competenta exclusiva si partajata ale administratiei publice locale.
3. OS3: Dezvoltarea cunostintelor si abilitatilor personalului din cadrul UAT Comuna Sfântu Gheorghe, Jud. Tulcea, în vederea
sprijinirii masurilor vizate de proiect. Este avuta în vedere formarea/instruirea, evaluarea/testarea si certificarea
competentelor/cunostintelor dobândite pentru 15 persoane din cadrul grupului tinta, în ceea ce priveste utilizarea solutiilor
informatice implementate în cadrul proiectului si 10 persoane din cadrul grupului tinta instruite în domeniul planificarii strategice.</t>
  </si>
  <si>
    <t>Obiectivul general al proiectului consta in optimizarea proceselor orientate catre beneficiari si eficientizarea activitatii la nivelul Orasului
Babadag, prin planificare strategica, simplificarea procedurilor administrative si reducerea birocratiei pentru cetateni, implementând masuri din perspectiva back-office (adaptarea procedurilor interne de lucru, digitalizarea arhivelor) si front-office pentru serviciile publice furnizate.
Obiectivele specifice ale proiectului
1. OS1. Dezvoltarea capacitatii de fundamentare a deciziilor si planificarii strategice pe termen lung, prin elaborarea Strategiei de
Dezvoltare Turistica a Orasului Babadag 2023-2027, in conformitate cu cadrul financiar multianual 2021-2027.
2. OS2. Dezvoltarea, implementarea si certificarea unui sistem de management al calitatii, structurat pe baza cerintelor standardului
international ISO 9001:2015, care optimizeaza procesele orientate catre beneficiari in concordanta cu SCAP.
3. OS3. Implementarea unor masuri de simplificare pentru cetateni conform Planului integrat pentru simplificarea procedurilor
administrative aplicabile cetatenilor din perspectiva front-office si back-office. In acest sens este avuta in vedere achizitia si
implementarea unei platforme integrate pentru servicii electronice complete vizând competentele partajate ale primariei. Platforma
integrata include atat solutii front-office (portal web, aplicatii mobile, terminal interactiv self-service pentru servicii electronice), cât
si back-office (solutii care faciliteaza exercitarea competentelor partajate vizate de prezentul proiect, arhivare electronica,
retrodigitalizare). Platforma integrata pentru servicii electronice este bazata pe implementarea urmatoarelor principii: one stop
shop pentru livrarea de servicii publice electronice; utilizarea inteligenta informatiilor disponibile prin aplicarea principiului
inregistrarii "o singura data" a datelor – conceptul de identitate electronica a cetateanului; spatiul privat virtual al cetateanului in
relatia cu primaria.
4. OS4. Dezvoltarea cunostintelor si abilitatilor personalului din cadrul Orasului Babadag, in vederea sprijinirii masurilor vizate de
proiect. Este avuta in vedere formarea/instruirea, evaluarea/testarea si certificarea competentelor/cunostintelor dobândite pentru
67 de persoane, din cadrul grupului tinta, in ceea ce priveste utilizarea solutiilor informatice implementate in cadrul proiectului.</t>
  </si>
  <si>
    <t>Obiectivul general al proiectului consta în consolidarea capacitatii institutionale si eficientizarea activitatii la nivelul UAT Comuna Jurilovca,
Jud. Tulcea prin optimizarea proceselor de lucru în scopul simplificarii procedurilor administrative si reducerii birocratiei pentru cetateni,
implementând masuri din perspectiva back-office (adaptarea procedurilor interne de lucru) si front-office pentru serviciile publice furnizate
cetatenilor.
Obiectivele specifice ale proiectului
1. OS1: Dezvoltarea capacitatii necesare în vederea fundamentarii deciziilor si planificarii strategice pe termen lung, prin
implementare de masuri si instrumente pentru planificare strategica, inclusiv elaborarea Planului Strategic Institutional (PSI) al
UAT Comuna Jurilovca, Jud. Tulcea pentru perioada 2023-2027
2. Optimizarea proceselor de lucru în scopul simplificarii procedurilor administrative aplicabile cetatenilor, atât din perspectiva frontoffice,
pentru asigurarea accesului online la serviciile publice, cât si back-office, pentru reducerea timpului de procesare a
cererilor cetatenilor din domeniile de competenta exclusiva si partajata ale administratiei publice locale.
3. Dezvoltarea cunostintelor si abilitatilor personalului din cadrul UAT Comuna Jurilovca, Jud. Tulcea, în vederea sprijinirii masurilor
vizate de proiect. Este avuta în vedere formarea/instruirea, evaluarea/testarea si certificarea competentelor/cunostintelor
dobândite pentru 15 persoane din cadrul grupului tinta, în ceea ce priveste utilizarea solutiilor informatice implementate în cadrul
proiectului si 10 persoane din cadrul grupului tinta instruite în domeniul planificarii strategice.</t>
  </si>
  <si>
    <t>Obiectivul general al proiectului consta în consolidarea capacitattii institutionale si eficientizarea activitatii la nivelul UAT Comuna Pardina,
Jud. Tulcea prin optimizarea proceselor de lucru în scopul simplificarii procedurilor administrative si reducerii birocratiei pentru cetateni,
implementând masuri din perspectiva back-office (adaptarea procedurilor interne de lucru) si front-office pentru serviciile publice furnizate
cetatenilor
Obiectivele specifice ale proiectului
1. OS1: Dezvoltarea capacitatii necesare în vederea fundamentarii deciziilor si planificarii strategice pe termen lung, prin
implementare de masuri si instrumente pentru planificare strategica, inclusiv elaborarea Strategiei de Dezvoltare Locala a UAT
Comuna Pardina, Jud. Tulcea pentru perioada 2023-2027
2. OS2: Optimizarea proceselor de lucru în scopul simplificarii procedurilor administrative aplicabile cetatenilor, atât din perspectiva
front-office, pentru asigurarea accesului online la serviciile publice, cât si back-office, pentru reducerea timpului de procesare a
cererilor cetatenilor din domeniile de competenta exclusiva si partajata ale administratiei publice locale
3. OS3: Dezvoltarea cunostintelor si abilitatilor personalului din cadrul UAT Comuna Pardina, Jud. Tulcea, în vederea sprijinirii
masurilor vizate de proiect. Este avuta în vedere formarea/instruirea, evaluarea/testarea si certificarea
competentelor/cunostintelor dobândite pentru 9 persoane din cadrul grupului tinta, în ceea ce priveste utilizarea solutiilor
informatice implementate în cadrul proiectului si 9 persoane din cadrul grupului tinta instruite în domeniul planificarii strategice</t>
  </si>
  <si>
    <t>Obiectivul general al proiectului consta în consolidarea capacitatii institutionale si eficientizarea activitatii la nivelul UAT Comuna
Mahmudia, Jud. Tulcea prin optimizarea proceselor de lucru în scopul simplificarii procedurilor administrative si reducerii birocratiei pentru
cetateni, implementând masuri din perspectiva back-office (adaptarea procedurilor interne de lucru) si front-office pentru serviciile publice
furnizate cetatenilor.
Obiectivele specifice ale proiectului
1. OS1: Dezvoltarea capacitatii necesare în vederea fundamentarii deciziilor si planificarii strategice pe termen lung, prin
implementare de masuri si instrumente pentru planificare strategica, inclusiv elaborarea Planului Strategic Institutional (PSI) al
UAT Comuna Mahmudia, Jud. Tulcea pentru perioada 2023-2027
2. OS2: Optimizarea proceselor de lucru în scopul simplificarii procedurilor administrative aplicabile cetatenilor, atât din perspectiva
front-office, pentru asigurarea accesului online la serviciile publice, cât si back-office, pentru reducerea timpului de procesare a
cererilor cetatenilor din domeniile de competenta exclusiva si partajata ale administratiei publice locale.
3. OS3: Dezvoltarea cunostintelor si abilitatilor personalului din cadrul UAT Comuna Mahmudia, Jud. Tulcea, în vederea sprijinirii
masurilor vizate de proiect. Este avuta în vedere formarea/instruirea, evaluarea/testarea si certificarea
competentelor/cunostintelor dobândite pentru 14 persoane din cadrul grupului tinta, în ceea ce priveste utilizarea solutiilor
informatice implementate în cadrul proiectului si 10 persoane din cadrul grupului tinta instruite în domeniul planificarii strategice.</t>
  </si>
  <si>
    <t>Consolidarea capacitatii institutionale si eficientizarea activitatii la nivelul UAT Comuna CA Rosetti în ceea ce priveste exercitarea
atributiilor prevazute de OUG 57/2019 privind Codul Administrativ, prin implementarea de masuri de digitalizare menite sa ajute la
standardizarea modului de lucru si a activitatilor specifice, la cresterea gradului de interoperabilitate a sistemelor informatice si
interconectarea cu ceilalti actori care opereaza sisteme informatice compatibile, atât din perspectiva back-office, cât si din perspectiva
front office.
Obiectivele specifice ale proiectului
1. Optimizarea procedurilor administrative interne în raport cu beneficiarii serviciilor publice, în scopul reducerii birocratiei, prin
implementarea unui ecosistem digital integrat.
2. Imbunatatirea competentelor digitale ale grupului tinta</t>
  </si>
  <si>
    <t>Obiectivul general al proiectului consta in optimizarea proceselor orientate catre beneficiari si eficientizarea activitatii la nivelul Comunei
Sarichioi, prin planificare strategica, simplificarea procedurilor administrative si reducerea birocratiei pentru cetateni, implementând masuri
din perspectiva back-office (adaptarea procedurilor interne de lucru, digitalizarea arhivelor) si front-office pentru serviciile publice furnizate.
Obiectivele specifice ale proiectului
1. OS1. Dezvoltarea capacitatii de fundamentare a deciziilor si planificarii strategice pe termen lung, prin elaborarea Strategiei de
Dezvoltare Turistica a Comunei Sarichioi 2023-2027, in conformitate cu cadrul financiar multianual 2021-2027.
2. OS2. Dezvoltarea, implementarea si certificarea unui sistem de management al calitatii, structurat pe baza cerintelor standardului
international ISO 9001:2015, care optimizeaza procesele orientate catre beneficiari in concordanta cu SCAP.
3. OS3. Implementarea unor masuri de simplificare pentru cetateni conform Planului integrat pentru simplificarea procedurilor
administrative aplicabile cetatenilor din perspectiva front-office si back-office. In acest sens este avuta in vedere achizitia si
implementarea unei platforme integrate pentru servicii electronice complete vizând competentele partajate ale primariei. Platforma
integrata include atat solutii front-office (portal web, aplicatii mobile, terminal interactiv self-service pentru servicii electronice), cât
si back-office (solutii care faciliteaza exercitarea competentelor partajate vizate de prezentul proiect, arhivare electronica,
retrodigitalizare). Platforma integrata pentru servicii electronice este bazata pe implementarea urmatoarelor principii: one stop
shop pentru livrarea de servicii publice electronice; utilizarea inteligenta informatiilor disponibile prin aplicarea principiului
inregistrarii "o singura data" a datelor – conceptul de identitate electronica a cetateanului; spatiul privat virtual al cetateanului in
relatia cu primaria.
4. OS4. Dezvoltarea cunostintelor si abilitatilor personalului din cadrul Comunei Sarichioi, in vederea sprijinirii masurilor vizate de
proiect. Este avuta in vedere formarea/instruirea, evaluarea/testarea si certificarea competentelor/cunostintelor dobândite pentru
30 de persoane, din cadrul grupului tinta, in ceea ce priveste utilizarea solutiilor informatice implementate in cadrul proiectului.</t>
  </si>
  <si>
    <t>Obiectivul general proiectului este introducerea de sisteme si standarde comune în administratia publica locala ce optimizeaza procesele
orientate catre beneficiari. Se urmareste digitalizarea serviciilor publice prin accesul online la unele serviciile gestionate partajat/exclusiv
de autoritatile locale (implementarea unei solutii de servicii online cu privire la ordinea si linistea publica, monitorizare obiective la nivelul
municipiului Tulcea, administrarea domeniului public si privat al municipiului etc.), elaborarea unui Plan de Mobilitate Urbana Durabila,
formarea personalului cu privire la implementarea PMUD dar si a personalului care se ocupa de implementarea instrumentelor privind
simplificarea procedurilor administrative în domeniul ordinii publice.
Scopul proiectului consta în optimizarea proceselor si cresterea eficientei serviciilor publice ale Primariei Municipiului Tulcea prin punerea
la dispozitie de servicii administrative si guvernare locala utilizând mijloace electronice, prin implementarea unor sisteme informatice
integrate cu functii de e-administratie si e-guvernare bazat cu elemente de geo spatialitate precum si elaborarea unui Plan de Mobilitate
Urbana Durabila pentru municipiul Tulcea.                                                                                                                                                                                                                                          Obiectivele specifice ale proiectului
1. Mecanisme si proceduri standard implementate la nivel local - Planificarea strategica si financiara prin implementarea unui plan
de mobilitate urbana durabila (PMUD).
2. Proceduri simplificate pentru reducerea birocratiei pentru cetateni la nivel local prin digitalizarea serviciilor oferite dar si a
proceselor interne ale Autoritatatii Publice cu ajutorul unui Sistem Informatic Integrat pentru activitatea Primariei Municipiului
Tulcea
3. Proceduri simplificate pentru reducerea birocratiei pentru cetateni la nivel local prin digitalizarea serviciilor oferite dar si a
proceselor interne ale Autoritatatii Publice cu ajutorul unui Sistem Informatic Integrat pentru activitatea Politiei Locale Tulcea
4. Mecanisme si proceduri standard implementate la nivel local - Planificarea strategica si financiara prin elaborarea de criterii de
prioritizarea a investitiilor în sectorul transportului urban prin elaborarea unui Studiu de Trafic
5. Mecanisme si proceduri standard implementate la nivel local - Planificarea strategica si financiara prin implementarea unei
Strategii de Smart City care sa raspunda nevoilor si exigentelor de finantare pentru perioada de programare a fondurilor europene
2021-2027
Context</t>
  </si>
  <si>
    <t>Consolidarea capacitatii institutionale si eficientizarea activitatii la nivelul UAT Judetul Tulcea în ceea ce priveste exercitarea atributiilor
prevazute de OUG 57/2019 privind Codul Administrativ, prin implementarea de masuri de digitalizare menite sa ajute la standardizarea
modului de lucru si a activitatilor specifice, la cresterea gradului de interoperabilitate a sistemelor informatice si interconectarea cu ceilalti
actori care opereaza sisteme informatice compatibile, atât din perspectiva back-office, cât si din perspectiva front office
Obiectivele specifice ale proiectului
1. Optimizarea procedurilor administrative interne în raport cu beneficiarii serviciilor publice, în scopul reducerii birocratiei, prin
implementarea unui ecosistem digital integrat
2. Imbunatatirea competentelor digitale ale grupului tinta</t>
  </si>
  <si>
    <t>Obiectivul general al proiectului/Scopul proiectului
Dezvoltarea unui set de strategii, care sa optimizeze procesul intern al Primariei Frecatei, contribuind astfel, la îmbunatatirea calitatii si
performantei serviciilor publice si implementarea unui sistem de digitalizare a fluxurilor de lucru din cadrul primariei si în raport cu cetatenii
comunei Frecatei.
Obiectivele specifice ale proiectului
1. OS1. Îmbunatatirea planificarii strategice a Comunei Frecatei, pe termen mediu si lung, prin elaborarea urmatoarelor documente
strategice:
- Strategia de dezvoltare si implementare de mecanisme de colaborare si consultare între actorii relevanti pe domenii specifice de
competenta pentru sustinerea dezvoltarii la nivel local;
- Strategia de digitalizare;
- Planul Strategic Institutional (PSI) al Comunei Frecatei, pe termen mediu (2023-2027).
2. OS2. Implementarea si certificarea sistemului de management al calitatii ISO 9001:2015 în UAT Comuna Frecatei pentru o
administratie publica locala consolidata si eficienta si îmbunatatirea serviciilor publice furnizate.
3. OS3. Digitalizarea procesului intern de management al Primariei Frecatei, simplificarea interactiunii cetatenilor cu administratia
publica locala si cresterea transparentei în luarea deciziilor prin implementarea de instrumente de dialog public.
4. OS4. Dezvoltarea abilitatilor si capacitatii profesionale de a presta activitati interne si publice de calitate, folosind instrumente
digitale pentru 50 de persoane din cadrul Primariei Frecatei, judetul Tulcea – 12 functionari publici, 25 angajati ca personal
contractual, 13 consilieri locali, în vederea întelegerii si comunicarii noilor servicii digitale implementate în administratia locala si a
strategiilor realizate.</t>
  </si>
  <si>
    <t>Scopul proiectului consta în optimizarea proceselor si cresterea eficientei serviciilor publice ale Primariei Orasului Isaccea, prin punerea la
dispozitie de servicii administrative si guvernare locala utilizând mijloace electronice prin implementarea unui sistem informatic integrat cu
functii de e-administratie si e-guvernare, elaborarea unei strategii de dezvoltare locala pentru orasul Isaccea, precum si implementarea si
certificarea unui sistem de management al calitatii - ISO 9001.
Obiectivele specifice ale proiectului
1. Mecanisme si proceduri standard implementate la nivel local - dezvoltarea unei Strategii de Dezvoltare Locala.
2. Sprijinirea introducerii de instrumente, procese de management la nivel local prin implementarea unui sistem de management al
calitatii si certificarea acestuia (ISO 9001)
3. Proceduri simplificate pentru reducerea birocratiei pentru cetateni la nivel local prin digitalizarea serviciilor oferite dar si a
proceselor interne ale Autoritatatii Publice cu ajutorul unui Sistem Informatic Integrat
4. Dezvoltarea gradului de cunostinte si abilitati ale personalului din Primaria Orasului Isaccea, în vederea sprijinirii
masurilor/actiunilor vizate de proiect prin intermediul unor cursuri de formare pentru managementul calitatii dar si pentru
implementarea SDL</t>
  </si>
  <si>
    <t>Dezvoltarea unui sistem unitar si sustenabil de management al calitatii la nivelul Consiliului Judetean Vâlcea si al altor 12 institutii publice din subordinea sa, în scopul optimizarii proceselor orientate catre beneficiari, în concordanta cu SCAP.
Obiectivele specifice ale proiectului
1. Implementarea Sistemului de Management al Calitatii, conform SR EN ISO 9001:2015, la nivelul a 12 institutii publice din
subordinea Consiliului Judetean Vâlcea.
2. Certificarea Sistemului de Management al Calitatii, conform SR EN ISO 9001:2015, la nivelul Consiliului Judetean Vâlcea si al
altor 12 institutii subordonate.
3. Consolidarea sistemului de management al calitatii la nivelul Consiliului Judetean Vâlcea, prin implementarea instrumentului de autoevaluare CAF.
4. Îmbunatatirea cunostintelor si abilitatilor personalului, din cadrul Consiliul Judetean Vâlcea si institutiile publice subordonate, prin participarea la programe si evenimente de formare profesionala în domeniul managementului calitatii.
5. Asigurarea sustenabilitatii sistemelor de management implementate si/sau certificate în cadrul proiectului, prin formarea si certificarea unui numar de 15 de specialisti în domeniul calitatii si a 15 auditori în domeniul calitatii, din rândul personalului angajat în aceste institutii, cu atributii în domeniul managementului calitatii.</t>
  </si>
  <si>
    <t xml:space="preserve">Obiectivul general al proiectului este formularea unei propuneri de politica publica prin realizarea Strategiei de Dezvoltare Locala SDL
pentru perioada 2020-2024 si a Planului Strategic Instituțional PSI 2020-2023, corelata cu modernizarea sistemului informatic existent
pentru cresterea performantei personalului angajat si deservirea online a cetatenilor si mediului de afaceri.
Obiectivele specifice ale proiectului
OS1: Definirea politicii locale a municipiului Dragasani cu concursul tuturor factorilor cu aport în dezvoltarea locala, concretizata
prin adoptarea a 2 documente strategice: Strategia de Dezvoltare Locala (SDL) a municipiului Dragasani pentru perioada 2020-
2024 si Planul Strategic Instituțional 2020-2023, corelat cu SDL.
2. OS2: Reducerea birocratiei pentru cetateni la nivel local corelate cu planul integrat de simplificare a procedurilor administrative
pentru cetateni - prin implementarea sistemului informatic modernizat pentru cresterea performantei personalului angajat si
deservirea online a cetatenilor si mediului de afaceri.
3. OS3: Dezvoltarea abilitatilor personalului din cadrul Primariei Municipiului Dragasani si al institutiilor subordonate Primariei
Dragasani prin asigurarea formarii profesionale a 60 persoane din grupul tinta în domeniile managementului strategic, al
instrumentelor si procedurilor pentru fundamentarea decizie si al competentelor de comunicare.
</t>
  </si>
  <si>
    <t xml:space="preserve">Obiectivul general al proiectului consta consolidarea capacitatii institutionale si eficientizarea activitatii la nivelul Municipiului Râmnicu Vâlcea, prin simplificarea procedurilor administrative si reducerea birocratiei pentru cetateni, implementând masuri din perspectiva backoffice (adaptarea procedurilor interne de lucru, digitalizarea arhivelor), si front-office pentru serviciile publice furnizate.
Obiectivele specifice ale proiectului
1. Implementarea unor masuri de simplificare pentru cetateni, în corespondenta cu Planul integrat pentru simplificarea procedurilor administrative aplicabile cetatenilor, atât din perspectiva back-office (adaptarea procedurilor interne de lucru, digitalizarea arhivelor), cât si front-office. În acest sens sunt avute în vedere achizitia si implementarea unei platforme integrate pentru managementul fluxurilor de lucru si arhivarea electronica, respectiv a unei platforme integrate (portal web, aplicatie pentru dispozitive mobila) pentru servicii electronice complete (inclusiv plata electronica si semnatura electronica), a unui terminal interactiv de tip self-service pentru servicii electronice, si a unei solutii de raportare a indicatorilor aferenti serviciilor electronice. Platforma integrata pentru servicii electronice este bazata pe implementarea urmatoarelor principii: One Stop Shop pentru livrarea de servicii publice electronice; utilizarea inteligenta informatiilor disponibile prin aplicarea principiului înregistrarii "o singura data" a datelor – conceptul de identitate electronica a cetateanului; spatiul privat virtual al cetateanului în relatia cu primaria. </t>
  </si>
  <si>
    <t>Obiectivul general consta in consolidarea capacitatii institutionale, eficientizarea activitatii prin simplificarea procedurilor administrative si reducerea birocrației pentru cetațeni, implementând masuri din perspectiva back-office si front-office pentru serviciile publice furnizate în
domeniile de competenta partajata si implementarea unor mecanisme si proceduri standard la nivel local (elaborare PMUD si SIDU).
Obiectivele specifice ale proiectului
1. OS1. Implementarea unor mecanisme si proceduri standard la nivel local pentru fundamentarea deciziilor si planificarea
strategica pe termen lung prin elaborarea documentelor strategice ce vor sta la baza obtinerii finanțarilor din politica de coeziune aferenta perioadei 2021 - 2027, respectiv Strategia integrata de dezvoltare urbana si a Planului de Mobilitate Urbana Durabila.
2. OS 2. Implementarea unor masuri de simplificare pentru cetațeni, în corespondența cu Planul integrat pentru simplificarea
procedurilor administrative aplicabile cetatenilor, atât din perspectiva back-office (adaptarea procedurilor interne de lucru,
digitalizarea arhivelor), cât si front-office.
Extinderea portalului actual de servicii electronice cu urmatoarele componente front-office: servicii electronice vizând
competentele partajate exercitate de institutie, solutie de portal extranet pentru colaborare inter-institutionala în domeniul
competentelor partajate, solutie de publicare a datelor deschise (open data) relativ la serviciile publice partajate. Implementarea unor solutii back-office care asigura functionalitatile necesare pentru furnizarea de servicii electronice din domeniile în care institutia exercita competente partajate.</t>
  </si>
  <si>
    <t>Dezvoltarea capacitatii institutionale a Consiliului Judetean Vâlcea de a furniza servicii publice de calitate pentru cetateni, prin masuri concrete ce vizeaza îmbunatatirea procesului decizional si de planificare strategica, digitalizarea proceselor privind managementul documentelor si crearea de facilitati de acces online la servicii publice, în concordanta cu Strategia pentru Consolidarea Administratiei Publice 2014 -2020.
Obiectivele specifice ale proiectului
1. Consolidarea capacitatii de planificare strategica si de fundamentare a deciziilor la nivelul Consiliului Judetean Vâlcea, prin
dezvoltarea de mecanisme de participare publica si îmbunatatirea cunostintelor si abilitatilor personalului din aparatul propriu si alesilor locali.
2. Crearea unui cadru strategic de referinta pentru dezvoltarea judetului Vâlcea în perioada urmatoare de programare, prin
elaborarea si aprobarea a doua documente de planificare strategica.
3. Simplificarea procedurilor administrative si reducerea birocratiei pentru cetateni, în cadrul Consiliului Judetean Vâlcea, prin digitalizarea proceselor privind managementul documentelor si crearea de facilitati de acces online la servicii publice.</t>
  </si>
  <si>
    <t>Obiectivul general al proiectului este optimizarea procedurilor administrative prin modernizarea si completarea sistemului informatic
existent si îmbunatatirea competentelor functionarilor, pentru cresterea performantei personalului angajat si deservire a cetatenilor, în
ceea ce priveste urmatoarele competente partajate: ordine si siguranta publica, serviciul public comunitar pentru evidenta persoanelor si învatamântul preuniversitar de stat.
Obiectivele specifice ale proiectului
1. Obiectiv specific 1: Reducerea birocratiei pentru cetateni la nivel local corelate cu planul integrat de simplificare a procedurilor administrative pentru cetateni - prin implementarea sistemului informatic modernizat pentru cooperarea informationala cu institutiile subordonate, pentru cresterea performantei personalului angajat si deservirea online a cetatenilor si a mediului de afaceri, prin implementarea de masuri de eficientizare a proceselor de lucru specifice domeniului.
Pentru realizarea obiectivului specific 1 se are in vedere activitatea A3.2. Modernizarea sistemului informatic existent pentru
cooperarea informationala cu institutiile subordonate. Rezultatul 1 contribuie la atingerea acestui obiectiv.
2. Obiectiv specific 2: Dezvoltarea cunostintelor, competentelor si abilitatilor personalului din cadrul Primariei Dragasani si institutiilor subordonate (50 persoane), prin participarea la programe de instruire, inclusiv prin abordarea temelor de dezvoltare durabila, egalitate de sanse, nediscriminare si egalitate de gen, în vederea utilizarii si administrarii solutiilor informatice implementate. Pentru realizarea obiectivului specific 2 se are in vedere activitatea A3.2. Modernizarea sistemului informatic existent pentru cooperarea informationala cu institutiile subordonate (Instruirea utilizatorilor si administratorilor solutiilor informatice implementate). Rezultatul 2 contribuie la atingerea acestuia.
3. Obiectiv specific 3: Dezvoltarea abilitatilor personalului din cadrul Primariei Municipiului Dragasani si al institutiilor subordonate Primariei Dragasani, prin asigurarea formarii profesionale a 40 persoane din grupul tinta în competentelor de comunicare. Pentru realizarea obiectivului specific 3 se are in vedere activitatea A.4.1. Instruirea personalului de conducere si executie din Primaria Dragasani si din 4 institutii subordonate privind tehnici de comunicare si prezentare. Rezultatul 3 contribuie la atingerea acestuia.</t>
  </si>
  <si>
    <t>Obiectivul general al proiectului îl constituie cresterea transparentei, eticii si integritatii la nivelul Municipiului Râmnicu Vâlcea, prin
implementarea unor masuri de prevenire a corupttiei, cresterea nivelului de educatie anticoruptie a personalului si a cetatenilor, precum si prin aplicarea normelor, masurilor si procedurilor în materie de etica, integritate si anticoruptie reglementate la nivelul institutiilor publice.
Obiectivele specifice ale proiectului
1. O.S..1 Implementarea masurilor prevazute de Strategia Nationala Anticoruptie 2016 - 2020, respectiv elaborarea documentattiei
specifice metodologiei de identificare a riscurilor si vulnerabilitatilor la coruptie, precum si a procedurilor anticoruptie , certificare
ISO 37001 si elaborarea unui ghid de bune practici.
2. O.S. 2. Implementarea unor masuri prevazute în planul de integritate al Primariei Municipiului Râmnicu Vâlcea, respectiv
cultivarea si dezvoltarea cunostintelor, competentelor si abilitatilor personalului propriu din administratia publica locala, prin
participarea la programe de formare pentru prevenirea coruptiei si la programe de formare privind etica si integritatea, inclusiv
prin abordarea temelor de devoltare durabila, egalitate de sanse, nediscriminare si egalitate de gen.
3. OS. 3 Cresterea gradului de informare si constientizare a cetatenilor - beneficiari de servicii publice- în vederea implementarii
masurilor anticoruptie.</t>
  </si>
  <si>
    <t>Cresterea nivelului de performanta la nivelul UAT Municipiul Dragasani, prin implementarea unui sistem de management structurat pe
baza cerintelor standardului international ISO 9001:2015 si sustinut prin dezvoltarea competentelor personalului institutiei.
Obiectivele specifice ale proiectului
1. OS 1 – Optimizarea proceselor orientate catre beneficiari în concordanta cu SCAP prin dezvoltarea, implementarea si certificarea
unui sistem de management al calitatii pe parcursul a 16 luni.
2. OS 2 – Îmbunatatirea abilitatilor personalului din cadrul Primariei Municipiului prin:
• formarea profesionala a 20 de persoane din grupul tinta, pentru implementarea Sistemului de Management al Calitatii.
• dezvoltarea unui Ghid de buna practica privind integrarea SMC cu SCIM în cadrul UAT pe parcursul a 16 luni de proiect.</t>
  </si>
  <si>
    <t>OG Dezvoltarea capacitatii de formulare a politicilor publice de catre Consiliul Judetean Vaslui pentru dezvoltarea economica si sociala a judetului, prin implementarea unui proces participativ de planificare strategica.OS 1. Cresterea capacitatii de fundamentare a deciziilor referitoare la dezvoltarea economico-sociala a judetului Vaslui prin
elaborarea participativa si adoptarea unei strategii de dezvoltare durabila pentru perioada 2021-2027.
2. OS2. Cresterea competentelor a minim 50 de persoane cheie, de la nivelul aparatului de specialitate al institutiei Consiliului Judetean Vaslui, pentru elaborarea si implementarea politicilor publice locale pâna la finalizarea proiectului.</t>
  </si>
  <si>
    <t xml:space="preserve">Obiectivul general al proiectului: Consolidarea capacitatii institutionale a Primariei Municipiului Vaslui prin implementarea de masuri de simplificare administrativa si optimizare a furnizarii serviciilor catre cetateni.
Obiectivele specifice ale proiectului
1. Optimizarea activitatilor interne ale functionarilor, prin implementarea unei platforme integrate de management al activitatilor si al înregistrarilor, inclusiv prin digitalizarea si gestiunea electronica a arhivei primariei Vaslui
2. Implementarea unei platforme de tip portal pentru servicii care sa fie furnizate online catre cetateni
3. Îmbunatatirea abilitatilor si cunostintelor personalului municipiului Vaslui pentru utilizarea sistemelor informatice dezvoltate prin proiect si pentru gestionarea documentelor electronice
</t>
  </si>
  <si>
    <t>Obiectivul general al proiectului/Scopul proiectului
Obiective proiect
Întocmirea documentatiilor de planificarea strategica pe termen lung la nivelul UAT Municipiul Vaslui
Obiectivele specifice ale proiectului
1. OS 1: Realizarea Planului Strategic Institutional al Muncipiului Vaslui aferent anilor 2021-2022;
2. OS 2: Realizarea Strategiei integrate de dezvoltare urbana a Municipiului Vaslui 2021-2027;
3. OS 3: Realizarea Planului de Mobilitate Urbana Durabila al Municipiului Vaslui pentru perioada 2021-2027;</t>
  </si>
  <si>
    <t>Obiectivul general al proiectului consta in consolidarea capacitatii institutionale si eficientizarea activitatii la nivelul Municipiului Husi, prin
simplificarea procedurilor administrative si reducerea birocratiei pentru cetateni, implementând noi masuri din perspectiva back-office
(adaptarea procedurilor interne de lucru) si front-office pentru serviciile publice aferente competentelor partajate ale UAT.
Obiectivele specifice ale proiectului
1. OS1. Implementarea unor masuri de simplificare pentru cetateni conform Planului integrat pentru simplificarea procedurilor
administrative aplicabile cetatenilor din perspectiva front-office si back-office vizând competentele partajate ale Primariei. În acest
sens este avuta în vedere achizitia si implementarea de noi solutii integrate pentru oferirea de servicii electronice - atat solutii
front-office (servicii electronice furnizate direct cetatenilor), cât si back-office (solutii care faciliteaza exercitarea competentelor
partajate vizate de prezentul proiect). Solutiile integrate pentru servicii electronice se vor baza pe implementarea urmatoarelor
principii: one stop shop pentru livrarea de servicii publice electronice; utilizarea inteligenta a informatiilor disponibile prin aplicarea
principiului înregistrarii "o singura data" a datelor – conceptul de identitate electronica a cetateanului; spatiul privat virtual al
cetateanului în relatia cu primaria.
2. OS2. Dezvoltarea cunostintelor si abilitatilor personalului din cadrul Municipiului Husi, in vederea sprijinirii masurilor vizate de
proiect. Este avuta in vedere formarea/instruirea, evaluarea/testarea si certificarea competentelor/cunostintelor dobândite pentru
78 de persoane, din cadrul grupului tinta, in ceea ce priveste utilizarea solutiilor informatice implementate in cadrul proiectului.</t>
  </si>
  <si>
    <t>Obiectivul general al proiectului vizeaza consolidarea capacitatii institutionale si eficientizarea activitatii la nivelul Consiliului Judetean
Vaslui în ceea ce priveste exercitarea atributiilor prevazute de OUG 57/2019 privind Codul Administrativ si competentele exclusive, prin
implementarea de masuri pentru imbunatattirea procesului decizional si de digitalizare menite sa ajute la standardizarea modului de lucru
si a activitatilor specifice, la cresterea gradului de interoperabilitate a sistemelor informatice si interconectarea cu ceilalti actori care
opereaza sisteme informatice compatibile, atât din perspectiva back-office, cat si din perspectiva front office.
Obiectivele specifice ale proiectului
1. Optimizarea procedurilor administrative interne în raport cu beneficiarii serviciilor publice, in scopul reducerii birocratiei, prin
implementarea unui ecosistem digital integrat si dezvoltarea abilitatilor personalului prin participarea la programe de instruire în
vederea utilizarii si administrarii solutiilor informatice implementate.</t>
  </si>
  <si>
    <t>Obiectivul general al proiectului consta in Consolidarea capacitatii institutionale a Primariei Municipiului Vaslui prin implementarea unor
solutii de simplificare a procedurilor administrative si de reducere a birocratiei pentru cetateni pentru accesul la servicii electronice
partajate.
Obiectivele specifice ale proiectului
1. Cresterea accesibilitatii, reducerea timpului si simplificarea modalitatii de solicitare a unor servicii publice partajate din domeniul
asistentei sociale, al sprijinirii tinerilor în domeniul locuirii (gestionarea si valorificarea patrimoniului de locuinte ANL) si respectiv al
ordinii si sigurantei publice, prin masuri de optimizare a interactiunii front-office: implementarea în cadrul portalului web a unor
servicii electronice, ca alternativa la modalitatea traditionala de solicitare/furnizare a serviciilor publice.
2. Optimizarea comunicarii interne, digitalizarea fluxului de documente si reducerea timpului de furnizare a unor servicii publice
partajate din domeniul asistentei sociale, al sprijinirii tinerilor în domeniul locuirii (gestionarea si valorificarea patrimoniului de
locuinte ANL) si respectiv al ordinii si sigurantei publice, prin masuri de optimizare a activitatilor back-office: implementarea unor
aplicatii software specializate pentru managementul intern al activitatilor specifice de asistenta sociala, managementul
patrimoniului de locuinte ANL si respectiv managementul activitatilor de ordine si siguranta publica.
3. Îmbunatatirea abilitatilor si cunostintelor personalului municipiului Vaslui pentru utilizarea sistemelor informatice implementate prin
proiect si pentru gestionarea fluxurilor electronice de activitati si documente.</t>
  </si>
  <si>
    <t>Consolidarea capacitatii institutionale a Primariei Municipiului Focsani prin introducerea de instrumente de planificare strategica, sisteme si standarde de management al calitatii si performantei pentru optimizarea proceselor administrative ale primariei si adoptarea unor masuri de simplificare a furnizarii serviciilor catre cetațeni si mediul de afaceri, prin implementarea unor sisteme informatice inovative.
Obiectivele specifice ale proiectului
1. Realizarea strategiei de dezvoltare durabila 2021 - 2027 a municipiului Focsani care va fundamenta deciziile strategice si
planificarea bugetara pe termen lung la nivelul instituției
2. Implementarea unui sistem de management al performanței BSC pentru a asigura gestiunea si masurarea acțiunilor strategice la nivelul Municipiului Focsani
3. Extinderea sistemului ISO 9001:2015 existent la nivelul municipiului Focsani prin asigurarea unor proceduri de lucru ce corespund unor procese optimizate de furnizare a serviciilor publice prin mijloace electronice
4. Optimizarea activitatilor interne ale functionarilor, prin implementarea unei platforme integrate de management al activitatilor si al înregistrarilor, inclusiv prin digitalizarea si gestiunea electronica a arhivei primariei Focsani, precum si implementarea unei platforme de tip portal pentru servicii care sa fie furnizate online catre cetațeni
5. Îmbunatațirea abilitaților si cunostintelor personalului municipiului Focsani în domeniul managementului strategic, al
managementului calitații/performanței, pentru utilizarea sistemelor informatice dezvoltate prin proiect si pentru gestionarea
documentelor electronice</t>
  </si>
  <si>
    <t>Obiectivul general al proiectului este reprezentat de dezvoltarea unui plan strategic coerent, conceput sa asigure o viziune sustenabila de
dezvoltare a mobilitatii urbane durabile în Municipiul Focsani, prin elaborarea Planului de Mobilitate Urbana Durabila, astfel încât acestea
sa raspunda nevoilor si exigențelor de finantare pentru perioada de programare a fondurilor europene 2021-2027.                                                               Obiectivele specifice ale proiectului
1. Elaborarea Planului de Mobilitate Urbana Durabila. Obiectivul specific este în corelare cu Activitatea 3, respectiv cu Rezultatul de
proiect 1.
2. Extinderea cunostințelor si abilitaților personalului din Municipiul Focsani în vederea cunoasterii condiționalitaților specifice pentru
perioada de finantare 2021-2027, a arhitecturii programelor operaționale si a oportunitaților de finanțare, a procedurilor de
prioritizare a proiectelor, de monitorizare a implementarii PMUD si de evaluare a rezultatelor acestuia. Obiectivul specific este în
corelare cu Activitatea 4 si cu Rezultatul de proiect 2.</t>
  </si>
  <si>
    <t>Dezvoltarea si consolidarea capacitatii administrative a Municipiului Focsani prin eficientizarea activitatilor de prevenire si combatere a
corupției în administratia publica locala, promovarea eticii si integritații pentru îmbunatațirea performanțelor în activitate, îmbunatațirea
cunostințelor si a competențelor personalului si alesilor locali.
Obiectivele specifice ale proiectului
1. 1. Cresterea gradului de implementare a masurilor de prevenire a corupției si a indicatorilor de evaluare.
2. Cresterea gradului de constientizare a efectelor coruptiei la nivelul personalului din administrația publica locala cât si în
rândul cetațenilor.
3. Îmbunatațirea cunostintelor si a competențelor personalului si alesilor locali în ceea ce priveste masurile anticoruptie.</t>
  </si>
  <si>
    <t>Imbunatatirea implementarii masurilor de prevenire a coruptiei, cresterea eticii si a integritatii in UAT Municipiul Adjud, judetul Vrancea,
regiunea mai putin dezvoltata Sud-Est, prin realizarea de mecanisme si proceduri anticoruptie, in paralel cu consolidarea cunostintelor
personalului privind prevenirea coruptiei si cresterea gradului de constientizare a efectelor coruptiei in randul acestora si al cetatenilor,
contribuind, astfel, la atingerea obiectivului specific al POCA CP 15.
Obiectivele specifice ale proiectului
1. OS 1 Consolidatea integritatii, reducerea vulnerabilitatilor si a riscurilor de coruptie in cadrul institutiei prin analiza, elaborarea,
revizuirea si simplificarea procedurilor operationale administrative in materie de etica si integritate.
2. OS 2 Cresterea eficientei masurilor preventive anticoruptie prin efectarea de sondaje privind perceptia în rândul cetatenilor si al
personalului din cadrul administratiei publice.
3. OS 3 Cresterea gradului de constientizare a publicului si societatii civile cu privire la impactul fenomenului coruptiei, prin derularea
unei campanii de constientizare publica si promovarea bunelor practici anticoruptie;
4. OS 4 Imbunatatirea cunostintelor si competentelor unui numar de 70 de persoane din cadrul UAT Municipiul Adjud, personal de
conducere si executie si alesi locali din primarie privind masurile de prevenire a coruptiei, transparentei, eticii si integritatii.</t>
  </si>
  <si>
    <t xml:space="preserve">Consolidarea capacitatii administrative a UAT Judetul Vrancea, din regiunea mai putin dezvoltata Sud-Est, pentru sustinerea unui
management calitativ si performant prin implementarea si utilizarea sistemului unitar de managenent al calitatii si performantei CAF, în
concordanta cu ”Planul de actiuni pentru implementarea etapizata a managementului calitatii în autoritati si institutii publice 2016-2020”.
Obiectivele specifice ale proiectului
1. OS1: Implementarea si utilizarea instrumentului de management al calitatii si performantei CAF (Cadrul comun de autoevaluare a
modului de functionare a institutiilor publice) la nivelul UAT Judetul Vrancea pentru sustinerea schimbarii in vederea obtinerii de
performanta, de îmbunatatire a modului de realizare a activitatilor si de prestare a serviciilor publice.
2. OS2: Imbunatatirea competentelor profesionale si certificarea unui numar de 45 persoane din cadrul UAT Judetul Vrancea.
Formarea/instruirea specifica in vederea implementarii sistemului/instrumentului de management CAF se va realiza ca parte a
procesului de implementare al acestui sistem.
</t>
  </si>
  <si>
    <t>Obiectivul general al proiectului este dezvoltarea unui management performant si facilitarea accesului la servicii de asistenta sociala de
calitate in Municipiul Focsani, prin reducerea birocratiei, cresterea eficientei, transparentei si integritatii serviciilor oferite cetatenilor ca
urmare a implementarii unui Sistem Informatic pentru Accesul la Servicii Sociale (SIASS).
Obiectivele specifice ale proiectului
1. OS1: Simplificarea procedurilor, introducerea de instrumente digitale pentru furnizarea de servicii electronice, accesul rapid la
informatii si reducerea birocratiei pentru beneficiarii serviciilor de asistenta sociala din Municipiul Focsani prin implementarea
Sistemului Informatic pentru Accesul la Servicii Sociale(SIASS).
2. OS2. Dezvoltarea cunostintelor si abilitatilor profesionale pentru 50 de persoane din GT pentru operarea si administrarea SIASS.
Formarea celor 50 de persoane va cuprinde un modul de dezvoltare durabila, egalitate de sanse, nediscriminare si egalitate de
gen.</t>
  </si>
  <si>
    <t>Obiectivul proiectului vizeaza consolidarea capacitatii institutionale si eficientizarea activitatii la nivelul UAT Municipiul Adjud în ceea ce
priveste exercitarea atributiilor prevazute de OUG 57/2019 privind Codul Administrativ prin implementarea de masuri pentru îmbunatatirea
procesului decizional si a planificarii strategice si de digitalizare menite sa ajute la cresterea performantei institutiei, stabilirea unor criterii
de performanta, standardizarea modului de lucru si a activitatilor specifice, implementarea unor instrumente de monitorizare si evaluare a
rezultatelelor/indicatorilor în etape intermediare/finale, la cresterea gradului de interoperabilitate a sistemelor informatice si interconectarea cu ceilaltti actori care opereaza sisteme informatice compatibile, atât din perspectiva back-office, cât si din perspectiva front office.
Obiectivele specifice ale proiectului
1. Crearea de mecanisme, instrumente si proceduri standard pentru fundamentarea deciziilor si planificarea strategica pe termen
mediu si lung în Municipiul Adjud, prin elaborarea Planului Anual de Lucru al Consiliului Local si a Strategiei de management si
dezvoltare a institutiei Primaria Municipiului Adjud si proiectarea unui proces de management eficient, care sa corespunda
nevoilor institutiei.
2. Implementarea sistemelor de management al performantei - Balanced Scorecard (BSC) si calitatii - Common Assesment
Framework CAF care sa permita Municipiului Adjud sa implementeze si sa monitorizeze implementarea obiectivelor strategice
3. Optimizarea procedurilor administrative interne în raport cu beneficiarii serviciilor publice, în scopul reducerii birocratiei, prin
implementarea unui ecosistem digital integrat si dezvoltarea abilitatilor personalului prin participarea la programe de instruire în
vederea utilizarii si administrarii solutiilor informatice implementate</t>
  </si>
  <si>
    <t xml:space="preserve">Obiectivul general al proiectului este creșterea nivelului de informare si accesibilitate a serviciilor oferite cetățenilor din grupuri vulnerabile din mediul urban: femei, tineri, persoane din grupuri vulnerabile, comunități marginalizate, si a altor cetățeni, de catre sistemul judiciar, cu ajutorul tehnologiei. Acesta este in concordanta cu Obiectivul specific 2.3. al programului, Asigurarea unei transparențe si integrități sporite la nivelul sistemului judiciar în vederea îmbunătățirii accesului si a calitatii serviciilor furnizate la nivelul acestuia.
Obiectivele specifice ale proiectului
1. OS1. Creșterea accesului la justiție a 200 de cetățeni din mediul urban: tineri, femei, persoane care fac parte din grupuri vulnerabile, comunități marginalizate sau alți cetățeni care au nevoie de reformare, educare si consiliere in domeniul accesului la servicii oferite de sistemul juridic, prin derularea unei campanii de informare/educație juridica, prin utilizarea unor metode inovative si cu ajutorul tehnologiei, in cadrul caravanei “Justiție pentru toți”.
2. OS2. Accelerarea dezvoltării si diversificării paletei de servicii de informare, educare si consiliere juridica adecvate nevoilor cetățeanului din mediul urban, prin cooperare cu autoritari ale administrației publice locale si cu societatea civila prin organizarea unui “Accelerator pentru Justiție - Centrul real si virtual de resurse pentru accesul accelerat la justiție”, care sa acopere nevoile de informare, educare si consiliere in perioada de implementare a minim 100 de cetățeni: tineri, femei, persoane care fac parte din grupuri vulnerabile, comunități marginalizate sau alti cetățeni care au nevoie de informare, educare si consiliere in domeniul accesului la servicii oferite de sistemul juridic.
3. OS3. Promovarea si consolidarea cu ajutorul tehnologiei a metodelor alternative de soluționare a litigiilor prin crearea si dezvoltarea in acord cu nevoile identificate in mediul urban a unui “Portal interactiv de metode alternative de soluționare a litigiilor” pentru promovarea si consolidarea cu ajutorul tehnologiei a metodelor alternative de soluționare a litigiilor, prin derularea de campanii de informare si consiliere on-line a beneficiarilor actului de justiție: minim 50 de persoane, pe parcursul
implementarii-cetateni din mediul urban: tineri, femei, persoane care fac parte din grupuri vulnerabile, comunitati marginalizate sau alti cetățeni care au nevoie de informare, educare si consiliere in domeniul accesului la servicii oferite de sistemul juridic.
</t>
  </si>
  <si>
    <t>Obiectivul general al proiectului este cresterea nivelului de informare si accesibilitate a serviciilor oferite cetatenilor din mediul rural de
catre sistemul judiciar, cu ajutorul tehnologiei. Acesta este in concordanta cu Obiectivul specific 2.3. al programului, Asigurarea unei
transparente si integritati sporite la nivelul sistemului judiciar în vederea îmbunatatirii accesului si a calitatii serviciilor furnizate la nivelul
acestuia, corespunzator Axei prioritare 2: Administratie publica si sistem judiciar accesibile si transparente.
Obiectivele specifice ale proiectului
1. OS1. Cresterea accesului la justitie a 200 de cetateni din mediul rural care au nevoie de informare, educare si consiliere in
domeniul accesului la servicii oferite de sistemul juridic, prin derularea unei campanii de informare/educatie juridica, prin utilizarea
unor metode inovative si cu ajutorul tehnologiei, in cadrul caravanei “Justitie pentru sate”.
2. OS2. Accelerarea dezvoltarii si diversificarii paletei de servicii de informare, educare si consiliere juridica adecvate nevoilor
cetateanului, prin cooperare cu autoritati ale administratiei publice locale si cu societatea civila prin organizarea unui
“Acceleratorului pentru Justitie in mediul rural- Centrul real si virtual de resurse pentru accesul accelerat la justitie pentru mediul
rural” , care sa acopere nevoile de informare, educare si consiliere in perioada de implementare a minim 100 de cetateni din
mediul rural care au nevoie de informare, educare si consiliere in domeniul accesului la servicii oferite de sistemul juridic.
3. OS3. Promovarea si consolidarea cu ajutorul tehnologiei a metodelor alternative de solutionare a litigiilor prin crearea si
dezvoltarea unui “Portalului interactiv de metode alternative de solutionare a litigiilor pentru mediul rural”, pentru promovarea si
consolidarea cu ajutorul tehnologiei a metodelor alternative de solutionare a litigiilor, prin derularea de campanii de informare si
consiliere on-line a beneficiarilor actului de justitie: minim 50 de persoane, pe parcursul implementarii-cetatenidin mediul rural,
care fac parte din comunitati marginalizate sau alti cetateni din mediul rural care au nevoie de informare, educare si consiliere in
domeniul accesului la servicii oferite de sistemul juridic.</t>
  </si>
  <si>
    <t>Obiectivul general al proiectului este atat de a sprijini populatia din mediul rural in procesul de identificare si de intelegere a drepturilor
cetatenilor conform legislatiei in vigoare precum si de a imbunatatii si facilita accesul romanilor la serviciile de mediere si asistenta juridica.
Obiectivele specifice ale proiectului
1. 1 Mediatizarea si diseminarea in trei comune din judetul Cluj a informatiilor cu privire la prevederile introduse de noile coduri
privind drepturile cetatenilor, si in special ale grupurilor dezavantajate. Acest obiectiv urmeaza a fi implementat prin Activitatea A2.
2. 4. Cresterea accesului comunitatii la justitie Acest obiectiv urmeaza a fi implementat prin Activitatea A2, Activitatea A3 si
Activitatea A4.
3. 3.Promovarea medierii ca metoda alternativa de solutionare a litigiilor. Acest obiectiv urmeaza a fi implementat prin Activitatea A4.
4. 2. Transpunerea intr-un limbaj uzual a informatiilor juridice de maxim interes pentruy cetatenii din mediul rural. Acest obiectiv
urmeaza a fi implementat prin Activitatea A3</t>
  </si>
  <si>
    <t>Obiectivul general al proiectului este acela de a consolida capacitatea Federatiei Zonelor Metropolitane si Aglomerarilor Urbane din
Romania de a se implica in formularea si promovarea dezvoltarii la nivel local de tip urban si metropolitan la nivelul a cinci municipii
resedinta de judet din Romania.
Obiectivele specifice ale proiectului
1. Instruirea unui grup format din 28 de persoane în domeniul planificarii strategice si managementului de proiect, care va contribui
la introducerea de sisteme si standarde comune în administratia publica locala ce optimizeaza procesele orientate catre
beneficiari în concordanta cu SCAP, prin pregatirea persoanelor cu responsabilitati în domeniu, pentru dezvoltarea competentelor
specifice dezvoltarii de tip metropolitan.
2. Elaborarea unui GHID privind dezvoltarea de tip metropolitan, axat pe principalele dimensiuni ale acesteia (planificare teritoriala,
transport public, incluziune sociala, dezvoltare economica).
3. Organizarea a 4 ateliere digitale privind dezvoltarea metropolitana.</t>
  </si>
  <si>
    <t>Obiectivul general este cresterea capacitatii organizatiilor non-guvernamentale si partenerilor sociali din municipiul Iasi de a se implica in
formularea, dezvoltarea si implementarea conceptului de smart health ca prioritate verticala a politicii locale de smart city
Obiectivele specifice ale proiectului
1. Obiectivul specific 1 - Dezvoltarea unui mecanism colaborativ si participativ de lucru in domeniul politicilor publice locale de smart
health intre autoritatea publica locala, reprezentanti ai organizatiilor neguvernamentale/parteneri sociali din municipiul Iasi, PDL
IASI SMART HEALTH CITY, pana in anul 2022
2. Obiectivul specific 2 - Imbunatatirea nivelului de informare pentru 50 de reprezentanti ai organizatiilor neguvernamentale, ai
partenerilor sociali si institutiilor publice locale din municipiul Iasi cu privire la instrumentele, aplicatiile si beneficiile domeniului
smart health, in contextul strategiilor si proiectelor locale, pana in anul 2022
3. Obiectivul specific 3 - Cresterea gradului de implicare a comunitatii locale in identificarea de propuneri in domeniul smart health,
prin colectarea a cel putin 15 propuneri de initiative, pana in anul 2022</t>
  </si>
  <si>
    <t>Obiectivul general al proiectului ACTIV-D este dezvoltarea unor standarde comune pentru administratiile publice din teritoriul metropolitan
Brasov referitoare la analiza, evaluarea si luarea deciziilor asociate politicilor publice de mobilitate durabila în vederea asigurarii unei
implementari unitare si coerente a politicilor si proiectelor de mobilitate urbana.                                                                                                                                             Scopul proiectului este dezvoltarea si consolidarea capacitatii AMDDTPBv de a-si asuma rolul de facilitare a dialogului dintre autoritatile
publice si comunitatea locala în sectorul mobilitatii urbane durabile.                                                                                                                                                                           Obiectivele specifice ale proiectului
1. OS1 - Dezvoltarea abilitatilor si competentelor transversale cu caracter inovativ care pot facilita / optimiza dialogul între actorii
relevanti în domeniul mobilitatii cu efecte directe asupra nivelului de implicare în elaborarea, implementarea, monitorizarea si
evaluarea politicilor publice la nivel local.                                                                                                                                                                     2. OS2 - Elaborarea unui set de standarde de analiza, evaluare si luare a deciziei în domeniul mobilitatii urbane durabile pe baza de
date si input-uri relevante, într-o maniera colaborativa- participativa.</t>
  </si>
  <si>
    <t>Proiectul îsi propune evaluarea si consolidarea capacitatii de dezvoltare a ecosistemului de bioeconomie inteligenta în judetul Covasna
pentru o dezvoltare sustenabila prin implicarea comunitatilor locale, actorilor economici si a administratiei publice locale.
Obiectivele specifice ale proiectului
1. Promovarea dezvoltarii la nivel local prin cresterea implicarii partenerilor sociali în procesele de elaborare si implementare a
strategiilor nationale/regionale în domeniul bioeconomiei.
2. Stabilirea în comun a unor proceduri de derulare a mecanismelor de consultare a autoritatilor si institutiilor publice cu ONG-urile,
partenerii sociali precum si a cetatenilor în elaborarea politicilor la nivel local cu impact asupra dezvoltarii bioeconomiei
inteligente.
3. Cresterea gradului de cunoastere si constientizare a importantei domeniului bioeconomiei prin activitati de formare profesionala
pentru membrii societatii civile si parteneri sociali si prin organizarea unei campanii de informare la nivel judetean</t>
  </si>
  <si>
    <t>Cresterea implicarii asociatiei ASTRICO Nord-Est în elaborarea si promovarea unui cadru de dezvoltare al economiei locale în vederea
facilitarii unei tranzitii rapide si eficiente catre o economie competitiva bazata pe inovare sociala si grad ridicat de pregatire al fortei de
munca
Obiectivele specifice ale proiectului
1. Determinarea situatiei actuale legate de competitivitatea la nivel local prin elaborarea unei analize diagnostic
2. Crearea unui mecanism institutionalizat de colaborare la nivel local între mediul de afaceri, autoritati publice locale si societatea
civila pentru armonizarea politicilor, strategiilor si actiunilor în domeniul formarii profesionale cu cerintele specifice pietei muncii
în orasul Piatra Neamt.
3. Cresterea capacitatii Asociatiei ASTRICO Nord-Est prin obtinerea de competente în domeniile planificarii strategice, politicilor
publice si comunicarii organizationale în vederea unei mai bune implicari în politicile de dezvoltare locala</t>
  </si>
  <si>
    <t>Consolidarea capacitatii ONG-urilor si partenerilor sociali de a se implica în formularea si promovarea dezvoltarii la nivel local, prin
introducerea de sisteme si standarde comune în administratia publica locala ce optimizeaza procesele orientate catre beneficiari în
concordanta cu SCAP.
Obiectivele specifice ale proiectului
1. OS1 - Cresterea gradului de implicare civica a cetatenilor din Orasul Miercurea Sibiului in procesul de elaborarea, monitorizarea
si evaluarea politicilor si strategiilor adoptate la nivel local
2. OS2 - Dezvoltarea capacitatii de participare publica in randul ONG-urilor si partenerilor sociali din Orasul Miercurea Sibiului, prin
dezvoltarea a min 7 parteneriate între ONG-uri/parteneri sociali si autoritati locale, functionale cel putin 6 luni dupa finalizarea
proiectului
3. OS3 - Cresterea gradului de colaborare intre ONG-uri, parteneri sociali si personalul autoritatilor publice din Orasul Miercurea
Sibiului, prin implementarea unui mecanism de consultare a autoritatilor si institutiilor publice cu ONG-urile, partenerii sociali si
implicarea cetatenilor în elaborarea, monitorizarea si evaluarea politicilor si strategiilor adoptate la nivel local</t>
  </si>
  <si>
    <t>Obiectivul general al proiectului consta in dezvoltarea de proceduri si mecanisme pentru sustinerea si promovarea dezvoltarii la nivel local
si de interactiune cu autoritatile si institutiile administratiei publice, precum si in dezvoltarea capacitatii partenerilor sociali si a ONG-urilor
prin instruirea reprezentantilor structurilor asociative, ale autoritatilor administratiei publice locale, precum si instruirea alesilor locali             Obiectivele specifice ale proiectului
1. OS 1. Cresterea gradului de monitorizare si evaluare a proceselor decizionale, prin elaborarea unei metodologii si a unui raport
de evaluare a politicilor publice care cuprinde si un set de indicatori de monitorizare a acestora, in cadrul administratiei publice
locale.
2. OS 2. Imbunatatirea, stimularea si consolidarea dialogului social si a interactiunii intre ong-uri/actori sociali relevanti si autoritatile
publice, prin organizarea unui numar de 3 workshopuri, in vederea cresterii implicarii acestora in formularea si imbunatatirea
politicilor publice in domeniul administratiei publice locale.
3. OS 3. Cresterea capacitatii a minim 5 ONG-uri de profil si a unui numar de minim 2 parteneri sociali si autoritati publice locale, de
a se implica în formularea si promovarea de propuneri alternative la politicile publice tinand cont de egalitate de sanse, dezvoltare
durabila si responsabilitate sociala.
4. OS 4. Dezvoltarea capacitatii a 40 de persoane (25 reprezentanti ONG-uri si/sau parteneri sociali, 15 reprezentanti ai
autoritatilor/institutiilor publice) voluntari din ONG-uri si actori sociali, dar si angajati UAT si alesi locali, in formularea de propuneri
alternative la politicile publice initiate de Guvern prin instruire specifica.
5. OS 5. Sporirea vizibilitatii si promovarea instrumentelor de monitorizare si evaluare independenta a politicilor si strategiilor la nivel
local.
6. OS 6. Sprijinirea de initiative de dezvoltare a responsabilitatii civice, de implicare a comunitatilor locale în viata publica si de
participare la procesele decizionale, de promovare a egalitati de sanse si nediscriminarii, precum si a dezvoltarii durabile.</t>
  </si>
  <si>
    <t>Obiectivul general al proiectului “O sansa pentru fiecare” consta în cresterea capacitatii organizationale a SNCRR Filiala Arad de a se
implica în formularea unui standard comun de pregatire si interventie la nivelul comunitatii si totodata dezvoltarea la nivel local a unei
retele de voluntari in Municipiul Arad, ce vin in sprijinul comunitatii in situatie de criza. Prin activitatile propuse, SNCRR Filiala Arad isi va
extinde aria de interventie si va multiplica activitatile cu impact pozitiv in comunitate, precum si initiative care îsi propun cresterea implicarii cetatenilor în comunitate si în procesul de luare a deciziilor.
Scopul proiectului vizeaza un instrument eficient si sustensabil la nivelul comunitatii tinand cont de faptul ca „Voluntariatul ajuta oamenii sa
fie mai activi în rolul lor de membri ai societatii si sa se preocupe de calitatea vietii comunitatii. Implicarea civica duce la cresterea
sentimentelor de apartenenta si solidaritate, dar si la cresterea gradului de implicare a autoritatilor publice locale sau centrale în sustinerea si dezvoltarea comunitatilor.” (extrase din Ghidul privind optimizarea parteneriatului dintre autoritatile publice si mediul asociativ pentru voluntariat „Promotorii Voluntariatului în România”, Program aflat sub patronajul Guvernului României prin Secretariatul General al Guvernului).
Obiectivele specifice ale proiectului
1. OS1. Cresterea capacitatii organizationale a SNCRR Filiala Arad prin construirea unui dialog sustenabil cu societatea civila si
administratia publica;
2. OS2. Cresterea gradului de constientizare a rolului societatii civile in comunitate prin elaborarea unui instrument/ghid de bune
practici privind interventia in situatie de urgenta
3. OS3. Cresterea gradului de pregatire profesionala in domeniul primului ajutor, in vederea asigurarii unui grad ridicat de interventie
in comunitate;
4. OS4. Cresterea premiselor de colaborare ale comunitatii si participarea/implicarea acesteia în procesul de luare a deciziilor;
5. OS5. Dezvoltarea retelei de voluntari in Municipiul Arad prin incheierea a minim 50 de contracte de voluntariat;
6. OS6. Cresterea gradului de constientizare privind egalitatea de sanse si nediscriminarea in in comunitate precum si a protectiei
mediului prin promovarea obiectivelor de dezvoltare durabila</t>
  </si>
  <si>
    <t>Consolidarea capacitatii organizatiilor non-guvernamentale si cetatenilor din Comuna Aricestii Rahtivani, Judetul Prahova, de a se implica
în formularea si promovarea dezvoltarii la nivel local.
Obiectivele specifice ale proiectului
1. Cresterea capacitatii Asociatiei Centrul de Resurse Apollo in vederea atragerii si formarii in dezvoltare comunitara a minim 12
tineri voluntari din Comuna Aricestii Rahtivani, pe perioada proiectului si a minim 6 luni de la finalizarea acestuia
2. Cresterea gradului de participare publica in randul a 100 cetateni din Comuna Aricestii Rahtivani, pe perioada proiectului si a
minim 6 luni de la finalizarea acestuia
3. Cresterea gradului de informare in dezvoltare comunitara si participare publica pentru minim 100 cetateni/membri ONG din
Comuna Aricestii Rahtivani pe perioada proiectului si a minim 6 luni de la finalizarea acestuia</t>
  </si>
  <si>
    <t>Obiectivul general al proiectului este de a consolida capacitatea organizatiilor non-guvernamentale de si pentru tineret de a se implica în
formularea si promovarea dezvoltarii la nivel local în domeniul tineretului (adresata tinerilor) la nivelul judetului Hunedoara si Sibiu.
Obiectivele specifice ale proiectului
1. Dezvoltarea a cel putin 20 parteneriate pentru dezvoltare locala în domeniul tineretului între UAT-uri si ONG-uri la nivelul judetului
Hunedoara si Sibiu pâna la finalul proiectului
2. Participarea a cel putin 100 de persoane (voluntari, membri, colaboratori, angajati) din cadrul ONG-urilor si partenerilor sociali
precum si din reprezentanti (alesi/functionari publici) ai autoritatilor publice în activitatile educationale (de formare) desfasurate în
cadrul proiectului
3. Participarea a cel putin 40 de persoane (voluntari, membri, colaboratori, angajati) din cadrul ONG-urilor si partenerilor sociali
precum si din reprezentanti (alesi/functionari publici) ai autoritatilor publice în activitatile de mentorat desfasurate în cadrul
proiectului.
4. Realizarea a cel putin unei cercetari privind nevoile tinerilor si a unei cercetari calitative de identificare a cooperarilor dintre ONGurilor
de/pentru tineret si autoritatile publice la nivelul judetului Sibiu si Hunedoara.
5. Promovarea cooperarii între autoritatile publice si ONG-urile de/pentru tineret la nivelul judetului Timis, prin dezvoltarea unui ghid
de bune practici care s-au desfasurat/se desfasoara la nivelul judetului Hunedoara si Sibiu</t>
  </si>
  <si>
    <t>Obiectivul general al proiectului consta in dezvoltarea de proceduri si mecanisme pentru sustinerea si promovarea dezvoltarii la nivel local
si de interactiune cu autoritatile si institutiile administratiei publice, precum si in dezvoltarea capacitatii partenerilor sociali si a
ONG-urilor prin instruirea reprezentantilor structurilor  asociative, ale autoritatilor administratiei publice locale, precum si instruirea alesilor locali.                                                                                                                                                                                                                                                                                                         OS 1. Cresterea gradului de monitorizare si evaluare a proceselor decizionale, prin elaborarea unei metodologii si a unui raport
de evaluare a politicilor publice care cuprinde si un set de indicatori de monitorizare a acestora, in cadrul administratiei publice
locale.
OS 2. Imbunatatirea, stimularea si consolidarea dialogului social si a interactiunii intre ong-uri/actori sociali relevanti si autoritatile
publice , prin organizarea unui numar de 3 workshopuri , in vederea cresterii implicarii acestora in formularea si imbunatatirea
politicilor publice in domeniul administratiei publice locale.
 OS 3. Cresterea capacitatii a minim 5 ONG-uri de profil si a unui numar de minim 2 parteneri sociali si autoritati publice locale, de
a se implica în formularea si promovarea de propuneri alternative la politicile publice tinand cont de egalitate de sanse, dezvoltare
durabila si responsabilitate sociala.
 OS 4. Dezvoltarea capacitatii a 40 de persoane (25 reprezentanti ONG-uri si/sau parteneri sociali, 15 reprezentanti ai
autoritatilor/institutiilor publice) voluntari din ONG-uri si actori sociali, dar si angajati UAT si alesi locali, in formularea de propuneri
alternative la politicile publice initiate de Guvern prin instruire specifica.
OS 5. Sporirea vizibilitatii si promovarea instrumentelor de monitorizare si evaluare independenta a politicilor si strategiilor la
nivel local.
 OS 6. Sprijinirea de initiative de dezvoltare a responsabilitatii civice, de implicare a comunitatilor locale în viata publica si de
participare la procesele decizionale, de promovare a egalitati de sanse si nediscriminarii, precum si a dezvoltarii durabile.</t>
  </si>
  <si>
    <t>Obiectivul general al proiectului este consolidarea capacitatii ASOCIA?IEI INEDITRAVEL de a se implica în formularea si promovarea
dezvoltarii la nivel local în comuna Vladesti, prin actiuni de consolidare a capacitatii interne, prin îmbunatatirea capacitatii de a-si extinde
aria de interventie si de a multiplica activitatile cu impact pozitiv, precum si prin initiative care îsi propun cresterea implicarii cetatenilor în
comunitate si în procesul de luare a deciziilor la nivel local.
Obiectivele specifice ale proiectului
1. Dezvoltarea proceselor partcipative la nivelul comunei Vladesti pornind de la nevoile comunitatii locale
2. Dezvoltarea unui instrument sub forma unei platforme online, pentru sustinerea si promovarea dezvoltarii la nivel local si de
interactiune cu autoritatile si institutiile administratiei publice
3. Implementarea unui mecanism de consultare a autoritatilor si institutiilor publice cu ONG-urile si cetatenii în vederea selectarii
prioritatilor de dezvoltare la nivel local
4. Crearea unui mecanism online independent de monitorizare a implementarii Strategiei de dezvoltare locala a comunei Vladesti
5. Promovarea unor actiuni de consolidare a dialogului social si civic sub forma întâlnirilor cetatenesti si a platformei online
6. Aplicarea lectiilor invatate din exemplele de buna practica identificate pe parcursul vizitei de studiu
7. Sustinerea unor activitati întreprinse în comun, a participari la retele tematice europene referitoare la promovarea unei cetatenii
active
8. Dezvoltarea capacitatii interne a Asociatiei INEDITRAVELsi a capacitatii locale prin instruiri in ceea ce priveste mecanismele
participarii cetatenesti, metode si instrumente moderne de implicare cetateneasca in procesul de luare a deciziilor, precum si
aspecte legislative in domeniu</t>
  </si>
  <si>
    <t>Consolidarea capacitatii ONG-urilor si partenerilor sociali din Ploiesti de a evalua nevoile femeilor însarcinate si familiilor din care fac
parte, precum si a tinerelor si tinerilor care devin parinti în adolescenta (pâna la vârsta de 18 ani) în contextul pandemiei/ post-pandemic.
În acord cu scopul cererii de propuneri de proiecte, proiectul dezvolta mecanisme de monitorizare, evaluare, consultare, dialog social si
responsabilizare pe teme ca: depistarea precoce a sarcinii, monitorizarea sarcinii, îngrijirile pre si post natale, preventia nasterilor
premature, nasterea în siguranta, monitorizarea sarcinilor la risc ca urmare a infectiei SARS-COV-2 si a altor probleme de sanatate sau
socio-economice, vaccinarea în contextul pandemic, alaptarea si îngrijirea nou-nascutului etc. Proiectul raspunde scopului propus prin
ghidul solicitantilor întrucât dezvolta mecanisme de consulare cu cetatenii si cu organizatiile neguvernamentale si formuleaza un raport de
politici publice în domeniul sanatatii materne.
Obiectivele specifice ale proiectului
1. Dezvoltarea si implementarea, în urmatorul an, a doua instrumente de consultare publica în domeniul sanatatii materne prin
intermediul carora 100 de persoane sa participe în procesul de fundamentare si luare a deciziilor de politica publica
2. Dezvoltarea capacitatii de colaborare inter-institutionala prin formarea, în urmatorul an, a 15 persoane în domeniul participarii
publice pentru sanatatea materna</t>
  </si>
  <si>
    <t>Obiectivul general al proiectului este consolidarea capacitatii organizatiilor non-guvermanetale si a partenerilor sociali de a se implica în
formularea si promovarea la nivel local printr-un program integrat de crestere a nivelului de cunoastere cu privire la reducerea risipei
alimentare, prin 6 parteneriate de dezvoltare locala pentru 300 persoane în judetul Olt si o platforma online educationala, în termen de 14
luni
Obiectivele specifice ale proiectului
1. O1. Dezvoltarea a trei instrumente care sa sprijine administratia publica locala în elaborarea si implementarea de politici publice
în domeniul compostului si al combaterii risipei alimentare prin realizarea si diseminarea lui 1 ghid privind indicatorii de realizare
a legii compostului si reducerii risipei alimentare,1 ghid privind dezvoltarea durabila pentru operatorii economici din domeniul
turismului si 1 ghid privind dezvoltarea durabila pentru pentru populatia comunitatii, pana in noiembrie 2022.
2. O2. Realizarea unei campanii integrate de dezvoltare a capacitatii prin parteneriat cu doua componente: formularea si
promovarea dezvoltarii la nivel local prin dezvoltarea de mecanisme, procedure, instrumente de consolidare a dialogului social si
civic, organizand o 1 masa rotunda pe tema legii compostului si 1 expozitie tehnologica, ale caror rezultate se vor integra in
documentele de la O1 si 12 sesiuni de informare la nivelul populatiei comunitatii locale ai fiecarui partener de dezvoltare locala
(230 persoane), pe o perioada de 6 luni
3. O3. Cresterea capacitatii FPIMM si AST de a se implica in formularea si promovarea dezvoltarii la nivel local prin realizarea unor
programe pentru personalul propriu de formare/instruire de 5 zile finalizate cu certificate in protectia mediului pentru 14 persoane.
4. O4: Cresterea capacitatii FPIMM si AST de a se implica in formularea si promovarea dezvoltarii la nivel local prin realizarea unor
programe de formare de 5 zile implementate in parteneriat cu autoritati publice pentru 84 participanti certificati in protectia
mediului (alesi locali, personal din autoritatile si institutiile publice si cetateni)
5. O5: Implicarea in formularea si promovarea dezvoltarii la nivel local prin implementarea in partenereriat de initiative de
dezvoltare a responsabilitatii civice, de implicare a comunitatilor locale in viata publica si de participare la procesele decizionale,
de promovare a egalitati de sanse si nediscriminarii, privind a dezvoltarea durabila in mediul online prin implementarea si
diseminarea unei platforme (website) educationala pe tema reducerii risipei alimentare, in termen de 7 luni.</t>
  </si>
  <si>
    <t xml:space="preserve">Strategiei de Dezvoltare Locala a Municipiului Moreni 2021 – 2028.
Obiectivele specifice ale proiectului
1. Cresterea capacitatii ONG-urilor de a se implica în formularea si promovarea dezvoltarii la nivel local.
2. Imbunatatirea colaborarii dintre administratia publica locala si ONGuri în vederea implementarii si monitorizarii strategiei de
dezvoltare locala a municipiului Moreni 2021 - 2028
3. Îmbunatatirea comunicarii si transparentei decizionale si a participarii la luarea deciziilor în municipiul Moreni si zonele adiacente
</t>
  </si>
  <si>
    <t>Consolidarea capacitatii CCINA Constanta si a partenerilor sociali de a se implica în promovarea si implementarea unor activitati pentru
dezvoltarea locala a UAT Tuzla prin valorificarea oportunitatilor existente la nivel local în domeniul turismului, agriculturii si a
interculturalitatii.                                                                                                                                                                                                                                                                                                     OS 1: Dezvoltarea unui mecanism de sustinere si promovare a dezvoltarii locale a UAT Tuzla prin crearea si consolidarea unei
platforme de E-dezvoltare focalizata pe valorificarea oportunitatilor locale din domeniul turismului, al agriculturii si al
interculturalitatii
OS2: Dezvoltarea capacitatii CCINA Constanta de a dialoga si interactiona cu autoritatile si institutiile administratiei publice în
perspectiva dezvoltarii de proceduri si mecanisme pentru pentru sustinerea si promovarea dezvoltarii locale a UAT Tuzla
OS 3: Dezvoltarea unei proceduri de asigurare a sustenabilitatii activitatilor, de masurare a impactului acestora în rândul
cetatenilor UAT Tuzla si cresterea gradului de interactiune a acestora cu institutiile si autoritatile administratiei locale.</t>
  </si>
  <si>
    <t>Obiectivul general al proiectului vizeaza dezvoltarea capacitatii CNIPMMR de a se implica în formularea si promovarea dezvoltarii la nivel
local în aria sa de activitate si expertiza, respectiv reprezentarea unitara si eficace a IMM-urilor, prin dezvoltarea unor politici publice prin
care sa se asigure promovarea exporturilor si atragerea de investitii pentru IMM-uri.
Obiectivele specifice ale proiectului
1. OS1. Dezvoltarea de proceduri, mecanisme pentru sustinerea si promovarea dezvoltarii la nivel local si de interactiune cu
autoritatile si institutiile administratiei publice axate pe promovarea exporturilor si atragerea de investitii în cadrul IMM-urilor.                             2. OS2. Sustinerea capacitatii CNIPMMR si a altor parteneri sociali de a se implica în formularea si promovarea dezvoltarii la nivel
local in domeniul promovarea exporturilor si atragerea de investitii prin derularea unor activitati de formare specifice acestui
domeniu.</t>
  </si>
  <si>
    <t>Cresterea participarii civice si consilidarea capacitatii organizatiilor neguvernamentale de a contribui la dezvoltarea durabila a judetului
Mehedinti atât în faza de fundamentare si elaborare a politicilor si prioritatilor, cât si în faza de implementare, monitorizare si evaluare a
acestora. Proiectul raspunde scopului apelului de propuneri de proiecte întrucât vizeaza consolidarea capacitatilor ONGurile partenere si a
celorlalti actori neguvernamentali ce vor fi implicati în activitati de a participa la formularea si promovarea unor prioritati de dezvoltare
durabila a judetului Mehedinti în acord cu cele 17 obiective de dezvoltare durabila a României. Consolidarea capacitatii se realizeaza prin
multiplicarea initiativelor si implicarea cetatenilor în procesul decizional. Proiectul raspunde si obiectivului specific 2.1. al POCA pentru ca
dezvolta mecanise de monitorizare, implicare/consultare si formare continua.
Obiectivele specifice ale proiectului
1. Dezvoltarea si implementarea a trei de instrumente de responsabilizare (grup civic, rapoarte, platforma) în cadrul relatiei de
cooperare dintre autoritatile administratiei publice locale din judetul Mehedinti si organizatiile neguvernamentale/cetateni în
urmatoarele 14 luni.
2. Implicarea a 300 de cetateni în procesul de stabilire a prioritatilor pentru dezvoltarea durabila la judetului Mehedinti în urmatoarele
14 luni.
3. Dezvoltarea cunostintelor în domeniul dezvoltarii durabile a 50 de persoane în urmatoarele 14 luni</t>
  </si>
  <si>
    <t>Obiectivul general al proiectului “Fii implicat in Colonesti!” consta în cresterea capacitatii organizationale a SNCRR Filiala Bacau de a se
implica în formularea unui standard comun la nivelul comunitatii si totodata dezvoltarea la nivel local a unei retele de voluntari in Comuna
Colonesti, ce vin in sprijinul comunitatii in situatie de criza. Prin activitatile propuse, SNCRR Filiala Bacau isi va extinde aria de interventie
si va multiplica activitatile cu impact pozitiv in comunitate, precum si initiative care îsi propun cresterea implicarii cetatenilor în comunitate
si în procesul de luare a deciziilor.
Obiectivele specifice ale proiectului
1. OS1. Cresterea capacitatii organizationale a SNCRR Filiala Bacau prin construirea unui dialog sustenabil cu societatea civila si
administratia publica;
2. OS2. Cresterea gradului de constientizare a rolului societatii civile in comunitate prin elaborarea unui instrument/ghid de bune
practici privind interventia in situatie de urgenta
3. OS3. Cresterea gradului de pregatire profesionala in domeniul primului ajutor, in vederea asigurarii unui grad ridicat de interventie
in comunitate;
4. OS4. Cresterea premiselor de colaborare ale comunitatii si participarea/implicarea acesteia în procesul de luare a deciziilor;
5. OS5. Dezvoltarea retelei de voluntari in Comuna Colonesti prin incheierea a minim 45 de contracte de voluntariat;
6. OS6. Cresterea gradului de constientizare privind egalitatea de sanse si nediscriminarea in in comunitate precum si a protectiei
mediului prin promovarea obiectivelor de dezvoltare durabila</t>
  </si>
  <si>
    <t xml:space="preserve">Obiectivul proiectului consta în sustinerea Asociatiei de a-si îmbunatati capacitatea de a se implica activ în promovarea dezvoltarii unitare
la nivel local a zonei periurbane Sibiu, zona din care fac parte Comunele Selimbar, Sura Mare, Sura Mica si Rosia prin dezvoltarea unor
instrumente digitale care sa faciliteze implicarea si cooperarea cetatenilor, a agentilor economici, a producatorilor locali, a autoritatilor
locale în dezvoltarea comunitatii si sa asigure transparenta informatiilor de interes public.                                                                                                                      OS1: Implicare activa în promovarea dezvoltarii unitare la nivel local a zonei periurbane Sibiu prin dezvoltarea unui instrument
digital sub forma unei platforme/portal www.zonametropolitana.ro cu diferite functionalitati, la nivel de asociatie, care sa cuprinda
elemente/module ce faciliteaza interactiunea dintre cetateni, alti actori locali si autoritatile publice si care contribuie la cresterea
implicarii acestora in comunitate, în procesul de luare al deciziilor si consolidarea parteneriatului pentru dezvoltare locala - PDL
între cele 4 autoritati locale si Asociatia de Dezvoltare Intercomunitara Zona Metropolitana Sibiu.                                                                                                   OS2: Instruirea unui numar de 6 persoane din cadrul ONG-ului si voluntarii cu care lucreaza, pentru consolidarea capacitatii
interne a Asociatiei Metropolitane Sibiu si instruirea a 4 persoane din cele 4 autoritari locale din cadrul PDL în tematici de
implicare în viata publica locala, precum: animatori comunitari, bugetare participativa, responsabilitate sociala si civica,
instrumente de consolidare a dialogului social si civic, etc                                                                   </t>
  </si>
  <si>
    <t>Consolidarea capacitatii Asociatiei Aladin Deva de a se implica în formularea politicilor locale privind prevenirea parasirii timpurii a scolii, în special în rândul grupurilor dezavantajate de populatie, prin constituirea mai multor parteneriate locale cu autoritati publice de la nivelul
judetului Hunedoara si prin îmbunatatirea capacitatii de interventie a asociatiei, prin formarea/ certificarea membrilor acesteia.
Obiectivele specifice ale proiectului
1. Constituirea a minim patru parteneriate între Asociatia Aladin Deva si autoritati publice locale din judetul Hunedoara, valabile
minim 6 luni dupa încheierea proiectului, în cadrul carora va fi elaborata o strategie locala de prevenire a parasirii timpurii a scolii,
precum si instrumente/ mecanisme specifice de monitorizare si evaluare a acesteia pe termen lung, la nivelul judetului
Hunedoara.
2. Îmbunatatirea capacitatii de interventie a membrilor Asociatiei Aladin Deva, prin participarea unui numar de 15 persoane la cursuri
de formare specifice, finalizate cu certificarea cunostintelor/ competentelor dobândite de acestia pe parcursul activitatilor de
instruire.</t>
  </si>
  <si>
    <t>Obiectivul general al proiectului “Scoala pentru viitor” consta in cresterea capacitatii organizationale a SNCRR Filiala Caras Severin de a
se implica în formularea si promovarea dezvoltarii la nivel local prin dezvoltarea retelei de voluntari in localitatea Toplet ce vin in sprijinul
comunitatii cu scopul de a preveni si reduce fenomenul de abandon scolar. Prin activitatile propuse, SNCRR Filiala Caras Severin isi va
extinde aria de interventie si va multiplica activitatile cu impact pozitiv in comunitate, precum si initiative care îsi propun cresterea implicarii cetatenilor în comunitate si în procesul de luare a deciziilor.                                                                                                                                                                      1. OS1. Cresterea capacitatii organizationale a SNCRR Filiala Caras Severin prin construirea unui dialog sustenabil cu societatea
civila si administratia publica din judet;
2. OS2. Cresterea gradului de constientizare a rolului societatii civile in comunitate;
3. OS3. Cresterea gradului de pregatire profesionala in domeniul primului ajutor in vederea asigurarii unui grad ridicat de interventie
in comunitate, cresterea spiritului civic si mai ales crearea unui cadru prietenos pentru copii in vederea prevenirii abandonului
scolar si reducerii acestuia;
4. OS4. Cresterea premiselor de colaborare ale comunitatii si participarea/implicarea acesteia în procesul de luare a deciziilor;
5. OS5. Crearea si dezvoltarea retelei de voluntari in localitatea Toplet;
6. OS6. Consolidarea parteneriatului intre societatea civila si administratia publica prin actiuni constante de implicare reciproca in
viata comunitatii;
7. OS7. Cresterea gradului de constientizare privind egalitatea de sanse si nediscriminarea in in comunitate precum si a importantei
protejarii mediului prin participarea activa a cetatenilor la dezvoltarea durabila;</t>
  </si>
  <si>
    <t>Proiectul îsi propune sa dezvolte mecanisme, proceduri, instrumente de consolidare a responsabilitatii civice referitoare la modificarile si
evolutiile generate de digitalizarea unor activitati esentiale (educatie scolara, procese administrative, activitati sociale), în contextul
restrictiilor generate de pandemia de Covid-19.
Proiectul va pune accent pe actiuni de combatere a dezinformarii din spatiul online prin intensificarea dialogului civic si derularea unor
interventii sistematice de educatie digitala (”information and digital literacy”) proiectate pentru trei categorii de grup tinta: cadre didactice din licee si scoli gimnaziale (100), personal din ONG-urilor – voluntari si angajati (20) si functionari ai administratiei locale - primarii, consilii
judetene (30).
Obiectivele specifice ale proiectului
1. Dezvoltarea unor instrumente colaborative pentru consolidarea capacitatii digitale si a rezilientei informationale a ONG-urilor si
partenerilor sociali din Municipiul Campulung, in context pandemic si post-pandemic;
2. Echiparea profesorilor din ciclul preuniversitar cu instrumente inovative si competente specifice menite a-i sprijini in gestionarea
proceselor didactice online, inclusiv prin imbunatatirea capacitatii acestora de a-i indruma pe elevi sa adopte un comportament
digital responsabil;
3. Sprijinirea Primariei Municipiului Campulung in dezvoltarea unei strategii locale de redresare si consolidare sociala, in contextul
provocarilor asociate cu pandemia de Covid-19.</t>
  </si>
  <si>
    <t>Obiectivul general al proiectului “Fii pregatit!” consta în cresterea capacitatii organizationale a SNCRR Filiala Iasi de a se implica în
formularea unui standard comun de interventie in situatie de urgenta la nivelul comunitatii si totodata dezvoltarea la nivel local a unei
retele de voluntari in Comuna Plugari, ce vin in sprijinul comunitatii in situatie de criza. Prin activitatile propuse, SNCRR Filiala Iasi isi va
extinde aria de interventie si va multiplica activitatile cu impact pozitiv in comunitate, precum si initiative care îsi propun cresterea implicarii cetatenilor în comunitate si în procesul de luare a deciziilor.                                                                                                                                                                          1. OS1. Cresterea capacitatii organizationale a SNCRR Filiala Iasi prin construirea unui dialog sustenabil cu societatea civila si
administratia publica;
2. OS2. Cresterea gradului de constientizare a rolului societatii civile in comunitate prin elaborarea unui instrument/ghid de bune
practici privind interventia in situatie de urgenta
3. OS3. Cresterea gradului de pregatire in domeniul primului ajutor, in vederea asigurarii unui grad ridicat de interventie in
comunitate;
4. OS4. Cresterea premiselor de colaborare ale comunitatii si participarea/implicarea acesteia în procesul de luare a deciziilor;
5. OS5. Dezvoltarea retelei de voluntari in Comuna Plugari prin incheierea a minim 50 de contracte de voluntariat ;
6. OS6. Cresterea gradului de constientizare privind egalitatea de sanse si nediscriminarea in in comunitate precum si a protectiei
mediului prin promovarea obiectivelor de dezvoltare durabila</t>
  </si>
  <si>
    <t>Obiectivul general al proiectului este dezvoltarea unui set unitar de instrumente pentru consolidarea capacitatii administratiei publice prin
implicarea organizatiilor neguvernamentale in formularea si dezvoltarea la nivel local.
Prin implementarea acestui proiect se doreste asigurarea unei viziuni unitare asupra modului de elaborare, implementare, monitorizare a
politiciilor si strategiilor la nivel local.                                                                                                                                                                                                                                                    1. OS 1 – Intocmirea unei metodologii de evaluare si monitorizare a capacitatii administrative a unitatilor administrativ-teritoriale
2. OS 2 – Intocmirea unei metodologii in vederea sustinerii si promovarii dezvoltarii la nivel local, in special in relatia dintre
autoritatile si institutiile administratiei publice
3. OS 3 – Intocmirea unei metodologii ce are ca scop inlesnirea relatiei dintre autoritatea publica locala cu ONG-uri de profil, institutii
de invatamant acreditate, dar si cu cetatenii, in vederea elaborarii de politici si strategii la nivel local
4. OS 4 – Crearea unei platforme pentru dialogul social si civic
5. OS 5 - Formarea unui numar de 50 de persoane în sfera administratiei publice
6. OS 6 – Organizarea a 3 workshop-uri in vederea dezvoltarii responsabilitatii civice, de implicare a comunitatilor locale in viata
publica</t>
  </si>
  <si>
    <t>Obiectivul general al proiectului este dezvoltarea unui set unitar de instrumente pentru consolidarea capacitatii administratiei publice prin
implicarea organizatiilor neguvernamentale in formularea si dezvoltarea la nivel local.
Prin implementarea acestui proiect se doreste asigurarea unei viziuni unitare asupra modului de elaborare, implementare, monitorizare a
politiciilor si strategiilor la nivel local.                                                                                                                                                                                                                                                     1. OS 1 – Intocmirea unei metodologii de evaluare si monitorizare a capacitatii administrative a unitatilor administrativ-teritoriale
2. OS 2 – Intocmirea unei metodologii in vederea sustinerii si promovarii dezvoltarii la nivel local, in special in relatia dintre
autoritatile si institutiile administratiei publice
3. OS 3 – Intocmirea unei metodologii ce are ca scop inlesnirea relatiei dintre autoritatea publica locala cu ONG-uri de profil, institutii
de invatamant acreditate, dar si cu cetatenii, in vederea elaborarii de politici si strategii la nivel local
4. OS 4 – Crearea unei platforme pentru dialogul social si civic
5. OS 5 - Formarea unui numar de 50 de persoane în sfera administratiei publice
6. OS 6 – Organizarea a 3 workshop-uri in vederea dezvoltarii responsabilitatii civice, de implicare a comunitatilor locale in viata
publica</t>
  </si>
  <si>
    <t>Obiectivul general al proiectului - Capacitate crescuta a minim 30 ONG-urilor atestate ca intreprinderi sociale in baza Legii nr.219/2015 si
a unui partener sociali de a se implica în formularea si promovarea dezvoltarii la nivel local in regiunile Vest, Nord-Vest si Nord-Est
Obiectivele specifice ale proiectului
1. Dezvoltarea si introducerea de sisteme si standarde comune în administratia publica ce optimizeaza procesele decizionale
orientate catre cetateni si mediul de afaceri în concordanta cu SCAP prin implicarea ONG-urilor si partenerilor sociali
2. Formarea a 50 de persoane din 30 de ONG-uri atestate ca intreprinderi sociale si un partener social vor participa la sesiunile de
training si la dezbaterile publice pe marginea formularii si promovarii obiectivelor si strategiilor de dezvoltare locala.
3. 20 persoane din cadrul autoritatilor publice locale in a caror raza teritoriala functioneaza intreprinderi sociale cu rol de sustinere a
intreprinderilor sociale si 10 reprezentanti ai compartimentelor de economie sociala din cadrul AJOFM-urilor din cele 3 regiuni de
implementare, cu rol de certificare si reglementare a intreprinderilor sociale vor participa alaturi de reprezentantii ONG-urilor
atestate ca intreprinderi sociale la mesele rotunde/workshopurile organizate ca activitati intreprinse in comun in cadrul retelei
tematice</t>
  </si>
  <si>
    <t>Obiectiv General: întarirea capacitatilor institutionale, de valorizare a resurselor locale si combaterea discriminarii catre o societate mai
echilibrata si sustenabila în Comuna Ticusu.
Obiectivele specifice ale proiectului
1. Consolidarea relatiile interinstitutionale dintre Asociatia Bun Venit Transilvania si Primaria Comunei Ticusu: prin semnarea unui
parteneriat de dezvoltare locala, pentru a consolida, astfel, capacitatea instalata de interventie teritoriala integrata.
2. Întarirea capacitatii institutionale ale Asociatiei Bun Venit Transilvania si a Primaria Comunei Ticusu: prin consolidarea
cunostiintelor / capacitatilor (capacities) tehnice a resurselor umane din cadrul acestor institutii, precum si prin sensibilizarea
functionarilor publici si ai factorilor de decizie politica, pe probleme precum mediu, dezvoltare durabila si egalitate de sanse, în
raport cu aspecte precum genul, etnia, religia, vârsta si conditia sociala.
3. Contribuirea la valorificarea resurselor locale ale teritoriului: astfel încât aceste resurse sa fie integrate în mod activ în procesul de
dezvoltare economica si sociala prin punerea la dispozitia populatiei mecanisme de învatare a tehnicilor si metodelor, care sa le
permita sa le utilizeze. resurse locale ca intrari si instrumente pentru a depasi saracia si excluziunea.
4. Contribuirea la reducerea excluziunii digitale: contribuind la transmiterea de cunostinte catre populatie, acestia vor putea lupta
împotriva excluziunii digitale, într-o lume din ce în ce mai interconectata.
5. Promovarea, consolidarea si îmbunatatirea sentimentului de apartenenta la teritoriu al comunitatii: prin introducerea
metodologiilor si practicilor de reinterpretare a teritoriului, a frumusetii acestuia si a adevaratului sau potential.
6. Contribuirea la procesul de construire a unei societati mai durabile, corecte si integrate: în care limbajul artistic poate fi folosit si
ca instrument de comunicare si interpretare a lumii, cu respect deplin pentru mediu si sanse egale pentru toti.</t>
  </si>
  <si>
    <t>Dezvoltarea unui mecanism pentru sustinerea si promovarea dezvoltarii la nivel local in domeniul bugetarii participative, ca premisa pentru
imbunatatirea proceselor decizionale si consolidarea relatiei intre comunitatea locala si administratia publica locala din judetul Vrancea.
Obiectivele specifice ale proiectului
1. Obiectiv specific 1. Cresterea competentelor de advocay in domeniul bugetarii participative pentru 90 de participanti (reprezentati
ai ONG-urilor si partenerilor sociali) de la nivel local.                                                                                                                                                                                                                2. Obiectiv Specific 2. Initierea si punerea in functiune a unui mecanism de dialog social pentru sustinerea si promovarea dezvoltarii
la nivel local in domeniul bugetarii participative.</t>
  </si>
  <si>
    <t>Obiectivul general al proiectului este consolidarea capacitatii organizatiilor non-guvermanetale si a partenerilor sociali de a se implica în
formularea si promovarea la nivel local printr-un program integrat de promovare a corelarii politicilor publice locale cu principiile dezvoltarii
durabile in turism, printr-un parteneriat de dezvoltare locala, realizand 3 instrumente de sprijin sustinute de o campanie de consultare
publica cu impact la 300 persoane si formarea a 112 persoane ca expert de dezvoltare durabila, în termen de 14 luni.                                                        1. O1. Dezvoltarea si diseminarea a trei instrumente care sa sprijine administratia publica locala în elaborarea si implementarea de
politici publice în domeniul dezvoltarii durabile privind sectorul turismului (manual orientativ de implementare la nivel local a
activitatilor de monitorizare a indicatorilor dezvoltarii durabile in turism, un ghid pentru agentii economici si un ghid pentru
comunitate privind dezvoltarea durabila in turism), pana in noiembrie 2022
2. O2. Cresterea gradului de informare a comunitatiilor cu privire la dezvoltarea durabila in domeniul turismului si la modalitati de
sustinere a implicarii active pentru 25 persoane prin realizarea unui grup de lucru cu vizibilitate online privind dezvoltarea durabila
in turism la nivelul politicilor locale (cuprinzand temele –ODD si indicatorii de dezvoltare durabila, turism sustenabil, egalitatea de
sanse si nediscriminarea, politici locale privind dezvoltarea durabila in turism, protectia mediului)
3. O3. Cresterea capacitatii ONG-urilor si a partenerilor sociali de a se implica în formularea si promovarea dezvoltarii la nivel local
pentru 30 ONG-uri si parteneri sociali prin realizarea unei campanii de consultare a acestora din regiunile de implementare (3
regiuni) si vizibilitate online privind indicatorii de dezvoltare durabila in turism (o masa rotunda si un chestionar online)
4. O4. Cresterea capacitatii AST si a Asociatiei EURO&lt;26 de a se implica in formularea si promovarea dezvoltarii la nivel local prin
realizarea unor programe pentru personalul propriu de formare/instruire de 5 zile finalizate cu certificare in expert de dezvoltare
durabila pentru 14 persoane.
5. O5: Cresterea capacitatii AST si a Asociatiei EURO&lt;26 de a se implica in formularea si promovarea dezvoltarii la nivel local prin
realizarea unor programe de formare/instruire de 5 zile implementate in parteneriat cu autoritati publice pentru 84 participanti
certificati in expert de dezvoltare durabila (alesi locali, personal din autoritatile si institutiile publice si cetateni).
6. O6: Implicarea in formularea si promovarea dezvoltarii sustenabile la nivel local prin implementarea in partenereriat de initiative
de dezvoltare a responsabilitatii civice, de implicare a comunitatilor locale in viata publica si de participare la procesele
decizionale, de promovare a egalitati de sanse si nediscriminarii, privind a turismul sustenabil in mediul online prin implementarea
si diseminarea unei platforme (website) cu instrument de colectare de date privind indicatorii dezvoltarii durabile in turism, in
termen de 8 luni.
Ne propunem atingerea a doua directii: cresterea constientizarii cu privire la standardizarea si monitorizarea indicatorilor in turism
si oferirea posibilitatii catre ONG-uri si partenerii sociali de raportarea a proiectelor cu impact asupra indicatorilor din turism, cu un
minim de 300 vizualizari pana la finalizarea proiectului.</t>
  </si>
  <si>
    <t>Obiectivul general al proiectului este de a dezvolta si consolida capacitatea ONG-urilor si partenerilor sociali de a se implica in sprijinirea si
dezvoltarea de initiative de dezvoltare a responsabilitatii civice, de implicare a comunitatii locale în viata publica si de participare la
procesele decizionale, avand la baza promovarea principiilor egalitatii de sanse si nediscriminarii, precum si a dezvoltarii durabile.                       1. OS 1 Crearea Monitorului societatii civile cu responsabilitate la nivelul comunitatii Lehliu-Gara si judetului Calarasi, in vederea
implicarii acesteia in sprijinirea si dezvoltarea de initiative de dezvoltare locala
2. OS 2 Constituirea si operationalizarea unui Comitet de responsabilitate civica si implicare locala, care sa reuneasca reprezentanti
ai tuturor actorilor sociali relevanti (societate civila, cetateni, reprezentanti ai autoritatilor locale)
3. OS 3 Crearea unui comitet consultativ local care sa asigure dezvoltarea de mecanisme, proceduri, instrumente de consolidare a
dialogului social si civic
4. OS 4 Dezvoltarea unui instrument de monitorizare si evaluare independenta a politicilor si strategiilor la nivel local
5. OS 5 Dezvoltarea capacitatii partenerilor sociali si a ONG-urilor prin instruiri in domeniul responsabilitatii civice si bunei
guvernante</t>
  </si>
  <si>
    <t>OBIECTIVUL GENERAL (SCOPUL) PROIECTULUI ESTE CRESTEREA CAPACITATII ONG-URILOR SI PARTENERILOR SOCIALI DE
A SE IMPLICA IN FORMULAREA SI PROMOVAREA DEZVOLTARII LA NIVELUL UAT PLOIESTI.                                                                                                                                          OS1. Implicarea partenerilor sociali, ONG-urilor si cetatenilor in formularea si promovarea dezvoltarii la nivelul UAT Ploiesti prin
dezvoltarea si implementarea unui mecanism de consultare timp de 14 luni.                                                                                                                                                        OS2. Dezvoltarea capacitatii partenerilor sociali si ONG-urilor de a se implica in formularea si promovarea dezvoltarii la nivelul
UAT Ploiesti timp de 10 luni prin instruire practica, formare continua a 70 de pers din cadrul ONG-urilor si partenerilor sociali care
vor fi certificati si 2 activitati intreprinse in comun cu autoritati locale si participarea lor la activitatile retelelor nationale si europene.</t>
  </si>
  <si>
    <t>Obiectivul general al proiectului este dezvoltarea unui set unitar de instrumente pentru consolidarea capacitatii administratiei publice prin
implicarea organizatiilor neguvernamentale in formularea si dezvoltarea la nivel local.                                                                                                                                   1. OS 1 – Intocmirea unei metodologii de evaluare si monitorizare a capacitatii administrative a unitatilor administrativ-teritoriale
2. OS 2 – Intocmirea unei metodologii in vederea sustinerii si promovarii dezvoltarii la nivel local, in special in relatia dintre
autoritatile si institutiile administratiei publice
3. OS 3 – Intocmirea unei metodologii ce are ca scop inlesnirea relatiei dintre autoritatea publica locala cu ONG-uri de profil, institutii
de invatamant acreditate, dar si cu cetatenii, in vederea elaborarii de politici si strategii la nivel local
4. OS 4 – Crearea unei platforme pentru dialogul social si civic
5. OS 5 - Formarea unui numar de 50 de persoane în sfera administratiei publice
6. OS 6 – Organizarea a 3 workshop-uri in vederea dezvoltarii responsabilitatii civice, de implicare a comunitatilor locale in viata
publica
7. OS 7 - 12 luni de management si informare si publicitate</t>
  </si>
  <si>
    <t>Dezvoltarea de mecanisme, proceduri si instrumente care sa consolideze dialogul social si civic.
Obiectivele specifice ale proiectului
1. OS 1. - Dezvoltarea unui set de indicatori de monitorizare a dialogului social si civic
2. OS 2. - Dezvoltarea si implementarea unui instrument de consolidare a dialogului social si civic în toate domeniile de interes,
domeniul administratiei publice, domeniul muncii, dezvoltarii locale.</t>
  </si>
  <si>
    <t>Consolidarea capacitatii Fundatiei Zamolxes în vederea atragerii de membri si voluntari pentru cresterea implicarii cetatenilor în
dezvoltarea comunitatii locale a Municipiului Câmpina, oferind tuturor vârstelor si grupurilor sociale oportunitatea de a se implica în actiuni
voluntare, initiative care contribuie la promovarea si respectarea valorilor democratice si a drepturilor omului.
Obiectivele specifice ale proiectului
1. OS1: Realizarea unui parteneriat de dezvoltare locala între Fundatia Zamolxes si Unitatea Administrativa Teritoriala a Municipiului
Câmpina pe o perioada de 14 luni în perioada de implementare a proiectului si înca 6 luni dupa finalizarea proiectului.
2. OS2: Îmbunatatirea competentelor profesionale a 100 de voluntari ai Fundatiei Zamolxes privind cetatenia activa.
3. OS3: Elaborarea unor instrumente de comunicare si consultare a comunitatii locale cu privire la initiative de dezvoltare locala a
Municipiului Câmpina.
4. OS4: Derularea unei Campanii privind dezvoltarea cetateniei active în Municipiul Câmpina pe toata perioada de implementare a
proiectului.</t>
  </si>
  <si>
    <t>Consolidarea capacitatii Asocitiei de Dezvoltare Intercomunitara Zona Metropolitana Drobeta Turnu Severin în vederea atragerii de
membri si voluntari pentru cresterea implicarii cetatenilor în dezvlotarea comunitatii locala a Zonei Metropolitane Drobeta Turnul Severin,
oferind tuturor vârstelor si grupurilor sociale oportunitatea de a se implica în actiuni voluntare, initiative care contribuie la promovarea si
respectarea valorilor democratice si a dreptului omului.
Obiectivele specifice ale proiectului
1. OS1: Realizarea unui parteneriat de dezvolotarea locala între A.D.I. Zona Metropolitana Drobeta Turnu Severin si UAT Dorbeta-
Turnu Severin, Consiliul Judetean Mehedinti, UAT Orsova, UAT Simian, UAT Breznita , UAT Malovat, UAT Izvorul Birzii UAT
Prunisor, Fundatia Zamolxes pe o perioada de 14 luni în perioada de implementare a proiectului si înca 6 luni dupa finalizarea
proiectului.
2. OS2: Elaborarea unor instrumente de comunicare si consultare a comunitatii locale cu privire la initiative de dezvoltare locala a
Zonei Metropolitane Drobeta Turnu Severin</t>
  </si>
  <si>
    <t>Scopul proiectului este dezvoltarea procesului de consultare multi-actori si a capacitatii ecosistemului institutional si uman relevant pentru
Învatamântul Profesional si Tehnic (ÎPT) din Municipiile Piatra Neamt si Resita de a dialoga eficient, propune politici publice si a gasi solutii
pentru o mai buna integrare socio-profesionala a tinerilor absolventi ÎPT.
Obiectivele specifice ale proiectului
1. Dezvoltarea dialogului institutional de la nivelul Municipiilor Piatra Neamt si Resita prin evaluarea dialogului multi-actori si a
capacitatii ONG-urilor si a actorilor locali relevanti (parteneri sociali, licee ÎPT, AJOFM, ISJ) de a fi parte din procesele decizionale
locale si prin publicarea unei analize în acest sens.
2. Dezvoltarea capacitatii a 16 reprezentanti ai ONG-urilor active în domeniul tineretului si/sau ocuparii si a Camerelor de Comert si
Industrie din Piatra Neamt si Resita de a se implica în parteneriate multi-actori, de a propune politici publice si de a implementa
proiecte pentru ocuparea tinerilor din ÎPT.
3. Dezvoltarea capacitatii a 20 reprezentanti ai partenerilor sociali din Piatra Neamt si Resita de a se implica în parteneriate multiactori,
de a propune politici publice si de a implementa proiecte pentru ocuparea tinerilor din ÎPT.
4. Îmbunatatirea capacitatii autoritatilor publice locale din Piatra Neamt si Resita în domeniul politicilor, finantarilor si bunelor practici
în materie de ocuparea tinerilor ÎPT prin organizarea a doua sesiuni de formare dedicate unui numar de minim 10 angajati ai
acestora.
5. Consolidarea dialogului social care fundamenteaza oferta educationala (calificari, competente) în domeniul ÎPT, în strânsa
legatura cu cererea pe piata muncii în Piatra Neamt si Resita prin configurarea si pilotarea unei metodologii de consultare a
partenerilor sociali pentru identificarea nevoilor de noi calificari si competente pe piata muncii.
6. Sprijinirea dezvoltarii la nivel local prin crearea si pilotarea unui mecanism sustenabil de consultare, parteneriat si dialog între
autoritatea publica si actorii locali relevanti pentru ocuparea si formarea tinerilor din învatamântul ÎPT.
7. Informarea si comunicarea proiectului în cele doua comunitati locale si pe plan national cu scopul cresterii nivelului de întelegere
si sustinere a publicului pentru revitalizarea învatamântului ÎPT si a ocuparii tinerilor din ÎPT dn Piatra Neamt si Resita.</t>
  </si>
  <si>
    <t>Obiectivul general al proiectului consta in implicarea activa a ONG-urilor si a cetatenilor pentru dezvoltarea localitatilor Simian si Hinova
din judetul Mehedinti, punandu-se accentul pe principiile dezvoltarii durabile si pe o mai buna relationare a societatii civile cu institutiile
publice din cele doua localitati.
Obiectivele specifice ale proiectului
1. Os. 1 Parteneriate între ONG-uri/parteneri sociali si autoritati locale, care sunt functionale la 6 luni dupa finalizarea proiectelor,
parteneriat ce va conduce la dezvoltarea locala prin activitatile propuse pe proiect. Astfel se va tine cont de specificul activitatilor
din zona respectiva si vor fi realizate: analize asupra necesitatilor investitionale din localitate, ghid de bune practici in practicarea
unei agriculturi ce respecta principiile dezvoltarii durabile, pentru protejarea mediului inconjurator, procedura relationala cu
societatea civila, manual de bune practici ai a unui indrumar care vizeaza dezvoltarea de mecanisme si instrumente de
consolidare a dialogului social si civic, pagina web in vedere eficientizarii comunicarii UAT-urilor cu societatea civila.
2. Os. 2 Pentru o mai buna pregatire profesionala si o mai buna relationare cu societatea civila se vor realiza cursuri de formare
profesionala la care vor participa anagajati ai UAT-urilor Simian si Hinova, acestia fiind evaluati si certificati la finalizarea cursurilor
de formare.</t>
  </si>
  <si>
    <t>Obiectivul general al proiectului “Competente civice in Vrancea” consta în cresterea capacitatii organizationale a SNCRR Filiala Vrancea
de a se implica în formularea unui instrument comun de interventie in situatie de criza/urgenta la nivelul comunitatilor Adjud si Pufesti si
totodata dezvoltarea de abilitati si competente in randul voluntarilor, ce vin in sprijinul comunitatii in situatie de criza/urgenta. Prin
activitatile propuse, SNCRR Filiala Vrancea isi va extinde aria de interventie si va multiplica activitatile cu impact pozitiv in comunitate,
precum si initiative care îsi propun cresterea implicarii cetatenilor în comunitate, dezvoltarea spiritului civic precum si crearea premiselor
de participare în procesul de luare a deciziilor la nivelul comunitatii.
Obiectivele specifice ale proiectului
1. OS1.Cresterea capacitatii organizationale a SNCRR Filiala Vrancea prin construirea unui dialog sustenabil cu societatea civila si
administratia publica;
2. OS2. Cresterea gradului de constientizare a rolului societatii civile in comunitate prin elaborarea unui instrument comun privind
interventia in situatie de urgenta
3. OS3. Dobandirea de abilitati civice in randul comunitatilor, in vederea asigurarii unui grad ridicat de interventie in comunitate;
4. OS4. Cresterea premiselor de colaborare ale comunitatii si participarea/implicarea acesteia în procesul de luare a deciziilor;
5. OS5.Dezvoltarea retelei de voluntari in Adjud si Pufesti prin incheierea a minim 50 de contracte de voluntariat (30 de contracte de
voluntariat in Adjud si 20 de contracte de voluntariat in Pufesti);
6. OS6. Cresterea gradului de constientizare privind egalitatea de sanse si nediscriminarea in comunitate precum si a protectiei
mediului prin promovarea obiectivelor de dezvoltare durabila</t>
  </si>
  <si>
    <t>Obiectivul general al proiectului vizeaza consolidarea capacitatii ONG-urilor, partenerilor sociali si actorilor relevanti în domeniul
criminalitatii, la nivelul judetului Mures, de a se implica în formularea si promovarea dezvoltarii locale, prin optimizarea masurilor de
prevenire a criminalitatii si crestere a sigurantei publice.
Obiectivele specifice ale proiectului
1. Cresterea capacitatii a 6 ONG-uri, 2 organizatii sindicale de învatamânt din judetul Mures de a se implica în formularea si
promovarea dezvoltarii locale prin organizarea de instruiri în politici publice, advocacy, egalitate de sanse si dezvoltare durabila
2. Consolidarea dialogului social dintre 6 ONG-uri, 2 organizatii sindicale de învatamânt, comunitatea locala si autoritatile publice
relevante în domeniul prevenirii criminalitatii, prin crearea unei platforme de dialog social, organizarea a 15 întâlniri de lucru
tematice
3. Încheierea unui parteneriat între 6 ONG-uri, 2 organizatii sindicale de învatamânt si autoritatile publice în vederea sustinerii si
promovarii dezvoltarii la nivel local în domeniul prevenirii criminalitatii din judetul Mures, prin semnarea unui protocol de
colaborare si dialog social
4. Dezvoltarea capacitatii a 14 persoane, angajati si membrii din ONG-uri si sindicate din învatamânt de a se implica în formularea
de propuneri alternative la politicile publice actuale, prin instruire specifica.
5. Cresterea gradului de constientizare si implicare civica a 500 de persoane din judetul Mures, prin organizarea unei consultari
publice, 5 campanii de constientizare si elaborarea unei proceduri de implementare a programului educatie pentru siguranta</t>
  </si>
  <si>
    <t xml:space="preserve">Obiectivul general al proiectului este reprezentat de cresterea capacitatii Patronatului Tinerilor Intreprinzatori din Romania de a se implica
in formularea si promovarea dezvoltarii la nivel local in aria sa de activitate si expertiza, respectiv sustinerea antreprenoriatului in general
si a tinerilor intreprinzatori in special.
Obiectivele specifice ale proiectului
1. Obiectivul specific 1:
Cresterea capacitatii PTIR de a se implica in dezvoltarea mediului de afaceri si promovarea antreprenoriatului la nivel local prin
derularea unui program de formare specifica pentru reprezentantii sai. In cadrul proiectului, 30 de reprezentanti ai PTIR vor urma
un program de formare in “Buna guvernanta si dialog social”.
2. Obiectivul specific 2:
Dezvoltarea unui mecanism pentru sustinerea si promovarea dezvoltarii mediului de afaceri la nivel local. In vederea atingerii
acestui obiectiv, va fi realizata o strategie de dezvoltare a mediului de afaceri la nivel local, strategie fundamentata si bazata pe
nevoile reale ale mediului de afaceri la nivelul Municipiului Ploiesti. 
3. Obiectivul specific 3:
Dezvoltarea unui mecanism de consultare a autoritatilor si institutiilor publice cu partenerii sociali si ONG-urile relevante în
elaborarea politicilor si strategiilor pentru dezvoltarea mediului de afaceri la nivel local. </t>
  </si>
  <si>
    <t>Scopul asociatiei APOCL este de a formula si implementa politici publice locale si de a contribui la satisfacerea nevoii de sanatate a
populatiei. Împreuna cu partenerii nostri evaluam contextul familial, social, economic si cultural în care se manifesta problemele pacientilor din judetul Calarasi astfel ca putem stabili nevoile de îngrijire prin elaborarea de strategii bazate pe mentinerea standardelor de calitate, adecvate societatii moderne prin parteneriat public-privat.                                                                                                                                                                             O1- Elaborarea unui Plan de actiune comun pentru evaluarea si dezvoltarea serviciilor locale pentru ingirjirea pacientilor
oncologici în judetul Calarasi prin implicarea pacientilor/asociatiilor de pacienti si reprezentantilor societatii civile în probleme de
calitate în sanatate, pentru cresterea gradului de satisfactie a pacientilor si a populatiei judetului Calarasi fata de serviciile de
sanatate
2. O2- Dezvoltarea aptitudinilor si capacitatii a 75 de persoane din randul a:13 ONG-uri, parteneri sociali si angajati ai institutiilor
publice de a implementa instrumente de evaluare si îmbunatatire a serviciilor medicale prin parteneriat public-privat în judetul
Calarasi;
3. O3 - Promovarea bunelor practici în implementarea standardelor comune în administratia publica locala, furnizorii de servicii
medicale si sector civil, pentru optimizarea procesele orientate catre beneficiari/pacientii oncologici.</t>
  </si>
  <si>
    <t>Dezvoltarea si implementarea de parteneriate si mecanisme de cooperare intre autoritatile publice, ONG-uri si institutii de învatamânt
preuniversitar pentru elaborarea de politici si strategii privind educatia noilor generatii de tineri precum si dezvoltarea capaciatilor
membrilor ONG-urilor si ai reprezentantilor comunitatii locale prin instruiri si participari la retele tematice.                                                                               1. OS1. Dezvoltarea si implementarea a 3 parteneriate locale APL-ONG-Institutii de învatamânt preuniversitar pentru elaboarea unei
politici locale educationale pentru tineri si a unui plan de masuri privind educatia preuniversitara si tineretul la nivel local
2. OS2. Instruirea si certificarea a 60 de membri ai grupului tinta din ONG-uri, APL si partenerilor sociali din educatie in vederea
intariririi competentelor pentru dezvoltare locala
3. OS3. Organizarea si desfasurarea a 6 dezbateri publice pe teme de egalitate de sanse, nediscriminare si dezvoltare umana
durabila în rândul tinerilor</t>
  </si>
  <si>
    <t>Obiectivul general al proiectului consta în promovarea dezvoltarii sistemului de educatie în judetul Giurgiu prin dezvoltarea parteneriatului
la nivel local, cresterea transparentei, consultarii si monitorizarii politicilor si strategiilor în domeniu, precum si prin implicarea cetatenilor si organizatiilor acestora în comunitate si în procesul de luare a deciziilor. Proiectul contribuie la atingerea scopului apelului de proiecte
întrucât creste capacitatea a 50 de organizatii neguvernamentale, inclusiv partenerii de proiect, de a se implica în formularea si
promovarea dezvoltarii educatiei la nivelul judetului Giurgiu. Capacitatea organizatiilor este consolidata prin participarea reprezentantilor
acestora în mecanisme de consultare (grupurile de lucru si dezbaterile publice) si în programe de formare în domeniul politicilor publice
pentru educatie.
Obiectivele specifice ale proiectului
1. 1. Implicarea prin mecanisme noi de consultare si transparenta a cel putin 500 de persoane, cetateni, experti, elevi si organizatii
neguvernamentale, în procesul de monitorizare si actualizare a strategiei de dezvoltare a educatiei în judetul Giurgiu în
urmatoarele 14 luni.</t>
  </si>
  <si>
    <t>Crearea unui mecanism de democratie participativa pentru dezvoltarea locala prin implicarea ONG-urilor, personaluiui din administratia
publica locala si membrilor comunitatii prin instruirea si profesionalizarea de resurse umane ale organismelor implicate din ONG,
administratia locala, populatia generala.
Obiectivele specifice ale proiectului
1. Cresterea competentelor profesionale pentru un numar de 61 beneficiari - gruptinta, membrii ai World Vision România, ai
administratiei publice locale si cetateni ai comunitatilor implicate.
2. Crearea a 2 Birouri pentru Dezvoltare Locala în Comunitatile Muntenii de Jos, Lipovat din Judetul Vaslui, în cadrul Parteneriatului
pentru Dezvoltare Locala.
3. Implicarea societatiii civile în deciziile ce privesc dezvoltarea comunitara, printr-o campanie de constientizare si aplicare a
principiilor democratiei participative: „O idee pentru viitor”.
4. Crearea unui HUB Informational sub forma unui mecanism pentru sustinerea si promovarea dezvoltarii la nivel local si de
interactiune în trinomul Autoritati Publice – ONG – cetateni .</t>
  </si>
  <si>
    <t>OBIECTIVUL GENERAL (SCOPUL) PROIECTULUI ESTE CRESTEREA CAPACITATII ONG-URILOR SI PARTENERILOR SOCIALI DE
A SE IMPLICA IN FORMULAREA SI PROMOVAREA DEZVOLTARII LA NIVELUL UAT CIULNITA.                                                                                                                                          OS1. Implicarea partenerilor sociali, ONG-urilor si cetatenilor in formularea si promovarea dezvoltarii la nivelul UAT Ciulnita prin
dezvoltarea si implementarea unui mecanism de consultare timp de 14 luni.                                                                                                                                                             OS2. Dezvoltarea capacitatii partenerilor sociali si ONG-urilor de a se implica in formularea si promovarea dezvoltarii la nivelul
UAT Ciulnita timp de 8 luni prin instruire practica, formare continua a 56 de pers din cadrul ONG-urilor si partenerilor sociali care
vor fi certificati si 2 activitati intreprinse in comun cu autoritati locale si participarea lor la activitatile retelelor nationale si europene.</t>
  </si>
  <si>
    <t>Sprijinirea de initiative de dezvoltare a responsabilitatii civice, de implicare a comunitatilor locale în viata publica si de participare la
procesele decizionale, de promovare a egalitatii de sanse si nedescriminarii si dezvoltarii durabile.
Obiectivele specifice ale proiectului
1. Os 1.- Dezvoltarea unui set de initiative de dezvoltare a responsabilitatii civice si de implicare a comunitatii locale la procesele
decizionale
2. Os 2. - Dezvoltarea si implementarea unui set de initiative de promovare a egalitatii de sanse, nediscriminare si a dezvoltarii
durabile.</t>
  </si>
  <si>
    <t>Obiectivul general vizeaza cresterea calitatii administratiei publice locale din comuna Stulpicani prin introducerea unor standarde comune
care asigura optimizarea proceselor orientate catre beneficiari, proiectul fiind realizat in deplina concordanta cu SCAP.                                                      OS.1. Cresterea capacitatii societatii civile de a se implica in formularea si promovarea dezvoltarii la nivel local prin includerea in
cursuri de formare profesionala a 40 de cetateni (reprezentanti ai ong-urilor, parteneri sociale, alesi locali), din comuna Stulpicani.                              OS.2. Cresterea calitatii administratiei publice in comuna Stulpicani prin dezvoltarea unui mecanism comun de consultare si
integrare a cetatenilor in procesul decizional, mecanism care va integra un set de proceduri standard specifice, un instrument IT
de tip platforma online precum si minim 5 parteneriate care vor functiona cel putin 6 luni de la finalizarea proiectului.</t>
  </si>
  <si>
    <t>Obiectivul general al proiectului este implementarea pe termen mediu a unui sistem de e-consultare pentru luarea deciziilor publice de
interes local printr-un parteneriat societate civila-administratie publica care sustine în mod direct interesele si initiativele cetatenilor din
judetul Giurgiu.
Obiectivele specifice ale proiectului
1. Dezvoltarea unui sistem de e-consultare publica care va fi functional în cadrul parteneriatului de dezvoltare locala în municipiul
Giurgiu.
2. Întarirea capacitatii societatii civile locale si a administratiei publice locale de a se implica în dezvoltarea la nivel local prin activitati
de formare în domeniul utilizarii noilor tehnologii informationale în procesele decizionale si participarea civica, promovarea
egalitatii de sanse si nediscriminarii si dezvoltare durabila.
3. Identificarea, dezbaterea si supunerea la vot prin sistemul de e-consultare a doua probleme de interes public si de impact asupra
unui numar semnificativ de cetateni ai municipiului Giurgiu.</t>
  </si>
  <si>
    <t>Cresterea capacitatii ONG-urilor si partenerilor sociali din Petrila si Vulcan de a se implica în formularea si promovarea dezvoltarii la nivel
local
Obiectivele specifice ale proiectului
1. Elaborarea unei metodologii de evaluare a nevoilor de implicare în formularea si promovarea dezvoltarii la nivel local a ONG-urilor
si partenerilor sociali la nivelul oraselor Petrila si Vulcan. Identificarea solutiilor pentru cresterea capacitatii ONG-urilor si a
partenerilor sociali în formularea si promovarea dezvoltarii la nivel local (raport)
2. Organizare grupuri civice formate din ONG-uri (inclusiv reprezentanti ai structurilor asociative ale autoritatilor administratiei
publice locale, ai camerelor de comert) si reprezentanti ai partenerilor sociali (patronate si sindicate), pentru monitorizarea si
evaluarea strategiilor de dezvoltare locala. Organizare dezbateri publice privind strategiile de dezvoltare durabila a oraselor
Petrila si Vulcan. Organizare sesiuni de instruire privind principiile dezvoltarii durabile, metode si instrumente de monitorizare a
legiferarii locale si advocacy (dialog si reprezentare institutionala)
3. Dezvoltarea unui manual ce va cuprinde instrumente de monitorizare si evaluare independenta a politicilor si strategiilor la nivel
local, proceduri de interactiune cu autoritatile si institutiile administratiei publice. Monitorizarea implementarii obiectivelor de
dezvoltare durabila si implicarea în procesul de elaborare a rapoartelor tematice de monitorizare
4. Elaborarea unei cercetari (studiu) al nivelului de transparenta institutionala la nivelul oraselor Petrila si Vulcan. Instrumentalizarea
barometrului comparativ al perceptiei grupurilor civice privind dezvoltarea durabila</t>
  </si>
  <si>
    <t>Obiectivul general al proiectului este dezvoltarea unui set unitar de instrumente pentru consolidarea capacitatii administratiei publice prin
implicarea organizatiilor neguvernamentale in formularea si dezvoltarea la nivel local.                                                                                                                                1. OS 1 – Intocmirea unei metodologii de evaluare si monitorizare a capacitatii administrative a unitatilor administrativ-teritoriale
2. OS 2 – Intocmirea unei metodologii in vederea sustinerii si promovarii dezvoltarii la nivel local, in special in relatia dintre
autoritatile si institutiile administratiei publice
3. OS 3 – Intocmirea unei metodologii ce are ca scop inlesnirea relatiei dintre autoritatea publica locala cu ONG-uri de profil, institutii
de invatamant acreditate, dar si cu cetatenii, in vederea elaborarii de politici si strategii la nivel local
4. OS 4 – Crearea unei platforme pentru dialogul social si civic
5. OS 5 - Formarea unui numar de 50 de persoane în sfera administratiei publice
6. OS 6 – Organizarea a 3 workshop-uri in vederea dezvoltarii responsabilitatii civice, de implicare a comunitatilor locale in viata
publica
7. OS 7 - 12 luni de management si informare si publicitate</t>
  </si>
  <si>
    <t>Consolidarea capacitatii FSLI de implicare in formularea si promovarea dezvoltarii locale, prin extinderea ariei de interventie,
imbunatatirea culturii dialogului social si a cunostintelor GT, alinierea la principiile europene, promovarea cetateniei active, utilizarea
eficienta a instrumentelor si mecanismelor de instruire/consultare/diseminare care sa contribuie la atingerea Obiectivului specific 2.1.
POCA.
Obiectivele specifice ale proiectului
1. OS1 - identificarea, filtrarea si stabilirea masurilor necesare care vor fi concretizate intr-un Ghid de Bune Practici pentru ONG-uri
si partenerii sociali privind implicarea acestora în formularea si promovarea de politici publice si promovarea dezvoltarii locale
durabile.
2. OS2 - instruirea si formarea adecvata a personalului tinta (angajat, voluntar sau membru) din ONG-uri, parteneri sociali si din
cadrul autoritatilor locale pentru dezvoltarea capacitatii organizationale pentru implicare in dezvoltarea locala si perfectionarea
abilitatilor si competentelor persoanelor din grupul tinta de a identifica, formula si expune problemele de interes public local.
3. OS3. - Crearea de mecanisme pentru sustinerea si promovarea dezvoltarii la nivel local prin dialog social si civic: cadru general
de functionare a unui Consiliu Consultativ Cetatenesc de Dezvoltare Locala (CCC-DL), retea locala de parteneri sociali, ONG-uri
si alti actori ai societatii civile si acorduri de tip PDL.</t>
  </si>
  <si>
    <t>Consolidarea capacitatii ARPR de a se implica în formularea si promovarea dezvoltarii locale, prin extinderea ariei de interventie,
imbunatatirea culturii dialogului social si a cunostintelor GT, alinierea la principiile europene, promovarea cetateniei active, utilizarea
eficienta a instrumentelor si mecanismelor de instruire/consultare/diseminare care sa contribuie la atingerea Obiectivului specific 2.1.
POCA.                                                                                                                                                                                                                                                                                                                              OS1 - dentificarea, filtrarea si stabilirea masurilor necesare care vor fi concretizate intr-un Ghid de bune practici pentru ONG-uri si
partenerii sociali privind implicarea acestora în formularea si promovarea de politici publice si promovarea dezvoltarii locale
durabile, cu un capitol special destinat implicarii in probleme protectia mediului prin colectarea selectiva a deseurilor.                                                      OS2 - Instruirea si formarea adecvata a personalului din ONG-uri, parteneri sociali si din cadrul autoritatilor locale pentru
dezvoltarea capacitatii organizationale pentru implicare in dezvoltarea locala si perfectionarea abilitatilor si competentelor
persoanelor din grupul tinta de a identifica, formula si expune problemele de interes public local, respectiv: formarea unui numar
de minim 60 de persoane, prin cursuri, seminarii si workshopuri:                                                                                                                                                                                       OS3 - Crearea de mecanisme pentru sustinerea si promovarea dezvoltarii la nivel local prin dialog social si civic: 1 cadru general
de functionare a unui Consiliu Consultativ Cetatenesc de Dezvoltare Locala (CCC-DL), 1 Retea locala de parteneri sociali, ONGuri
si alti actori ai societatii civile; minim 5 acorduri de tip PDL.</t>
  </si>
  <si>
    <t>OG: Cresterea capacitatii la nivelul comunitatii locale Brasov de a dezvolta si utiliza finantarea participativa (crowdfunding-ul) ca
mecanism alternativ de finantare pentru proiectele inovative din comunitate (inclusiv pentru proiectele propuse prin mecanismul de
bugetare participativa).                                                                                                                                                                                                                                                                                      1. OS1. Crearea unui mecanism inovator de finantare participativa pentru proiectele inovative din comunitati
2. OS2. Dezvoltarea capacitatii a 105 reprezentanti ai ONG-urilor, personal din autoritatile si institutiile publice locale, alesi locali,
cetateni care actioneaza in aria de implementare a Mun. Brasov, din care 25 din randul ONG-urilor, de a utiliza mecanisme de
finantare alternativa si scheme de match-funding pentru finantarea proiectelor inovative</t>
  </si>
  <si>
    <t>Cresterea capacitatii ONG-urilor si a partenerilor sociali de a se implica in formularea si promovarea politicilor de dezvoltare a mediului de afaceri local al orasului Comanesti, judet Bacau, intr-un orizont de timp de 14 luni
Obiectivele specifice ale proiectului
1. Dezvoltarea unui parteneriat durabil si activ la 6 luni de la finalizarea proiectului intre autoritati locale, ONG-uri si parteneri sociali
pentru formularea si promovarea de propuneri pentru dezvoltarea mediului de afaceri local al orasului Comanesti, judet Bacau
2. Cresterea capacitatii unui numar de 34 de persoane (reprezentanti ai ONG-urilor si partenerilor sociali) de a se implica in
formularea si promovarea de propuneri pentru dezvoltarea mediului de afaceri local al orasului Comanesti, judet Bacau, prin
dezvoltarea de competente de educatie financiara si planificare strategica
3. Dezvoltarea Strategiei de dezvoltare locala a orasului Comanesti, judet Bacau, a planului de actiune asociat incluzand un
mecanism de consultare a autoritatilor si institutiilor publice cu ONG-urile, partenerii sociali, precum si a cetatenilor în elaborarea
politicilor si strategiilor la nivel local pentru formularea de propuneri alternative la politicile locale
4. Derularea campaniei de advocacy ca mecanism pentru sustinerea si promovarea dezvoltarii mediului de afaceri local al orasului
Comanesti, judet Bacau, si pentru inaintarea propunerilor alternative la politicile publice locale curente</t>
  </si>
  <si>
    <t>Obiectivul general al proiectul este: Cresterea capacitatii Asociatiei Magurele Science Park de a elabora si fundamenta mecanisme pentru
sustinerea si promovarea dezvoltarii la nivel local si de interactiune cu autoritatile si institutiile administratiei publice, prin inovare si
adaptabilitate fata de nevoile ecosistemului de cercetare - dezvoltare – inovare (CDI).
Obiectivele specifice ale proiectului
1. OBS1. Imbunatatirea capacitatii reprezentantior asociatiei MSP de a propune instrumente pentru dezvoltarea locala a
ecosistemului CDI prin derularea unui program de formare a 10 persoane in 3 luni;
OBS2. Crearea unei comunitati cu actori relevanti ai ecosistemului de CDI si 4 evenimente pentru implicarea acestora in
dezvoltarea locala prin inovare;
OBS3. Derularea unei campanii publice de informare si promovare la nivelul Regiunii BI in vederea educarii actorilor de a se
implica in procesele de consultare publica privind mecanismele de inovare pentru dezvoltarea locala durabila.</t>
  </si>
  <si>
    <t>Obiectivul acestui proiect este acela de a consolida capacitatea organizatiilor non-guvernamentale din localitatea Mogosoaia si din judetul
Ilfov de a se implica in formularea si promovarea dezvoltarii la nivel local. In acest sens, proiectul isi propune sa puna bazele unui
Parteneriat pentru Dezvoltare Locala, functional la 6 luni dupa finalizarea proiectului, intre Autoritatea Publica locala Mogosoaia, ONG-uri
si parteneri sociali din zona, si sa dezvolte capacitatea unui numar de 30 de persoane, reprezentanti ai acestora prin instruiri in domeniul
monitorizarii strategiilor si politicilor locale si de participare la procese decizionale, de promovare a egalitatii de sanse si nediscriminari.         OS 1 Dezvoltarea unui parteneriat între ONG-uri /parteneri sociali si UAT Mogosoaia, functional la 6 luni dupa finalizarea
proiectelor                                                                                                                                                                                                                                                                                                                OS 2 Dezvoltarea de proceduri si mecanisme pentru sustinerea si promovarea dezvoltarii la nivelul localitatii si de interactiune
dintre autoritatile si institutiile administratiei publice cu comunitatea locala in perioada 2021-2027;                                                                                           OS 3 Dezvoltarea capacitatii partenerilor sociali si a ONG-urilor prin instruiri in domeniul monitorizarii strategiilor si politicilor locale
si de participare la procesele decizionale, de promovare a egalitati de sanse si nediscriminarii, precum si a dezvoltarii durabile;</t>
  </si>
  <si>
    <t>Consolidarea capacitatii organizatiilor non-guvernamentale si parteneri sociali de a se implica în formularea si promovarea dezvoltarii la
nivel local, prin elaborarea si implementarea de mecanisme si instrumente de interactiune cu autoritati publice locale, precum si prin
instruire specializata si retea de cooperare la nivel local.
Obiectivele specifice ale proiectului
1. Obiectiv specific 1: Întarirea capacitatii de colaborare si participare activa a organizatiilor non-guvernamentale si partenerilor
sociali, prin dezvoltarea unui mecanism de consultare la nivelul Primariei Branesti si elaborarea a patru propuneri de politici
publice in domeniile: educatie, cultura, sanatate, mediu
2. Obiectiv specific 2: Dezvoltarea capacitatii interne a minimum 30 de ONG-urilor si parteneri sociali prin participarea la sesiuni de
instruire specifice, precum si prin intermediul unei retele tematice de cooperare la nivel local.
3. Obiectiv specific 3: Îmbunatatirea capacitatii ONG-urilor si parteneri sociali de a-si extinde aria de interventie, prin elaborarea si
testarea de instrumente de monitorizare si evaluare independenta a politicilor publice aplicate la nivel local.</t>
  </si>
  <si>
    <t>Obiectivul general al proiectului vizeaza dezvoltarea capacitatii CNIPMMR de a se implica în formularea si promovarea dezvoltarii la nivel
local în aria sa de activitate si expertiza, respectiv reprezentarea unitara si eficace a IMM-urilor, prin dezvoltarea unor politici publice prin
care sa se asigure promovarea exporturilor si atragerea de investitii pentru IMM-uri.
Obiectivele specifice ale proiectului
OS1. Dezvoltarea de proceduri, mecanisme pentru sustinerea si promovarea dezvoltarii la nivel local si de interactiune cu
autoritatile si institutiile administratiei publice axate pe promovarea exporturilor si atragerea de investitii în cadrul IMM-urilor.                          OS2. Sustinerea capacitatii CNIPMMR si a altor parteneri sociali de a se implica în formularea si promovarea dezvoltarii la nivel
local in domeniul promovarea exporturilor si atragerea de investitii prin derularea unor activitati de formare specifice acestui
domeniu.</t>
  </si>
  <si>
    <t>Consolidarea capacitatii a cele putin 20 de organizatii non-guvernamentale din Municipiul Bucuresti de a participa la dezvoltarea incluziva
si durabila a capitalei prin economie sociala, solidara si circulara, prin introducerea de standarde si sisteme comune ONG si APL pentru
dezvoltarea de politici publice incluzive si prin interventie pilot, la nivelul Sectorului 3.                                                                                                                                                      Cresterea capacitatii a 20 de ONG-uri sociale si de mediu din Bucuresti de a se implica în promovarea dezvoltarii incluzive si
durabile a capitalei si a Sectorului 3, cu precadere prin economie sociala, solidara si circulara – la nivel strategic si practic,
operational, de implementare si monitorizare a politicilor publice prin formarea si certificarea a 40 de reprezentanti ONG in
"dezvoltare locala durabila" si "dezvoltare locala incluziva".                                                                                                                                                                                                   Imbunatatirea colaborarii si partneriatului dintre administratia publica locala si ONGuri în domeniile social, economie sociala,
ocupare si insertie-socio-profesionala a grupurilor dezavantajate, mediu si managementul inteligent al deseurilor – economie
circulara prin sustinerea dezvoltarii a 10 parteneriate relevante intre ONG si APL, din care cel putin 5 vor fi active la 6 luni de la
finalizarea proiectului.                                                                                                                                                                                                                                                                                             Îmbunatatirea comunicarii si transparentei decizionale si a participarii cetatenesti la luarea deciziilor în Municipiul Bucuresti si in
Sectorul 3 în domeniile dezvoltarii durabile si incluziunii sociale prin crearea platformei online “Bucurestiul social si solidar”, prin
facilitarea directa de dezvoltare de partenetiate (16 ateliere de lucru) si prin premierea parteneriatelor reale si de impact in cadrul
"Galei pareteneriatelor".</t>
  </si>
  <si>
    <t>Obiectivul principal al proiectului consta în cresterea capacitatii Centrului pentru Legislatie Nonprofit si a partenerilor acestuia de a se
implica în formularea si promovarea dezvoltarii politicilor din domeniul protectiei sociale la nivelul Sectorului 6 Bucuresti.
1. OS.1 Implementarea unui instrument de monitorizare si evaluare independenta a politicilor si strategiilor în domeniul protectiei
sociale la nivelul Sectorului 6 într-o perioada de 14 luni;
2. OS.2 Dezvoltarea unui mecanism de consultare a autoritatilor si institutiilor publice cu ONG-urile, partenerii sociali, institutiile de
învatamânt superior acreditate precum si a cetatenilor în elaborarea politicilor si strategiilor în domeniul protectiei sociale la nivelul
Sectorului 6 într-o perioada de 14 luni;
3. OS.3 Cresterea capacitatii a 10 reprezentanti ai ONG-urilor si 10 angajati ai Primariei Sector 6 de a monitoriza si evalua impactul
masurilor de politica publica în domeniul protectiei sociale într-o perioada de 10 luni;</t>
  </si>
  <si>
    <t xml:space="preserve">Scopul proiectului: adaptarea structurilor, optimizarea proceselor și pregătirea resurselor umane din MCI e pentru realizarea și punerea în aplicare a politicilor publice bazate pe dovezi în vederea corelării planificării strategice cu bugetarea pe programe.
Obiectivele specifice ale proiectului:
A) Dezvoltarea și introducerea de sisteme și standarde comune în administrația publică ce optimizează procesele decizionale orientate către cetățeni și mediul de afaceri în concordanță cu SCAP: implementarea de instrumente informatice necesare pentru fundamentarea politicilor și optimizarea proceselor decizionale ale MCI, respectiv ale MECS, prin realizarea unei Platforme Informatice Integrate pentru Cercetare-Dezvoltare și Inovare (PII-CDI). 
B) Indeplinirea conditionalitatilor ex-ante pentru Obiectivul Tematic 1 (OT1) al FESI, prevazute în cadrul Programului Operational
Competitivitate 2014-2020 prin realizarea mecanismului de orientare strategica, bazat pe descoperirerea antreprenoriala si
cresterea gradului de integrare a sistemului de CDI în economia nationala ca raspuns la nevoia de a îmbunatati procesul de
monitorizare si evaluare a SNCDI.
C) Pregătirea personalului și formarea competențelor necesare fundamentării și aplicării bugetării pe programe prin participarea la schimburi de experiență și networking cu autorități / instituții / organisme ale administrației publice naționale și internaționale.
</t>
  </si>
  <si>
    <t>Obiectivul general al proiectului este crearea si dezvoltarea, la nivelul Asociatiei Comunelor din România, a unui mecanism alternativ functional, cu o abordare de jos în sus (bottom-up), de elaborare si monitorizare a politicilor publice ce vizeaza mediul rural din România, respectiv de consultare a membrilor privind politicile publice initiate de autoritatile si institutiile publice centrale - Platforma actiunilor comune transparente PACT - A.Co.R.</t>
  </si>
  <si>
    <t>Obiectivul general al proiectului se refera la adoptarea unei abordari moderne si inovatoare, axata pe facilitarea dezvoltarii socio-economice a tarii, prin intermediul unor servicii publice, investitii si reglementari de calitate.
Obiectivele specifice ale proiectului
1. OS.1. Simplificarea si sistematizarea fondului activ al legislatiei din domeniul resurselor minerale si societatilor cu capital de stat
în concordanta cu Strategia pentru mai buna reglementare 2014-2020:
- Stabilirea principalelor domenii asupra carora urmeaza a se interveni în scopul simplificarii si stabilirea criteriilor de prioritizare a
actelor normative aferente domeniilor selectate.
- Analiza stocului legislativ selectat si propunerea celor mai potrivite metode de simplificare.
- Îmbunatatirea accesului la informatii publice în format reutilizabil.
2. OS.2. Elaborarea politicilor publice bazate pe dovezi prin:
- Implicarea stakeholderilor înca din etapele initiale ale procesului de formulare a politicilor publice si a reglementarilor;
- Promovarea strategiilor si politicilor adoptate prin intermediul unor campanii de comunicare;
- Crearea unui grup de experti la nivelul Ministerului Economiei.</t>
  </si>
  <si>
    <t xml:space="preserve">Obiectivul general al proiectului este consolidarea capacitatii institutionale a MCI pentru a contribui la sustinerea unei economii moderne si competitive în România
Obiectivele specifice ale proiectului:
1. implementarea unui cadru de lucru care sa faciliteze elaborarea si aplicarea politicilor publice bazate pe dovezi, în
domeniul CDI, în MCI si realizarea unei politici publice cu accent pe segmentul cercetarii aplicative si al valorificarii rezultatelor
cercetarii, în corelatie cu necesitatile mediului economic (A1, Rezultat de proiect 1: politica publica în domeniul de CDI  elaborata si aprobata;
2. implementarea unui cadru de lucru care sa sustina sistematizarea si simplificarea legislatiei în domeniul CDI si
realizarea în cadrul MCI a unui act normativ nou, republicat sau concentrat în reglementari unice, publicat în Monitorul Oficial 
(act normativ sistematizat elaborat si aprobat);
3. implementarea unui cadru de lucru care sa faciliteze elaborarea si aplicarea unor proceduri simplificate pentru
companiile care au activitati de CDI, în scopul reducerii poverii administrative pentru mediul de afaceri si realizarea în cadrul MCI a unei proceduri simplificate privind recunoasterea activitatii de CDI din cadrul companiilor românesti,
4. dezvoltarea competentelor si abilitatilor profesionale ale personalului de conducere si executie din MCI  în cadrul unor module de instruire în urmatoarele domeniul: politici publice de CDI bazate pe dovezi, legislatia în domeniul cercetarii si reglementarile care vizeaza activitatile de CDI din mediul de afaceri românesc
</t>
  </si>
  <si>
    <t>Obiectivul general al proiectului/Scopul proiectului
Obiective proiect
Proiectul propus contribuie la dezvoltarea si introducerea de sisteme si standarde comune în administratia publica ce optimizeaza
procesele decizionale orientate catre cetateni si mediul de afaceri în concordanta cu SCAP.
Prin implementarea acestui proiect se doreste aplicarea sistemului de politici bazate pe dovezi în Ministerul Mediului pentru realizarea:
- Codului Deseurilor prin sistematizarea si simplificarea amplelor reglementari din domeniul deseurilor.
- unor proceduri simplificate pentru reducerea poverii administrative pentru mediul de afaceri în domeniul schimbarilor climatice.
Obiectivele specifice ale proiectului
1. Realizarea unui document de politica publica pentru domeniile deseuri si schimbari climatice
2. Realizarea Codului Deseurilor prin sistematizarea si simplificarea reglementarilor din acest domeniu
3. Realizarea unor proceduri simplificate pentru reducerea poverii administrative pentru agentii economici din domeniul schimbarilor
climatice</t>
  </si>
  <si>
    <t>Obiectivul general al proiectului îl constituie implementarea si dezvoltarea de sisteme si standarde comune pentru optimizarea proceselor
decizionale în domeniul apelor si padurilor, aplicarea sistemului de politici bazate pe dovezi în Ministerul Apelor si Padurilor pentru
sistematizarea si simplificarea legislatiei din domeniul apelor si realizarea unor proceduri simplificate pentru reducerea poverii
administrative pentru mediul de afaceri în domeniul silviculturii.
Obiectivele specifice ale proiectului
1. Implementarea unor sisteme unitare de management al calitatii si performantei la nivelul MAP.
Autoritati si institutii publice centrale care au implementat sistemele unitare de management al calitatii si performantei: 1 –
Ministerul Apelor si Padurilor (inclusiv structurile aflate în subordinea, sub autoritatea si în coordonarea ministerului)
Se vor elabora, revizui si implementa proceduri unitare pentru managementul calitatii în conformitate cu SR EN ISO 9001:2015 la
nivelul departamentelor din cadrul MAP si din cadrul structurilor aflate în subordinea, sub autoritatea si în coordonarea sa.
Se va implementa CAF, ca instrument al managementului calitatii complementar cu SR EN ISO 9001:2015.
De asemenea, sunt vizate activitati de promovare a sistemelor/instrumentelor de management al calitatii, cu accent pe valoarea
adaugata pe care acestea o pot genera, în vederea acordarii de sprijin pentru MAP (si autoritatilor aflate în subordinea, sub
autoritatea si în coordonarea ministerului).
2. Aplicarea sistemului de politici bazate pe dovezi în MAP prin realizarea unor politici publice în domeniul managementului apei si
domeniul silviculturii.
Autoritati si institutii publice centrale care au elaborat politici bazate pe dovezi, inclusiv evaluarea ex-ante a impactului: 1 –
Ministerul Apelor si Padurilor.
Se va realiza un document de politica publica în domeniul managementului apei si un document de politica publica în domeniul
silviculturii.
3. Realizarea Codului Apelor prin sistematizarea si simplificarea amplelor reglementari din domeniul managementului apei.
Acte normative sistematizate: 10.
4. Realizarea unor proceduri simplificate pentru reducerea poverii administrative pentru mediul de afaceri în domeniul silviculturii.
Autoritati si institutii publice centrale care au implementat masuri unitare de reducere a poverii administrative pentru mediul de
afaceri si pentru cetateni: 1 – Ministerul Apelor si Padurilor.
5. Competente crescute pentru personalul din MAP si din structurile aflate în subordinea, sub autoritatea sau în coordonarea sa, în
domeniul managementului calitatii, pentru sustinerea masurilor/actiunilor de sistematizare si simplificare a legislatiei în domeniul
managementului apei si pentru sustinerea masurilor/actiunilor de simplificare a procedurilor pentru mediul de afaceri în domeniul
silviculturii.
Personalul din autoritatile si institutiile publice centrale care a fost certificat la încetarea calitatii de participant la formare legata de
OS1.1.: 280 persoane.</t>
  </si>
  <si>
    <t>Obiectivul general urmarit prin proiect este acela de îmbunatatire a cunostintelor profesionale si abilitaților membrilor sistemului judiciar vizavi de acest proiect (judecatori, procurori, magistrați-asistenți si personal din cadrul instituțiilor sistemului judiciar asimilat judecatorilor si procurorilor), necesare desfasurarii activitatii în cadrul instantelor si parchetelor.
Obiectivul specific al proiectului vizeaza implementarea unui program de formare profesionala continua adaptat nevoilor actuale ale sistemului judiciar, în special în ceea ce priveste schimbarile aduse de aplicarea noilor coduri si care sa contribuie la eforturile institutiilor sistemului judiciar privind unificarea practicii judiciare.</t>
  </si>
  <si>
    <t xml:space="preserve">Obiectivul principal al proiectului este realizarea si implementarea unui sistem eficient si performant pentru „Consolidarea capacitații institutionale a Oficiului Național al Registrului Comerțului, a sistemului registrului comerțului si a sistemului de publicitate legala”.
</t>
  </si>
  <si>
    <t>Obiectivul general:
Cresterea capacitatii ONG-urilor de a se implica în formularea si promovarea de propuneri alternative la politicile publice initiate de Guvern
in domeniul bugetarii pe baza de gen, vizand alocarea corespunzatoare a resurselor financiare tinand cont de dimensiunea de gen.
OS.1 Cresterea capacitatii a 60 ONGuri in plan national in constructia si elaborarea de politici publice alternative in domeniul
bugetarii pe baza de gen prin formarea specifica a 80 de reprezentanti din personalul ONG si crearea de instrumente specifice de
monitorizare ONG politici publice.
OS. 2 Stimularea, sustinerea si intarirea capacitatii a minim 20 ONGuri beneficiare de elaborare si promovare de politici publice
alternative in domeniul bugetarii pe baza de gen.
OS. 3 Evaluarea impactului a 4 politici publice alternative in domeniul bugetarii pe baza de gen formulate de 4 ONGuri beneficiare
prin intermediul testarii acestora ca studii de caz la nivelul comunitatilor locale vizate de propuneri.
OS. 4 Cresterea capacitatii de evaluare a 4 politicilor publice nationale alternative in domeniul bugetarii pe baza de gen propuse
de ONGuri in vederea acceptarii acestora prin organizarea a 3 workshopuri sustinute de experti romani si europeni in domeniul
bugetarii pe baza de gen cu participarea autoritatilor centrale si reprezentantilor ministerelor de resort implicate.
OS. 5 Dezvoltarea responsabilitatii civice, de implicare a comunitatilor locale în viata publica si de participare la procesele
decizionale, de promovare a egalitatii de sanse, nediscriminarii si dezvoltarii durabile prin organizarea a 4 audieri publice
nationale pe marginea variantei consultative a celor 4 politici publice nationale in domeniul bugetarii pe baza de gen acceptate de
autoritatile responsabile.</t>
  </si>
  <si>
    <t>Cresterea capacitatii ONG-urilor de formulare de politici publice alternative în domeniile sanatate publica sau protectie sociala
Obiectivele specifice ale proiectului
1. Obiectiv specific 1. Elaborarea unui ghid de proceduri si instrumente pentru monitorizarea si evaluarea politicilor publice din
domeniul social sau medical
2. Obiectiv specific 2. Dezvoltarea cunostintelor si abilitatilor pentru 100 de persoane din cadrul ONG-urilor din domeniul domeniile
social sau medical în formularea de politici publice alternative si în monitorizarea independenta a politicilor guvernamentale
3. Obiectiv specific 3. Crearea unei retele informale de ONG-uri în domeniul politicilor publice sociale sau medicale
4. Obiectiv specific 4. Formularea de 5 propuneri de politici publice alternative în domeniul politicilor publice sociale sau medicale</t>
  </si>
  <si>
    <t xml:space="preserve">Obiectivul general al proiectului este cresterea capacitatii ONG-urilor si a partenerilor sociali de a formula politici publice alternative in domeniul medierii, la nivele national, ce va contribui la dezvoltarea si introducerea de sisteme si standarde comune in administratia publica, ce optimizeaza procesele decizionale orientate catre cetateni si mediul de afaceri in concordanta cu SCAP.
Obiective specifice:
OS 1 - Asigurarea unui sistem de management si de control performant si riguros prin monitorizarea continua a rezultatelor obtinute, in vederea maximizarii impactului asupra grupului tinta vizat, in cele 16 de luni de implementare. Asigurarea unui management
eficient si transparent al resurselor umane, materiale, financiare.Pregatirea si realizarea activitatilor de comunicare institutionala in cadrul activitatilor de proiect
OS 2 - Dezvoltarea de instrumente/mecanisme ce optimizeaza procesele decizionale orientate catre cetateni si mediul ONG/parteneri sociali
</t>
  </si>
  <si>
    <t>Obiectivul general al proiectului este de imbunatatire a procesului de elaborare participativa a politicilor publice pentru asigurarea aplicarii, reglementarii si functionarii Legii 46/2008 numita si Legea Codului silvic si a Legii 289/2002 republicata în 2014 denumita si Legea
perdelelor forestiere de protectie, precum si implementarea sistemului de perdele forestiere de protectie, prin cresterea capacitatii
organizatiei non-guvernamentale de a formula si a promova politici publice alternative la politicile publice initiate de Guvern, avand ca
scop dezvoltarea si introducerea unor sisteme si standarde in administratia publica, orientate catre cetateni si mediul de afaceri, in
concordanta cu SCAP.                                                                                                                                                                                                                    Obiectivele specifice ale proiectului
Obs.1) Facilitarea dezvoltarii mecanismelor de formulare, promovare si monitorizare a politicillor publice, de consolidare a
dialogului social si civic, precum si intelegerea nevoii de reformare a administratiei publice, prin aprofundarea si realizarea
analizei detaliate de nevoi si necesitati existente la nivel national pentru asigurarea aplicarii, reglementarii si functionarii Legii
46/2008 numita si Legea Codului silvic si a Legii 289/2002 republicata în 2014 denumita si Legea perdelelor forestiere de
protectie, precum si pentru implementarea sistemului de perdele forestiere de protectie.
Obs.2) Cultivarea si dezvoltarea cunostintelor, competentelor si abilitatilor a 30 de persoane din Gupul tinta, reprezentanti ai
ONG-ului, in urma participarii la sesiuni de instruire in formularea politicilor publice si in mananagement strategic, inclusiv prin
abordarea temelor de devoltare durabila, egalitate de sanse si nediscriminare.
Obs.3) Formularea si promovarea a cel putin 2 politici publice pentru pentru asigurarea aplicarii, reglementarii si functionarii Legii
46/2008 numita si Legea Codului silvic si a Legii 289/2002 republicata în 2014 denumita si Legea perdelelor forestiere de
protectie, precum si implementarea sistemului de perdele forestiere de protectie, ca urmare a dezvoltarii unui mecanism
performant si profesionist (caravana nationala sub forma unor evenimente de tip „masa rotunda”, cu aplicabilitate de workshop),
pentru formularea si promovarea de politici publice alternative.
Obs.4) Crearea si dezvoltarea de instrumente cu aplicabilitate de monitorizare si evaluare a politicilor publice si de consolidare a
dialogului social si civic, prin dezvoltarea unui sistem online de monitorizare si evaluare, dar si prin dezvoltarea unui manual de
bune practici sub forma unui standard cu aplicabilitate in sectorul public si privat, privind implementarea instrumentelor/sistemelor
dezvoltate prin proiect.</t>
  </si>
  <si>
    <t>Obiectiv general                                                                                                                                                                                                                        Cresterea capacitatii ONG-urilor si a partenerilor sociali cu interes în domeniile protectiei mediului si a schimbarilor climatice de a colabora cu scopul de a contribui la monitorizarea, evaluarea, formularea si promovarea de politici alternative la politicile publice formulate de
Guvern, în sase domenii prioritare de mediu si dezvoltare durabila.                                                                                                                     Obiective specifice                                                                                                                                                                                                                         OS 1: Dezvoltarea capacitatii a 40 de ONG-uri si 10 parteneri sociali prin instruirea a 120 de persoane din cadrul ONG-urilor si
partenerilor sociali în domeniul evaluarii si propunerii de politici publice alternative la politicile promovate de guvern în domeniul
mediului si al dezvoltarii durabile si dezvoltarea de activitati în comun pe baza abilitatilor dobândite
OS 2: Dezvoltarea de 6 instrumente independente de monitorizare si evaluare a politicilor publice de mediu
OS 3: Dezvoltarea unui mecanism de consolidare a dialogului social si civic în domeniul mediului si a dezvoltarii durabile si
pilotarea lui;
OS 4: Dezvoltarea responsabilitatii civice, de implicare a 6 comunitati locale în viata publica si de participare la procesele
decizionale, de promovare a egalitatii de sanse si nediscriminarii, precum si a dezvoltarii durabile.
OS 5: Dezvoltarea a 6 actiuni de formulare si promovare de propuneri alternative la politicile publice initiate de Guvern si
acceptarea acestor propuneri.</t>
  </si>
  <si>
    <t>Obiectivul general al proiectului/Scopul proiectului
Obiective proiect
Obiectivul general al proiectului este dezvoltarea capacitatii organizațiilor non-guvernamentale din România de a participa la procesul de
elaborare a politicilor publice în domeniul social, cu impact la nivel național, pentru a creste calitatea politicilor publice din domeniu.
Obiectivele specifice ale proiectului
1. OS1 - Dezvoltarea si perfecționarea cunostințelor si competențelor resursei umane aparținând organizațiilor non-guvernamentale
în elaborarea propunerilor legislative si colaborarea cu instituțiile publice, pentru un numar de 80 de persoane.
2. OS 2 - Aplicarea cunostințelor dobândite de resursa umana, prin participarea la dezvoltarea de propuneri la politicile publice din
domeniul social cu impact la nivel national, pentru un numar de 50 de persoane.
3. OS 3 - Îmbunatațirea colaborarii si a dialogului dintre organizatiile non-guvernamentale si autoritațile publice, pentru dezvoltarea
capacitații acestora de a iniția parteneriate si de a colabora în procesul de elaborare a politicilor publice.</t>
  </si>
  <si>
    <t xml:space="preserve">Obiectivul general al proiectului:
Cresterea capacitatii ONG-urilor si a partenerilor sociali de a se implica în formularea si promovarea de propuneri alternative la politicile publice initiate de Guvern, în domeniul ocuparii tinerilor prin comunicare, colaborare si sprijin reciproc.
Obiectivele specifice ale proiectului:
1. Instruirea unui numar de 100 de persoane prin cursurile de Delegat Sindical- Cod COR 111411. Scopul instruirii este de a
consolidarea organizatiilor sindicale astfel încât acestea sa îsi îmbunatateasca capacitatea de a formula si promova propuneri de politici publice alternative la politicile publice initiate de Guvern în domeniu. Rolul cursului este de a creste interesul pentru recrutarea tinerilor în sindicate si pentru a le întelege mai bine nevoile.
2. Elaborarea unei Politici publice alternative la politicile publice initiate de Guvern în domeniul ocuparii tinerilor si al tranzitiei acestora de la scoala la viata active. Politica publica alternativa va încerca sa rezolve o serie de probleme identificate prin dezbateri si analiza asupra legislatiei în vigoare.
3. Realizarea unui mecanism de Monitorizare, dezvolatre de politici alternative la cele initiate de Guvern, colaborare, sustinere reciproca, Hub-ul Online al ONG-urilor si ai partenrilor sociali. Un rol important al acestei platforme este dezvoltarea responsabilitatii civice, de implicare a comunitatilor locale în viata publica si de participare la procesele decizionale, de promovare a egalitati de sanse si nediscriminarii, precum si a dezvoltarii durabile. Dezvolta capacitatea partenerilor sociali si a ONG prin activitati întreprinse în comun, participarea si dezvoltarea de retele tematice locale/nationale.
</t>
  </si>
  <si>
    <t xml:space="preserve">Obiectiv general: Dezvoltarea sectorului forestier în scopul cresterii contributiei acestuia la ridicarea nivelului calitatii vietii, pe baza gestionarii durabile a padurilor.
Obiective specifice:
O.S. 1. Evaluarea cadrului institutional si de reglementare a activitatii din sectorul forestier
O.S. 2. Identificarea masurilor de gestionare durabila si dezvoltare a resurselor forestiere
O.S. 3. Dezvoltarea dialogului intersectorial si a comunicarii strategice în domeniul forestier si cu alte domenii de activitate
</t>
  </si>
  <si>
    <t xml:space="preserve">Obiectivul general al proiectului este de imbunatatire si optimizare a procesului de elaborare participativa a politicilor publice si de stabilire de directii strategice de actiune in administratia publica locala din domeniul serviciilor sociale, prin cresterea capacitatii organizatiilor nonguvernamentale de a formula si a promova politici publice alternative la politicile publice initiate de Guvern, avand ca scop dezvoltarea si introducerea unor sisteme si standarde in administratia publica, orientate catre cetateni si mediul de afaceri, in concordanta cu SCAP.
Obiective specifice:
OS 1 Dezvoltarea unui program informatic centralizat, in vederea cresterii capacitatii serviciului public de asistenta sociala de a identifica si monitoriza permanent nevoile specifice ale tinerilor si grupurilor vulnerabile din mediul rural cu accent pe comunitatile rome care sa stea la baza fundamentarii actualizarii permanente a Planului de actiune privind serviciile sociale precum si a Strategiei judetene.
OS 2 Instruirea unui numar de 40 de persoane, personal al ONG-urilor, in vederea dobandirii de noi cunostinte, competente si aptitudini privind elaborarea de politici publice orientate spre cetatean si bazate pe dovezi, precum si alte tematici de interes aferente actiunilor care se vor desfasura în cadrul proiectului, inclusiv prin abordarea temelor de devoltare durabila, egalitate de sanse si nediscriminare.
OS 3 Elaborarea, promovarea, monitorizarea si evaluarea unei propuneri de politica publica in scopul imbunatatirii capacitatii organizationale, actionale si de planificare strategica in administratia publica locala in domeniul serviciilor sociale, prin consolidarea parteneriatelor public private si a dialogului social si civic.
</t>
  </si>
  <si>
    <t>Obiectivul general al Proiectului îl reprezinta facilitarea accesului ceta'enilor din regiunile Sud Muntenia, Sud Est, Sud Vest si Centru, la un sistem judiciar transparent, integru si de calitate, prin intermediul unei campanii de informare, educa'ie juridica si constientizare a cetatenilor în privinta drepturilor prevazute în cadrul noilor coduri, într-o perioada de 24 luni. Acesta se realizeaza prin intemediul obiectivelor specifice prezentate mai jos. Atât obiectivul general, cât si obiectivele specifice sunt în conformitate cu prevederile si respectiv Obiectivul Specific al Ghidului Solicitantului 2.3: Asigurarea unei transparente si integritati sporite la nivelul sistemului judiciar în vederea îmbunatatirii accesului si a calitatii serviciilor furnizate la nivelul acestuia, vizând atingerea obiectivelor POCA în materie.
Obiectivele specifice ale proiectului
1. 1.Obiectivul specific 1 (OS1) al Proiectului îl constituie realizarea unei campanii de informare, educație juridica si constientizare a cetatenilor, privind drepturile legislative ale acestora utilizând retelele de socializare si internetul.
2. 2.Obiectivul specific 2 (OS2) al Proiectului îl constituie realizarea unei campanii de informare, educație juridica si constientizare a cetatenilor, privind drepturile legislative ale acestora utilizând mijloacele media clasice (televiziune, radio, presa scrisa etc).
3. 3.Obiectivul specific 3 (OS3) al Proiectului îl constituie realizarea în regiunile SM, SV, SE, Centru a unei campanii de informare,
educație juridica si constientizare a cetatenilor, privind drepturile legislative ale acestora prin prezenta în teritoriu a unei echipe de Experti juridici ce vor facilita cetatenilor si, in special, elevilor si studentilor accesul la legislatie si justiție.</t>
  </si>
  <si>
    <t>OBIECTIVUL GENERAL al proiectului îl constituie cresterea gradului de implicare a Centrului pentru Legislație Nonprofit si a personalului acestuia in evaluarea, monitorizarea si formularea de politici publice alternative privind finantarea activitatilor nonprofit.
1. OS.1 - Cresterea capacitatii a 15 organizatii neguvernamentale si parteneri sociali de a se implica activ în formularea si promovarea unui set de propuneri de modificare a Legii 350/2005 privind regimul finantarilor nerambursabile din fonduri publice alocate pentru activitați nonprofit de interes general
2. OS.2 - Realizarea în mod participativ a unei propuneri de politica publica alternativa privind finantarea publica a activitaților nonprofit de intres general prin implicarea unui numar de 50 de reprezentanti ai organizatiilor neguvernamentale si partenerilor sociali împreuna cu 10 reprezentanti din autoritațile si instituțiile publice.</t>
  </si>
  <si>
    <t>Obiectivul general al proiectului/Scopul proiectului
Obiective proiect
Formularea de propuneri alternative la politicile publice pentru actualizarea cadrului legislativ specific in vederea imbunatatirii activitatilor
de comert cu produse agroalimentare din Romania
Obiectivul General contribuie la atingerea obiectivului tematic nr. 11 Consolidarea capacitatii institutionale a autoritatilor publice si a
partilor interesate si eficienta administratiei publice (OT 11) dar si a Obiectivelor specifice ale Axei prioritare 1,OS 1.1: Dezvoltarea si
introducerea de sisteme si standarde comune în administratia publica ce optimizeaza procesele decizionale orientate catre cetateni si
mediul de afaceri în concordanta cu SCAP precum si la realizarea obiectivelor si masurilor stabilite în cadrul Strategiei pentru
Consolidarea Administratiei Publice 2014-2020 (SCAP).
Obiectivele specifice ale proiectului
1. OS1 Realizarea unei imagini de ansamblu asupra deficientelor cadrului legislativ, la nivel national, prin intermediul unei
cercetari/studiu in randul celor implicati in comertul cu produse agroalimentare inclusiv a autoritatilor publice de resort
2. OS2 Dezvoltarea competentelor si insusirea unui „know how’ specific pentru 50 reprezentanti ai ong-urilor si partenerilor de dialog
social in vederea consolidarii cunostintelor de continut si tehnica legislativa
3. OS3 Sintetizarea unor propuneri de modificari ale legislatiei privind comertul cu produse agroalimentare si diseminarea acestora
in cadrul a doua mese rotunde bazate pe principiul dezbaterii publice
4. OS4 Realizarea unor alternative viabile la actualul cadru legislativ care reglementeaza comertul cu produse agroalimentare prin
propuneri de modificare si completare legislative concrete
5. OS5 Diseminarea propunerilor legislative si dezvoltarea unui sistem de cooperare institutionala bazat pe instrumente de dialog,
monitorizare si evaluare permanenta</t>
  </si>
  <si>
    <t xml:space="preserve">
Obiective proiect
Proiectul este depus în cadrul Programului Operational Capacitatea Administrativa, Componenta 1 CP2/2017 - Cresterea capacita?ii
ONG-urilor si a partenerilor sociali de a formula politici publice alternative, Axa prioritara 1 Administratie publica si sistem judiciar eficiente,
Operatiunea Dezvoltarea si introducerea de sisteme si standarde comune în administra?ia publica ce optimizeaza procesele decizionale
orientate catre ceta?eni si mediul de afaceri în concordanta cu SCAP.
OG: Dezvoltarea capacitatii ONG-urilor de a formula si propune politici publice sensibile la egalitatea de gen si egalitatea de sanse prin
formarea a 160 de persoane din ONG-uri din domeniul egalitatii de sanse si de gen, drepturile omului si tineret, prin facilitarea accesului
acestora la cunostere privind inegalitatile de gen si privind mecanismele de dialog civic si sprijin pentru advocacy si prin desfasurarea unei
campanii de dialog civic si advocacy pentru politici privind egalitatea de gen la nivel national, la nivel national pe parcursul a 16 luni.
OG raspunde astfel problemelor identificate de parteneri în sectiunea „Justificare” si „Grup tinta”: 1/ deteriorarea continua a dialogului civic
si adoptarea politicilor publice fara consultare cu societatea civila si 2/ promovarea egalitatii de sanse între femei si barbati printr-o
abordare integratoare de gen în toate politicile publice initiate de Guvern.
Obiectivele specifice ale proiectului
1. OS1 Devoltarea capacitatii a 80 de ONG-uri de a formula si propune politici publice sensibile la egalitatea de gen si egalitatea de
sanse prin formarea a 160 de persoane din ONG si prin facilitarea accesului la mecanisme de dialog civic si sprijin pentru
advocacy, la nivel national pe parcursul a 16 luni.
Proiectul prevede dezvoltarea si livrarea a 4 cursuri „CONSOLIDAREA CAPACITATII ADMINISTRATIVE A ONG-URILOR PRIN
EDUCATIE MANAGERIALA, FINANCIARA ?I JURIDICA”, „RECRUITER DE VOLUNTARI”, „POLITICI PUBLICE ?I EGALITATE
DE GEN” si „DIALOG CIVIC SI ADVOCACY” cu rol în cresterea capacitatii a 80 de ONG-uri care activeaza în domeniile drepturile
omului, egalitate de sanse si gen, tineret prin instruirea a 160 de reprez ai acestora. În plus, ONG-urile interesate (inclusive cele
80 participante la instruire) vor avea acces gratuit la un centru de resurse online pentru cresterea implicarii societatii civile în
consultarile publice si crestere calitatii interventiilor lor. Actiunile de mai sus vor integra principiile orizontale urmarite de POCA
crescând astfel capacitatea ONG-urilor participante de a si le însusi si promova. De asemenea, publicitatea finantarii FSE prin
POCA si a oportunitatilor de finantare ONG va creste capacitatea lor de accesare a finantarilor nerambursabile prin informare
clara si pragmatica.
OS1 va fi atins prin implementarea SA1.1, SA1.2, SA2.1, SA2.2, SA2.3, SA5.1, SA7.1 si obtinerea rezultatelor de proiect R1, R3
si R4.
OS1 participa la atingerea IR 5S44-80, IR 5S45-160, ISR1.1-5, ISR2.1-1.
2. OS2 Consolidarea capacitatii a 11 ONG-uri din dom egalitatii de gen si de sanse pentru formularea si propunerea unei politici
publice alternative pentru egalitate de gen, prin cresterea accesului la cunostere privind inegalitatile de gen si desfasurarea unei
campanii de dialog civic si advocacy pentru politici privind egalitatea de gen la nivel national, pe parcursul a 16 luni.
Proiectul prevede realiz unei cercetari cantitative la nivel national (Barometrul de gen) privind perceptia românilor / româncelor cu
privire la egalitatea de gen. Concluziile cercetarii vor fi coroborate cu un studiu comparat România – tari ale UE asupra politicilor
publice aprobate sensibile la egalitatea de gen. Pe aceste informatii se va baza elaborarea propunerii alternative la politicile
publice sensibile la egalitatea de gen initiate de Guvern. La elaborarea / formularea, promovarea ei vor participa 11 ONG-uri care
activeaza în domeniul egalitatii de sanse si gen (cei 2 parteneri din proiect + alte 9 ONG-uri similar) ce vor delega 20 pers din
aparatul propriu pentru proiect (ref. cele 9 ONG-uri). La promovarea PPP vor participa si 30 pers delegate de autoritati publice
centrale relevante pentru egalitatea de gen. Campania de advocacy se va finaliza cu acceptarea PPP de catre o autoritate
relevanta. În etapele de elaborare, promovare, acceptare, se vor integra, respecta si promova principiile orizontale POCA si se
promova sursa de finantare si oportunitatile sale.
OS2 va fi atins prin SA3.1, SA3.2, SA4.1, SA4.2, SA4.3, SA5.1, SA7.1 si obtinerea rezultatelor de proiect R2, R3 si R4.
OS2 part la IR 5S6-11, ISR2.2-50, ISR2.3-1.</t>
  </si>
  <si>
    <t>Obiectivul general al proiectului este: Cresterea eficientei administratiei publice cu atributii si rol in dezvoltarea regionala si optimizarea
proceselor decizionale orientate catre cetateni si mediul de afaceri prin crearea unui mecanism complementar de monitorizare a politicilor
publice si de fundamentare a politicilor alternative in domeniul dezvoltarii regionale.
1. OS.1. Construirea unor instrumente si metodologii de abordare sinergica a dezvoltarii regionale.
Prin crearea unui instrument de monitorizare a politciilor publice se doreste nu invalidarea politicilor si corectarea continua a
19
Conform cu originalul semnat in data de 2018.05.30 11:50:43 EEST de catre 2014.mysmis.ro
Generat pentru Mihaela Nicolae
acestora pana la obtinerea rezultatului optim. Dezvoltarea regionala este un domeniu complex si este necesara integrarea in
acelasi intrument de masura si analiza a mai multor domenii cu impact asupra dezvoltarii regionale.
2. OS.2. Cresterea capacitatii ONG-urilor si partenerilor sociali de a identifica în mod adecvat si pertinent nevoile de dezvoltare
regionala, obstacolele existente si solutiile care se impun.
Acest obiectiv va fi atins in special prin programul integrat de formare care va oferi reprezentantilor/personalului ONG urilor si
partenerilor sociali un context de cunoastere si formare a competentelor necesare pentru a culege date din terioriu, a le analiza ,
a identifica impactul politicilor publice asupra calitatii vietii cotidiene a cetatenilor si a propune solutii. Culegerea de date statistice
in legatura cu impactul polictilor publice la nivelul cel mai de baza – al utilizatorului/consumatorului/beneficirului final care este
cetateanul- va veni in completarea datelor statistice de tip institutional care sunt culese acum prin mecanismele publice.
Enuntarea unor indicatori noi, moderni aliniati la metolologii internationale va veni sa aduca un plus de calitate bazelor de referinta
pe care se fundamenteaza si monitorizeaza politicicile publice. Personalul ONG urilor si partenerilor sociali care va fi pregatit sa
colecteze si sa utilizeze acesti noi indicatori va constribui la cresterea capacitatii organizatiilor din care provin.
3. OS.3. Cresterea capacitatii ONG-urilor si partenerilor sociali de a se implica, formula si promova propuneri alternative la politicile
publice initiate de guvern in domeniul dezvoltarii regionale si domeniilor care impacteaza dezvoltare regionala.
Acest obiectiv va fi atins in special prin programul integrat de instruire care va oferi reprezentantilor/personalului ONG urilor si
partenerilor sociali un context de cunoastere si formare a competentelor necesare pentru enunta si promova propuneri alternative
la politicice publice pentru a le corecta sau pentru a oferi posibilitati complementare de solutionare a problemelor. Propunerile de
alternative la politicile publice vor spijini administratia publica sa isi fundamenteze si corecteze in timp real interventiile ducand
astfel la o optimizare a procesului decizional si o reducere a costurilor ce ar fi generate de mentinerea unor interventii cu impact
redus. Vor fi enuntate minim 5 tipuri de propuneri alternative la politici publice conform indicatorilor suplimentari asumati.
4. OS.4. Dezvoltarea formelor de colaborare regionala între partenerii non-guvernamentali co-interesati în dezvoltarea regionala.
Prin crearea unei retele nationale colaborative in cadrul careia ONG urile si partenerii sociali vor realiza practic un Share de
expertiza si resurse tehnice, se vor pune premizele consolidarii capacitatii mediului non-guvernamental de a veni cu reactii mai
puternice din punct de vedere consensual si al calitatii fundamentarii, pentru a interveni cu propuneri alternative la politicile
publice ale guvernelor. Pe princpiul &lt;&lt; unde-s multi puterea creste &gt;&gt; organizatiile participante vor primi instrumente de lucru
colaborative necesare pentru a culege informatii impreuna si pentru a-si valorifica specilistii integrat intr-un cadru formal. Acest
obiectiv contribuie la atingerea obiectivului general prin faptul ca mediul non-guvernamental va avea o atitudine de tip participativ
in legatura cu politicile publice si practic isi va aduce resursele in completarea celor guvernamentale reusindu-se astfel o
eficientizare si optimzare a proceselor decizionale orinetate catre cetateni.</t>
  </si>
  <si>
    <t>Cresterea coerentei, eficientei, predictibilitatii si transparentei cadrului de organizare si functionare a învatamântului preuniversitar
particular prin dezvoltarea, promovarea si acceptarea de propuneri de politici publice alternative în cadrul unui proces decizional
participativ si consultativ, având ca beneficiari ONG-uri – inclusiv scoli organizate juridic ca asociatii, fundatii s.a., parteneri sociali,
împreuna cu decidenti din administratia publica (Ministerul Educatiei Nationale si/sau institutiile aflate în subordonarea si coordonarea
MEN), toti acestia fiind activ implicati în calitate de reprezentanti ai grupului tinta, în vederea dezvoltarii si introducerii de sisteme si
standarde comune pentru asigurarea unei educatii de calitate în învatamântul preuniversitar particular din România, în concordanta cu
SCAP</t>
  </si>
  <si>
    <t>Obiectivul general al proiectului: Cresterea capacitatii ONG-urilor rome de a se implica in formularea si propunerea de masuri alternative la politicile publice pentru romi initiate de Guvern. Obiective specifice:OS1. Cresterea gradului de instruire in domeniile politici publice pentru romi si promovare politici publice catre autoritati a 32 de reprezentanti ai ONG-urilor rome de la nivel national în termen de 16 luni
2. OS2. Dezvoltarea si promovarea de politica publica alternativa în domeniul Strategia de îmbunatatire a situatiei romilor de
reprezentanti ai 16 ONG-uri rome in termen de 16 luni</t>
  </si>
  <si>
    <t>Obiectivul general: Cresterea capacitatii ONG-urilor de la nivel national de a formula politici publice alternative in domeniul furnizarii
serviciilor specializate integrate adresate copiilor cu tulburari din spectrul autist si familiilor lor, intr-un orizont de timp de 16 luni.Rezultat program 1 - Capacitate crescuta a ONG-urilor si partenerilor sociali de a se implica în formularea si promovarea de propuneri alternative la politicile publice initiate de Guvern;  - Rezultat proiect 1 - Personal din ONG-uri instruiti în domeniul advocacy.;Rezultat proiect 2 politica publica alternativa în domeniul furnizarii
de servicii integrate si personalizate (sociale, educationale si de sanatate) adresate copiilor cu tulburari din spectrul autist si familiilor acestora elaborata;Rezultat proiect 3 - Instrument independent de monitorizare a politicii publice in domeniul interventiilor asupra copiilor cu tulburari din spectrul autist si familiilor lor;Rezultat program 2 - Propuneri alternative la politicile publice venite din partea ONG-urilor, acceptate; - Rezultat proiect 4 -
 politica publica alternativa în domeniul furnizarii de servicii specializate integrate de sanatate, educatie si sociale adresate
copiilor cu tulburari din spectrul autist si familiilor lor promovata si acceptata</t>
  </si>
  <si>
    <t>Obiectivul general al proiectului este imbunatatirea capacitatii a 2 ONG-urilor din regiunile mai putin dezvoltate de a formula si promova
propuneri alternative la politicile publice initiate de Guvern in domeniul egalitatii de sanse intre femei si barbati. Acest obiectiv se va
indeplini prin cresterea intensitatii participarii ONG-urilor la procesul de luare al deciziilor la nivel guvernamental prin dezvoltarea unui
instrument electronic de monitorizare a politicilor publice, prin analiza situatiei actuale si prin organizarea de sesiuni de formare pentru 160
de persoane, reprezentanti ai ONG-urilor. Obiectivul General contribuie la indeplinirea OS 1.1 - Dezvoltarea si introducerea de sisteme si
standarde comune în administratia publica ce optimizeaza procesele decizionale orientate catre cetateni si mediul de afaceri în
concordanta cu SCAP - al Programului Operational Capacitate Administrativa prin cresterea capacitatii organizationale a 2 ong-uri, 1
propunere alternativa la politica publica in domeniul de interventie al proiectului elaborata si aprobata/acceptata si 160 de reprezentanti ai
ONG-urilor formati. Aceste directii propuse de proiect se desprind din documentul Strategia Europa 2020, ce reprezinta esenta politicii de
dezvoltare europena, agreata la nivel UE, si pe care România si-a asumat-o.</t>
  </si>
  <si>
    <t xml:space="preserve">
Obiectivul general al proiectului:
Optimizarea si eficientizarea actului administrativ, legislativ si decizional în administratia centrala si serviciile sale deconcentrate în domeniul patrimoniului cultural national
Obiectivele specifice ale proiectului:
1. Sistematizarea si simplificarea fondului legislativ activ din domeniul patrimoniului cultural national
2. Crearea cadrului strategic si operational pentru realizarea de politici bazate pe dovezi în domeniul patrimoniului imobil</t>
  </si>
  <si>
    <t xml:space="preserve">Obiectivul general al proiectului îl reprezinta îmbunatațirea accesului la justiție pentru cetateni, in special pentru grupuri vulnerabile,
precum si imbunatatirea calitatii serviciilor de suport, inclusiv asistenta juridica.
Proiectul vizeaza acțiuni de degrevare a instanțelor si parchetelor prin promovarea medierii/arbitrajului ca metoda alternativa de solutionare a litigiilor (pentru dezvoltarea si diversificarea paletei de servicii de consiliere si asistenta juridica adecvate nevoilor cetatenilor), garantarea accesului la justiție, promovarea birourilor/serviciilor de consiliere juridica si informare a cetatenilor, accesibile înainte de a apela la  instanța, promovarea activitatii acestora, actiuni precum organizarea de campanii de informare, educatie juridica si
constientizare a populatiei, în special a grupurilor vulnerabile, cu privire la dreptul la asistenta judiciara si modalitatile concrete de
accesare a acestor servicii.
Obiectivele specifice ale proiectului:
1 Cresterea accesului la justitie al cetațenilor prin derularea de campanii de informare, educatie juridica si constientizare cu privire la promovarea si consolidarea metodelor alternative de solutionare a litigiilor (medierea, arbitrajul etc.) si la prevederile noilor coduri, drepturile cetatenilor, promovarea informatiilor privind institutiile din sistemul judiciar si serviciile oferite de acestea.
• Cresterea gradului de informare, educatie juridica si constientizare cu privire la prevederile noilor coduri, drepturile cetațenilor, promovarea informatiilor privind institutiile din sistemul judiciar si serviciile oferite de acestea
 2 Cresterea accesului la justitie prin asistenta juridica pusa pentru 240 de persoane.
3 Cresterea gradului de consolidare a metodelor alternative de solutionare a litigiilor prin actiuni de formare a 75 de practicieni ai dreptului.
</t>
  </si>
  <si>
    <t>Obiectivul general consta in dezvoltarea capacitatii ONG-urilor de a dezvolta politici publice alternative, în vederea optimizarii proceselor decizionale ale administratieipublice, orientate catre cetateni si mediul de afaceri. Obiective specifice: 1) Cresterea capacitatii de a dezvolta politici publice alternative pentru cele 5 ONG-uri (1 solicitant si 4 parteneri); 2)Dezvoltarea abilitatilor pentru cel putin 15 persoane (reprezentanti ONG) în realizarea de campanii de advocacy si dezvoltarea de politici publice alternative, pâna la finalul implementarii proiectului; 3) Dezvoltarea de politici publice alternatve în domeniul evaluarii si gestionarii calitatii aerului pâna la finalul implementarii proiectului.</t>
  </si>
  <si>
    <t>Obiectivul general al proiectului este corelat cu ,,OS 1.1 POCA : Dezvoltarea si introducerea de sisteme si standarde comune în
administratia publica ce optimizeaza procesele decizionale orientate catre cetateni si mediul de afaceri în concordanta cu SCAP’’ si
contribuie esential la realizarea acestuia si a tuturor obiectivelor de program care vizeaza promovarea unei administratii publice moderne
care sa vina in sprijinul cetateanului si sa faciliteze dezvoltarea economica si sociala a Romaniei pe de-o parte, iar pe de alta sa propuna
noi strategii si politici in domeniile publice in care tara noastra are inca deficiente.</t>
  </si>
  <si>
    <t>Obiectivul general al proiectului consta în îmbunatatirea activitatii de identificare, sanctionare si de prevenire a cazurilor de
incompatibilitati, conflicte de interese si averi nejustificate la nivelul autoritatilor administratiei publice centrale si a Parlamentului.
Obiectivul general, ce este urmarit prin implementarea de activitati subsumate la 4 obiective specifice, are în vedere implementarea unui numar semnificativ dintre directiile de actiune aflate în sarcina ANI conform Strategiei Nationale Anticoruptie 2016-2020 (SNA), actiuni de punere în practica a obiectivului specific 5.2 al SNA: „Îmbunatatirea activitatii de identificare, sanctionare si de prevenire a cazurilor de bincompatibilitati, conflicte de interese si averi nejustificate” si care contribuie de asemenea si la atingerea benchmark-ului nr. 2 al Mecanismului de Cooperare si verificare.</t>
  </si>
  <si>
    <t>Obiectivul general al proiectului este de a sprijini ONG-urile participante pentru a formula si promova propuneri alternative la politicile
publice initiate de Guvern, în concordanta cu masurile stabilite în Strategia pentru Consolidarea Administratiei Publice 2014-2020 (SCAP),
prin obiectivul general II: Implementarea unui management performant în administratia publica, obiectivul specific II.1: Cresterea
coerentei, eficientei, predictibilitatii si transparentei procesului decizional în administratia publica, obiectivul specific subsecvent II.1.6.
Dezvoltarea capacitatii societatii civile, mediului academic si altor parteneri sociali relevanti (sindicate, patronate etc.) de a sustine si
promova reforma administratiei publice.</t>
  </si>
  <si>
    <t>Obiectivul general al proiectului este cresterea capacitatii organizatiilor neguvernamentale care furnizeaza servicii sociale destinate
persoanelor varstnice de a formula si propune politici publice ce vizeaza stimularea contractarii sociale in vederea dezvoltarii de servicii
sociale pentru vârstnici in fiecare comunitate din România. Obiectivele specifice ale proiectului
1. Obiectivul specific 1: Cresterea nivelului de profesionalizarea in domeniul achizitiilor publice a 75 de organizatii neguvernamentale
care furnizeaza servicii sociale adresate persoanelor varstnice in vederea formularii de propuneri alternative in domeniul
contractarii sociale. 2. Obiectivul specific 2: Dezvoltarea capacitatii de advocacy si participare la formularea politicilor publice in randul a cel putin 50 de
ONG-uri active in domeniul protectiei varstnicilor in vederea promovarii si adoptarii la nivel local a documentelor de politica
publica in domeniul achizitiilor de servicii sociale (legislatie tertiara)</t>
  </si>
  <si>
    <t>Obiectivul general al proiectului este cresterea capacității ONG-urilor membre ale Federației Filantropia din domeniul sanătății de a formula și promova propuneri alternative la politicile publice aferente obiectivelor specifice din documentul de politică publică „Strategia Nationala de Sanatate 2014 – 2020”.</t>
  </si>
  <si>
    <t>Obiectiv general: Imbunatatirea accesului la justitie prin dezvoltarea si aplicarea de politici si instrumente noi in activitatea de executare silita pentru asigurarea unei transparente si integritatii sporite la nivelul serviciului public indeplinit conform legii nr. 188/2000.                                                                                                                                                                                                                                                                                                     OS1. Imbunatatirea activitatii de executare a hotararilor judecatoresti prin dezvoltarea unui sistem IT integrat care sa:
- ofere informatii despre dosarele de executare si stadiul acestora prin implementarea Registrul general al dosarelor;
- permita actualizarea Tabloului Executorilor Judecatoresti la nivel national;
- permita optimizarea si dezvoltarea Registrului Electronic de Publicitate a Vanzarii Bunurilor Supuse Executarii Silite si a
Registrului Electronic al Actelor de Adjudecare;
- cuprinda informatiile din listele actualizate pe care UNEJ le intocmeste anual iîn aplicarea dispozitiilor art. 5 din Regulamentul de
punere in aplicare a Legii nr. 188/2000;
- permita optimizarea schimbului de informatii intre UNEJ, camerele executorilor judecatoresti si Directia pentru Evidenta
Persoanelor si Administrarea Bazelor de Date (DEPABD);
- permita optimizarea schimbului de informatii intre UNEJ, camerele executorilor judecatoresti si Directia Regim Permise de
Conducere si Inmatriculare a Vehiculelor (DRPCIV);
- permita infiintarea unui sistem de arhiva electronica.
2. OS2. Imbunararirea competentelor profesionistilor din domeniul executarii hotararilor judecatoresti in directia eficientizarii
activitatii acestora, a unificarii jurisprudentei si a cresterii nivelului de transparenta si integritate a serviciului de interes public aflat
in competenta acestora prin instruire profesionala, ateliere de lucru, ghiduri de bune practici
3. OS3. Cresterea nivelului de informare publica, constientizare si educatie juridica cu privire la situatiile de executare silita prin
derularea unei campanii in mediul online, inclusiv pentru grupurile vulnerabile.
4. OS4. Imbunatatiirea activitatii de executare a hotar</t>
  </si>
  <si>
    <t>Obiectivul general al proiectului consta în dezvoltarea capacitatii organizatiilor neguvernamentale de a formula si promova propuneri alternative la politicile publice initiate de Guvern si promovarea unor mecanisme care sa consolideze consultarea, trasparenta si standardizarea în administratia publica centrala.</t>
  </si>
  <si>
    <t>Obiectivul general:Cresterea capacitatii de dezvoltare strategica si de implicare a organizatiilor neguvernamentale, care activeaza în domeniul domeniu securitatii nationale, atât în regiunea mai dezvoltata (B-Il), cât si în cele 7 regiunile mai putin dezvoltate ale României, în a formula si promova propuneri alternative cu impact national, la politicile publice în aria cheie securitate, realizarea sarcinilor privind apararea nationala în conditiile unui razboi simetric, asimetric ori hibrid prin implicarea sporita a rezervistilor voluntari, protectia infrastructurii criticestrategice teritoriale si realizarea cooperarii cu autoritati/institutii publice pentru optimizarea proceselor decizionale orientate catre cetateni,în concordanta cu politicile si strategiile majore privind dezvoltarea României în viitorii ani si cu SCAP.                                                                                                                                    O1 - Dezvoltarea abilitatilor si competentelor practice a cel putin 100 reprezentanti ai ONG-urilor cu focus pe educatie si
securitate, în sprijinul interesului national, implicarea profesionala în dialogul social si în procesul decizional, pe diferite niveluri ierarhice, în domeniul asigurarii apararii nationale, protectiei infrastructurilor critice teritoriale si rezilientei acestora, cresteriicapacitatii de analiza si prognoza în plan socio-economic. Raspunde indicatorilor de realizare 5S44 si 5S45. 
 O2 - Facilitarea generarii si promovarea de catre ONG-uri cu focus pe educatie si securitate a unor propuneri alternative la
politicile publice, în aria cheie a realizarii apararii securitatii nationale si securitatii cibernetice, alaturi de alte forte ale sistemului national de aparare, în parteneriat cu autoritati/institutii publice, prin oferirea unui suport integrat.
3. OS3 - Gasirea de solutii alternative si complementare pentru generarea resursei umane specializate pentru situatii de dezastre naturale si antropice, pentru situatii care tin de securitatea nationala si de securitatea cibernetica.</t>
  </si>
  <si>
    <t>Obiectivul general al proiectului
Formulare si promovarea unui set de politici publice alternative în scopul cresterii competitivitatii regiunilor din România.
Obiectivele specifice ale proiectului
1. 1. Crearea unui model de structura regionala capabila sa formuleze si sa promoveze propuneri alternative la politicile publice
guvernamentale in domeniul competitivitatii prin propuneri de monitorizare si actualizarea strategiilor regionale de specializare
inteligenta (S3).
2. 2. Multiplicarea modelului suport pentru generarea de propuneri politicile publice guvernamentale, pe baza structurilor relevante
regional, la nivelul tuturor regiunilor din România.</t>
  </si>
  <si>
    <t>Obiectiv general: Consolidarea capacitatii structurilor neguvernamentale de/pentru tineret si a autoritatilor publice, de a participa, prin mecanismul dialogului structurat, la dezvoltarea si promovarea unor instrumente de politici publice alternative în domeniul tineretului.
Obiective specifice:
1. Consolidarea dialogului structurat cu privire la teme prioritare ale politicilor publice în domeniul tineretului, ca mecanism de colaborare efectiva si eficienta între autoritati publice si structuri neguvernamentale de/pentru tineret, în procesul de elaborare si implementare a politicilor publice în domeniul tineretului, inclusiv a celor alternative, de la momentul dezvoltarii acestui mecanism, pâna la finalul proiectului.
2. Dezvoltarea unui cadru adecvat de implementare a politicilor publice în domeniul tineretului, inclusiv a celor alternative, prin proiectarea unor instrumente independente de implementare, monitorizare si evaluare
3. Adaptarea cadrului legal relevant (minim 3 acte normative) pentru domeniul politicilor publice în domeniul tineretului, la nevoile si realitatile sociale actuale, prin politici alternative, astfel încât acesta sa raspunda nevoilor tinerilor si structurilor neguvernamentale de/pentru tineret, sa fie aplicabil, efectiv si eficient.
4. Dezvoltarea capacitatii institutionale a 3 structuri neguvernamentale de/pentru tineret si a autoritatii publice centrale cu atributii în domeniul tineretului, prin formarea si exersarea competentelor acestora  pentru mai buna participare a acestor actori, la elaborarea si implementarea politicilor publice în domeniul tineretului, inclusiv a celor alternative</t>
  </si>
  <si>
    <t>Obiectivul general al proiectului:
Obiectivul general al proiectului consta in consolidarea capacitatii Societatii Nationale de Cruce Rosie din Romania (SNCRR) de a formula si promova o alternativa cu impact national, la politicila publica initiata de Guvern in domeniul prevenirii si interventiilor in situatii de urgenta, in concordanta cu Strategia de Consolidare a Administratiei Publice.
Obiectivele specifice ale proiectului:
Os.1. Cresterea capacitatii de elaborare participativa a instrumentelor de evaluare a politicilor publice prin consolidarea dialogului social si civic;
2. Os.2. Dezvoltarea capacitatii de promovare a initiativelor alternative la politica publica a Guvernului in domeniul prevenirii si interventiilor in situatii de urgenta;
3. Os.3. Dezvoltarea mecanismului de consolidare a dialogului social si civic cu impact asupra diminuarii consecintelor unei situatii de urgenta prin intalniri de lucru (caravana scolara);
4. Os.4. Dezvoltarea responsabilitatii civice prin implicarea comunitatilor locale si promovarea principiilor de egalitate de sanse, nediscriminare precum si dezvoltare durabila;
5. Os.5. Cresterea gradului de informare, constientizare si responsabilizare a populatiei in accord cu directiile Politicii de ajutor umanitar in domeniul dezastrelor (de exemplu, sprijinirea autoritatilor in cadrul interventiilor desfasurare cu prilejul manifestarii unor dezastre, naturale sau artificiale, cunoscand masurile de actiune ale acestora, participarea la evacuarea timpurie a comunitatii si/sau implementarea de masuri menite sa limiteze efectele unor dezastre iminente, implicarea participativa la elaborarea si implementarea unor masuri locale de reducere a riscurilor specifice comunitatii etc).
6. Os.6. Sprijinirea societatii civile si responsabilizarea actorilor importanti in vederea diminuarii consecintelor dezastrelor si pregatirea inerventiei in situatii de urgenta.</t>
  </si>
  <si>
    <t>Obiectivul general al proiectului este dezvoltarea capacitatii Asociatie CEDO pentru a se implica in formularea si promovarea unei propunerii de politica publica alternativa la politicile initiate de Guvern in domeniul educatiei timpurii, prin instruirea a 30 de persoane din cadrul organizatiei in domeniul politicilor publice.                                                                                                                                             OS1 - Evaluarea impactului politicilor in domeniul educatiei timpurii in Romania, prin realizarea unui studiu de impact la nivel
national si european privind educatia timpurie a copiilor din crese, in primele 4 luni de proiect;
OS2 - Consolidare a dialogului social si civic in randul organizatiilor implicate in dezvoltarea educatiei timpurii a copiilor din
cresele din Romania, prin dezvoltarea unui mecanism eficient de consultare publica (incluzand componenta online) a actorilor
cheie din domeniu (parteneri sociali, autoritati publice, institutii de invatament, ONG-uri s.a.), in primele 6 luni de proiect si
testarea acestuia in cadrul proiectului;
OS3 - Intarirea capacitatii Asociatiei CEDO in vederea formularii si promovarii unei propuneri alternative la politicile publice initiate de Guvern in domeniul infiintarii, organizarii, functionarii creselor in Romania, prin instruirea a 30 de persoane, in primele 6 luni de proiect;
OS4 - Dezvoltarea capacitatii Asociatiei CEDO, care activeaza in domeniul educatiei timpurii in vederea formularii si promovarii
unei politici publice alternativa la HG 1252/2012 si Legea 263/2007, contribuind la reforma administratiei publice si de interactiune cu autoritatile si institutiile administratiei publice si dezvoltarea unui dialog social eficient, pe parcursul celor 16 luni de proiect;
OS5 - Sensibilizarea autoritatilor publice si responsabilizarea partenerilor sociali si ONG-urilor in vederea implicarii, pe toata
durata proiectului, in sustinerea si promovarea initiativelor de reforma a administratiei publice si acceptarea politicii publice
alternative formulate in proiect, prin derularea unei campanii de comunicare integrata la nivel national.</t>
  </si>
  <si>
    <t xml:space="preserve">Obiectivul general al proiectului:
Dezvoltarea capacitatii Asociatiei Colegiul Pacientilor de a se implica in formularea si promovarea de alternative viabile la politicile de sanatate publica initiate de Guvernul Romaniei prin Ministerul Sanatatii si Casa Nationala de Asigurari de Sanatate precum si prin Consiliile locale ce administreaza infrastructura medicala, alternative ce doresc sa vina in sprijinul dezvoltarii de sisteme si standarde comune.
Obiectivele specifice ale proiectului:
OS1 – Imbunatatirea procesului legislativ din sanatate prin implicarea Asociatiei Colegiului Pacientilor in formularea de 3 propuneri de politici publice de sanatate ca si alternative la politica de sanatate publica (domeniile amulatoriu, paraclinice, spitalizare, etc).
OS2 – Elaborarea de propuneri ce sa vina in sprijinul cetatenilor in ceea ce priveste simplificarea procedurilor birocratice si administrative din sanatate si cresterea calitatii actului medical in cadrul unitatilor medicale administrate de autoritatile publice locale.
OS3 – Sustinerea sistemului de sanatate prin avansarea unor propuneri care sa faciliteze accesul la serviciile medicale si sa simplifice legislatia existenta in sanatate.
OS4 – Prin formularea propunerilor si a masurilor alternative la politica de sanatate publica se doreste cresterea capacitatii Asociatiei Colegiul Pacientilor de a se implica in promovarea egalitatii de sanse, a unei dezvoltari durabile la nivel local, regional si national.
OS5 – Selectia si consilierea unui numar de 300 persoane , membre a grupului tinta eligibil pentru aceasta cerere de proiecte, pentru strangerea de informatii necesare elaborarii acestor politici alternative (prin mese rotunde, work-shopuri, interactiuni cu pacienti, vizite in spitale, etc), politici ce urmeaza a fi sintetizate intr-un manual tiparit.
OS6 - Asigurarea transparentei informatiilor referitoare la proiect si la rezultatele acestuia precum si stabilirea unui sistem eficient de comunicare interna între toate partile interesate implicate în gestionarea proiectului.
</t>
  </si>
  <si>
    <t xml:space="preserve">Ob. General al proiectului este „Dezvoltarea capacitatii Asocitiei Teatrul Vienez pentru Copii si a altor ONG-uri cu activitate în domeniul educatiei de a sustine si promova reforma administratiei publice prin formularea, promovarea si monitorizarea de politici publice alternative
pentru educatie”
Obiective specifice: 
1. FORMULAREA A CEL PUTIN 2 POLITICI PUBLICE ALTERNATIVE TESTATE SI BAZATE PE DOVEZI PENTRU
DOMENIUL EDUCATIE NON-FORMALE;
2. CRESTEREA CAPACITATII DE FORMULARE SI ADVOCACY PENTRU POLITICI PUBLICE ALTERNATIVE
EDUCATIONALE PENTRU 500 PERSOANE;
3. CRESTEREA GRADULUI DE CONSTIENTIZARE SI IMPLICARE CIVICA PRIVIND IMPORTANTA EDUCATIEI
ALTERNATIVE PRIN ORGANIZAREA A 13 EVENIMENTE IN CADRUL proiectului "TEATRUL IN EDUCATIE".
</t>
  </si>
  <si>
    <t>Obiectivul general al proiectului consta în consolidarea capacitatii Societatii Nationale de Cruce Rosie Filiala Dâmbovita de a formula si promova o alternativa cu impact national, la politica publica initiata de Guvern în domeniul prevenirii parasirii timpurii a scolii si în concordanta cu Strategia de Consolidare a Administratiei publice.
Obiective specifice:
Os.1. Cresterea capacitatii de elaborare participativa a instrumentelor de evaluare a politicilor publice prin consolidarea dialogului social si civic;
Os.2. Dezvoltarea capacitatii de promovare a initiativelor alternative la politica publica a Guvernului;
Os.4. Dezvoltarea responsabilitatii civice prin implicarea comunitatilor locale si promovarea principiilor de egalitate de sanse, nediscriminare precum si dezvoltare durabila
Os.5. Cresterea gradului de informare, constientizare si responsabilizare a comunitatilor prin promovarea alternativei la politica publica
Os.6. Sprijinirea societatii civile si responsabilizarea actorilor importanti în vederea încurajarii participarii copiilor la învatamântul obligatoriu.</t>
  </si>
  <si>
    <t xml:space="preserve">Obiectivul general al proiectului, consecinta a indeplinirii obiectivelor specifice, consta in consolidarea capacitatii Societatii Nationale de Cruce Rosie Filiala Satu Mare de a formula si promova o alternativa cu impact national, la politicila publica initiata de Guvern in domeniul migratiei, care sa faciliteze procesul de integrare al imigrantilor cu implicarea si responsabilizarea societatii civile precum si pregatirea,
dobandirea de noi competente pentru reprezentanti ai societati civile si ai institutiilor publice in scopul co-participarii in situatii de risc.
Obiective specifice:
Os.1. Cresterea capacitatii de dezvoltare a unor instrumente pentru evaluarea politicilor publice.
Os.2. Dezvoltarea mecanismului de consolidare a dialogului social si civic cu impact asupra diminuarii consecintelor unei situatii de risc.
Os.3. Dezvoltarea capacitatii de elaborare si promovare de alternative la politica publica a Guvernului
Os.4. Dezvoltarea responsabilitatii civice prin implicarea comunitatilor locale si promovarea principiilor de egalitate de sanse, nediscriminare precum si dezvoltare durabila
Os.5. Cresterea gradului de informare, constientizare si responsabilizare a populatiei printr-un numar de interventii strategic alese, pentru prevenirea si reducerea consecintelor unei situatii de risc; cresterea accesului la informatia de calitate, inclusiv în mediul online
</t>
  </si>
  <si>
    <t>Obiectivul general al proiectului este cresterea capacitatii a 20 de ONG-uri cu activitate relevanta în domeniul sanatatii la nivel national si a partenerilor sociali (organizatii sindicale), atât din regiunea mai dezvoltata (Bucuresti-Ilfov), cât si din regiunile mai putin dezvoltate pentru a formula si promova propuneri alternative la politicile publice de sanatate initiate de Guvern.</t>
  </si>
  <si>
    <t>Scopul proiectului este acela de a crea mecanisme si instrumente functionale care sa conduca la cresterea calitatii procesului decizional la nivelul administratiei publice locale, pentru a raspunde în mod fundamentat si coerent nevoilor comunitatilor locale, concomitent cu dezvoltarea capacitatii societatii societatii civile si a partenerilor sociali de la nivel local de a se implica activ în elaborarea de politici publice viabile la nivel national si local.
Obiective specifice:
1.Cresterea calitatii procesului de fundamentare a deciziei la nivelul autoritatilor administratiei publice locale de la nivelul celor 103 municipii din România si a sectoarelor Municipiului Bucuresti prin dezvoltarea unui pachet de instrumente adaptate procesului decizional local (minim 3 instrumente) menite sa standardizeze etapele ciclului de politici publice si sa sporeasca expertiza personalului implicat în procesul de formulare de politici publice la nivel local (planificare si formulare a politicilor publice, dezvoltarea unor documente metodologice adaptate la specificul procesului decizional local, norme minimale de standardizare a procesului de formulare politicilor publice etc.)
2. Cresterea capacitatii organizatiilor neguvernamentale locale si a partenerilor sociali/grupurilor de initiativa de la nivelul municipiilor României/a sectoarelor municipiului Bucuresti de a se implica în promovarea si formularea de propuneri alternative la politicile publice initiate de autoritatile publice de la toate nivelurile.
3. Cresterea nivelului de cunoastere si informare la nivelul administratiei publice locale municipale privind initierea de politici publice ce folosesc mecanisme de optimizare a proceselor decizionale, orientate catre cetateni si mediul de afaceri local, în concordanța cu Strategia pentru Consolidarea Administrației Publice.</t>
  </si>
  <si>
    <t>Obiectivul general al proiectului il reprezinta cresterea capacitatii APMCR de a formula propuneri alternative la Politicile publice inițiate de Guvern în domeniul locuirii durabile, prin promovarea de soluții care sa conduca la creasterea accesibilității clădirilor de locuit de tip nZeb si combaterii saraciei energetice, in special pentru populatia din mediul rural apartinand categoriilor de venituri sub medie.
Scopul proiectului il reprezinta pregatirea profesionala a angajatilor, membrilor si voluntarilor APMCR si a ONG-urilor partenere in domenii cheie, care vor sprijini imbunatatirea capacitatii proprii a acestora de a se implica in formularea si promovarea de propuneri alternative la politicile publice initiate de Guvern in domeniul locuirii durabile.
OS1: Realizarea activitatilor proiectului avand in vedere principiile unui management eficient.
OS2: Realizarea activitatilor de informare, publicitate si diseminare rezultate proiect respectand elementele de identitate vizuala aferente programului.
OS3: Realizarea unui studiu privind tehniciile si tehnologiile de realizare a cladirilor de locuit de tip nZeb în zone cu clima
temperata.
OS4:Cresterea capacitatii de interconectare/lobby a partenerilor sociale cu autoritatile publice si cresterea capacitatii acestora de a formula si promova propuneri de politici publice alternative la politicile publice initiate de Guvern în domeniul proiectarii cladirilor de locuit de tip nZeb, prin instruirea unui numar de 75 de persoane în domeniul specific proiectului dar si în domeniul comunicarii specifice ONG-urilor.
OS5: Elaborarea unei Politici publice alternative la politicile publice initiate de Guvern în domeniul locuirii durabile si combatere a saraciei energetice, prin promovarea gratuita, de catre primarii, de solutii ieftine, durabile si facile din punct de vedere al realizarii, pentru cresterea nivelului de confort, reducere a consumului de energie si crestere a independentei energetice a locuintei, aplicabile pentru:
a) realizararea de locuinte noi de tip nZEB;
b) reabilitarea locuintelor existente in scopul cresterii nivelului de confort si incadrarii in categoria nZEB.
OS6: Dezvoltarea retelei SOL nZEB-instrument de consolidare a dialogului social si civic si de promovare a Politicii publice initiate in domeniul locuirii durabile.</t>
  </si>
  <si>
    <t>Obiectivul General:
Optimizarea procesului de reforma educationala în vederea asigurarii accesului egal la educatie pentru minoritatile etnice din România prin implicarea activa si cresterea capacitatii a 40 de ONG-uri si parteneri sociali de a formula si propune politici publice în educatie cu integrarea egalitatii de sanse si nediscriminarii etnice pe toate paliere, prin instruirea a 120 de persoane din ONG-uri si parteneri sociali ce activeaza în domeniul egalitatii de sanse si nediscriminarii, educatie, tineret, voluntariat si facilitarea accesului acestora
la un mecanism de dialog civic pentru alerta a discriminarii etnice în educatie, prin desfasurarea unei campanii de dialog civic si advocacy pentru formularea, promovarea si acceptarea unei propuneri alternative de politici publice privind combaterea discriminarii etnice în educatie, la nivel national pe parcursul a 16 luni.
Obiective specifice:
OS1. Cresterea capacitatii a 40 de ONG-uri si parteneri sociali care activeaza în domeniul egalitatii de sanse si nediscriminare, educatiei, tineret si voluntariat de a se implica în formularea si promovarea de propuneri alternative la politicile publice initiate de Guvern în educatie prin dezvoltarea si livrarea catre 120 pers din cele 40 org vizate a doua traininguri si facilitarea accesului la mecansimul de dialog civic pentru alerta de discriminare etnica în învatamânt, timp de 16 luni.
OS2. Formularea, promovarea si acceptarea de catre autoritatile publice centrale relevante din domeniul educatiei a unei propuneri alternative de politica publica privind accesul egal la educatie pentru minoritatile etnice din România de catre 7 ONG-uri si parteneri sociali alaturi de o institutie de învatamânt superior multi-etnica, timp de 16 luni.
OS3. Cresterea dimensiunii participative a ONG-urilor, partenerilor sociali si mediului academic în integrarea principiului egalitatii de sanse în educatie prin dezvoltarea unui mecanism de alerta a discriminarii etnice în învatamânt, timp de 16 luni.</t>
  </si>
  <si>
    <t>Obiectivul general al proiectului este de a sprijini dialogul social în sectorul administrației publice în vederea optimizării proceselor decizionale în domeniul resurselor umane din sistemului penitenciar.                                                                                                                                                                                                                                              Obiectivele specifice ale proiectului
1. Dezvoltarea capacității a 8 parteneri sociali din sistemul penitenciar de a identifica probleme și modalități alternative de raspuns cu privire la gestionarea resursei umane din sistemul penitenciar, prin dezvoltarea, ajustarea și transferul unui set de instrumente specifice fundamentării și monitorizării resursei umane la nivelul partenerilor sociali implicați.
2. Pregatirea a 40 de reprezentanți ai sindicatelor din sistemul penitenciar și formarea competențelor necesare utilizării setului de instrumente, aplicarii acestora, colectarii, prelucrarii si interpretarii informatiilor în scopul monitorizarii politicilor si practicilor de resurse umane si a identificarii independente a unor modalitati alternative de raspuns
3. Facilitarea procesului de formulare de politici alternative la nivelul reprezentantilor sindicatelor din sistemul penitenciar, de la prioritizare probleme, strategii de raspuns, obținerea consensului social, finalizat cu 2 propuneri alternative de politica înaintate instituțiilor responsabile, însoțite de o foaie de parcurs a procesului de dialog social</t>
  </si>
  <si>
    <t>Obiectivul general al proiectului este cresterea capacitatii Federatiei Zonelor Metropolitane si Aglomerarilor Urbane din România (FZMAUR), a ADI-urilor membre ale acesteia (13 ONG-uri) precum si a Asociatiei pentru Mobilitate Metropolitana (AMM) de a formula si promova propuneri alternative la politicile publice initiate de Guvern în domeniul transportului public local si metropolitan de calatori din România.
Obiectivele specifice:
A) Analiza situatiei existente a transportului public local si metropolitan de calatori la nivelul a 20 de poli de crestere/poli de dezvoltare urbana/municipii resedinta de judet. Studiul va fi realizat de catre partenerul Asociatia pentru Mobilitate Metropolitana, având în vedere experienta acestuia în domeniu si va prezenta starea actuala a serviciului de transport public local si metropolitan de calatori si a problemelor existente în cadrul a 20 de localitati relevante, constituind un punct de pornire pentru elaborarea politicii publice alternative în domeniu.
B) Instruirea grupului tinta în domeniul management în transporturi. Scopul instruirii grupului tinta format dintr-un numar de 40 de persoane, care au atributii, direct sau indirect, în domeniul transportului public local si/sau metropolitan de calatori, este de a le creste competentele în planificarea/gestionarea/monitorizarea serviciului public de transport local si metropolitan de calatori si de a-si îmbunatati capacitatea de a formula si promova propuneri de politici publice alternative la politicile publice initiate de Guvernul României în domeniu.
C) Elaborarea unei Politici publice alternative la politicile publice initiate de Guvern în domeniul transportului public local si metropolitan de calatori din România. Politica publica alternativa va încerca sa rezolve o serie de probleme identificate la nivelul transportului public local si metropolitan de calatori, precum si de necorelari legislative identificate.</t>
  </si>
  <si>
    <t>Obiectiv general:
Cresterea capacitatii ONG-urilor si a partenerilor sociali pentru dezvoltarea de propuneri alternative la politici publice pentru afaceri, pentru facilitarea dezvoltarii antreprenoriatului prin implicarea activa a structurilor asociative la imbunatatirea proceselor decizionale orientate catre cetateni si mediul de afaceri.
Obiective specifice:
OS1-Identificarea barierelor pentru initierea si dezvoltarea afacerilor prin elaborarea unui studiu privind evaluarea unor proceduri administrative, bazat in principal pe un sondaj de opinie cu „500” respondenti adresat persoanelor care doresc sa initieze o afacere, intreprinzatorilor care au deja o afacere, ONG-urilor si partenerilor sociali.
2. OS2-Evaluarea nevoilor de cresterea a capacitatii ONG-urilor si partenerilor sociali de a formula si dezvolta propuneri alternative la politicile publice pentru afaceri , prin elaborarea unui sondaj de opinie cu 200 respondenti, ONG-uri, parteneri sociali reprezentand oameni de afaceri din diferite domenii de activitate.
3. OS3-Cresterea gradului de constientizare a ONG-urilor si a partenerilor sociali privind impactul implicarii acestora in politicile publice pentru afaceri, in aplicarea egalitatii de sanse si a dezvoltarii durabile, prin organizarea de 8 seminarii regionale de informare si dezbateri pe marginea studiului elaborat, cu 400 de persoane din ONG-uri si parteneri sociali, inclusiv cu participarea specialistilor di reprezentantilor administratiei publice.
4. OS4-Dezvoltarea cunostintelor si abilitatilor resurselor umane din ONG-uri si parteneri sociali pentru un numar de 160 participanti, prin cursuri de formare pe trei domenii: procesul elaborarii politicilor publice; activitati de sustinere si promovare a solutiilor alternative la politici publice; instrumente independente de monitorizare a politicilor publice pentru afaceri.
5. OS5-Dezvoltarea abilitatilor practice ale ONG-urilor si partenerilor sociali in dialogul social si civic prin elaborarea de solutii alternative la politici publice pentru afaceri, prin organizarea de 8 focus-grupuri regionale si a unui focus-grup national.
6. OS6-Dezvoltarea capacitatii ONG-urilor si partenerilor sociali de a formula instrumente independente de monitorizare a politicii publice pentru afaceri prin organizarea de 8 focus-grupuri regionale si a unui focus-grup national.
7. OS7- Dobandirea de competente practice de membrii GT prin activitati de advocacy pentru promovarea si sustinerea propunerilor alternative la politici publice catre autoritatile publice cu responsabilitati in domeniu, in vederea acceptarii propunerilor formulate pentru simplificarea procedurilor administrative pentru afaceri.
8. OS8 -Dezvoltarea capacitatii asociative a membrilor GT prin crearea unei coalitii informale pentru un mediu favorabil afacerilor si a 3 retele tematice sectoriale pentru asigurarea sustenabilitatii proiectului si a permanetizarii actiunilor de simplificare a procedurilor administrative pentru afaceri.
9. OS9-Promovarea si consolidarea parteneriatului public privat prin cooperarea ONG-urilor si partenerilor sociali cu administratia publica in activitati concrete si masuri de promovare si implementare a politicilor publice pentru afaceri, prin incheierea unui numar de 10 acorduri de parteneriat.
10. OS10 - Informarea, sensibilizarea si constientizarea societatii civile privind implicarea ONG-urilor si partenerilor sociali in formularea de propuneri alternative la politici publice pentru afaceri prin actiunile de informare si publicitate prin 2 conferinte (lansare si finalizarea a proiectului cu 60 participanti/conferinta), site, retele de socializare, afise, anunturi si comunicate de presa.</t>
  </si>
  <si>
    <t>Obiectivul general al proiectului este îmbunatatirea capacitatii administrative la nivelul Ministerului Energiei prin sistematizarea cadrului legislativ si actualizarea/dezvoltarea cadrului strategic în domeniul energiei.
Obiectivele specifice ale proiectului:
1. Completarea, armonizarea cu legislatia la nivelul Uniunii Europene si sistematizarea cadrului de reglementare în sectorul
energetic.
2. Elaborarea Strategiei energetice la nivelul romaniei si coroborarea cu tintele stabilite la nivel european in domeniul energetic.
3. Monitorizarea si evaluarea actiunilor si masurilor implementate in domeniul energetic.</t>
  </si>
  <si>
    <t>Obiectivul general al proiectului îl reprezinta consolidarea capacitații Agentiei Nationale de Administrare Fiscala de a sustine initiativele de modernizare, prin introducerea de servicii publice electronice ce optimizeaza procesele decizionale orientate catre mediul de afaceri, inclusiv prin implementarea unui fisier standard international de audit pentru toti operatorii economici.
Obiectivele specifice ale proiectului
1. Analiza activitatilor ANAF, precum si însusirea bunelor practici în materie de administrare fiscala
2. Implementarea Fisierului Standard de Audit (SAF-T) reprezentând o structura standardizata a informatiilor relevante pentru
controalele fiscale în vederea reducerii costului conformarii pentru societați
3. Formularea de propuneri de amendare a legislatiei primare si secundare privind obligatia contribuabilului de a depune Fisierul Standard de Audit
4. Îmbunatatirea cunostintelor si abilitatilor personalului din cadrul A.N.A.F. privind utilizarea aplicatiei informatice si a metodologiei specifice.</t>
  </si>
  <si>
    <t>Obiectiv general: Optimizarea si cresterea calitatii serviciilor oferite de administratia publica din domeniul educatiei prin crearea unui cadru normativ predictibil si stabil si prin dezvoltarea unei politici publice bazata pe orientarile strategice în invatamântul preuniversitar si universitar la orizontul 2030.                                                                                                                                                         1. Realizarea analizei de sistem a actelor normative din învatamântul preuniversitar si universitar pentru cresterea calitatii
reglementarilor si optimizarea proceselor decizionale prin fundamentarea acestora.
2. Realizarea unei politici publice la orizontul 2030 în domeniul educatiei pentru implementarea unui cadru strategic unitar.3. 3. Sistematizarea, simplificarea si eficientizarea a 5 acte normative din domeniul educatiei, învatamânt preuniversitar si universitar pentru dezvoltarea unui cadru normativ predictibil si stabil în administratia publica din domeniul educatiei
4. Elaborarea studiului de impact ex –ante privind implementarea cadrului strategic propus pentru evaluarea impactului asupra societatii si a bugetului si cresterea calitatii reglementarilor.
5. Dezvoltarea competentelor a 77 de angajati ai ministerului educatiei pentru îmbunatatirea proceselor din administratia publica.</t>
  </si>
  <si>
    <t>1. Elaborarea Strategiei nationale privind drepturile persoanelor cu dizabilitati, 2021-2027, care sa asigure implementarea CDPD (numita în continuare Strategia 2021-2027), cu obiective/tinte specifice cu indicatori masurabili.
2. Dezvoltarea unui mecanism functional de monitorizare a implementarii Strategiei 2021-2027 prin obtinerea de dovezi privind modul în care drepturile persoanelor cu dizabilitati sunt respectate.</t>
  </si>
  <si>
    <t>Obiectivul general: îmbunatatirea comunicarii publice la nivelul sistemului judiciar în vederea consolidarii imaginii acestuia, dar si asigurarea unei transparente sporite în interiorul si exteriorul sistemului, precum si îmbunatatirea accesului la justitie prin
cresterea gradului de informare, constientizare a drepturilor cetatenilor si dezvoltarea culturii juridice.
Obiectivele specifice ale proiectului
OS 1:Imbunatatirea si abordarea integrata si unitara a comunicarii publice la nivelul sistemului judiciar
OS 2:Sprijinirea demersurilor institutiilor din sistemul judiciar pentru facilitarea accesului la informatii privind sistemul judiciar si serviciile publice furnizate cetatenilor
OS 3: Cresterea gradului de informare, constientizare a drepturilor cetatenilor si dezvoltarea culturii juridice.</t>
  </si>
  <si>
    <t>Obiectivul general al proiectului este de a elabora o politica publica în domeniul comunicațiilor în banda larga care sa asigure o abordare strategica generala a domeniului, bazata pe o analiza teritoriala, pe diferite instrumente de intervenție si finanțare a dezvoltarii retelelor si identificarea de masuri de sprijin în vederea încurajarii adoptarii serviciilor în banda larga, condiție esențiala pentru adoptarea e-guvernarii.
OS1. Îmbunatațirea capacitații MCSI de a interveni pe piata de broadband, în condiții de disfuncționalitate, prin elaborarea unui
document de analiza completa a opțiunilor de intervenție publica.
OS2. Cresterea cererii si utilizarii rețelelor de foarte mare capacitate prin elaborarea Planului de acțiuni menite sa sprijine instalarea acestora.</t>
  </si>
  <si>
    <t>Consolidarea capacitatii Ministerului Economiei de implementare si evaluare a strategiilor/politicilor publice pe care le coordoneaza.
Obiectivele specifice ale proiectului
1. Punerea la dispoziția Ministerului Economiei a instrumentelor necesare în vederea elaborarii, implementarii si monitorizarii
Strategiei Naționale de Competitivitate
2. Extinderea sferei de aplicație a Atlasului Economic al României catre zona utilizatorilor din afara Ministerului Economiei
3. Dezvoltarea competentelor angajatilor Ministerului Economiei în domeniul politicilor publice</t>
  </si>
  <si>
    <t>Obiectivul general: Dezvoltarea capacitatii administrative a MMJS si ANES de a fundamenta pe dovezi politicile publice din aria de responsabilitate, respectiv a cadrului strategic national privind incluziunea sociala si reducerea saraciei post 2020 si a cadrului strategic national pentru egalitatea de gen post 2020, conform cerintelor stabilite de Comisia Europeana, în vederea îndeplinirii conditiilor favorizante esentiale pregatirii documentelor aferente CFM post 2020 si accesarii FESI în perioada 2021-2027.
Obiective specifice:
OS 1. Cresterea capacitatii MMJS si ANES de a fundamenta politici publice bazate pe dovezi prin colaborarea cu experti din mediul universitar cu experienta in domeniu, in elaborarea cadrului strategic national post 2020 privind incluziunea sociala si respectiv egalitatea de gen, obiectiv atins prin RP1 si RP2.
2. OS 2. Imbunatatirea nivelului de cunoastere a fenomenelor saraciei, excluziunii sociale, egalitatii de gen, prin realizarea unei analize diagnostic bazata pe date statistice, obiectiv atins prin RP1 si RP2.
3. OS 3. Planificarea strategica post 2020 a masurilor interdisciplinare care vizeaza cresterea incluziunii sociale, reducerea saraciei,
precum si care vizeaza egalitatea de gen, obiectiv atins prin RP3.
4. OS 4 Sprijinirea procesului de programare a CFM post 2020 si îndeplinirea conditiilor stabilite de Comisia Europeana pe domeniile incluziunii, reducerii saraciei si domeniul egalitatii de gen, pentru ca România sa acceseze fondurile europene post 2020, obiectiv atins prin RP3.
5. OS 5 Intarirea cooperarii interinstitutionale (a MMJS si ANES cu institutiile de nivel central si local cu atributii in incluziunea sociala si in ceea ce priveste egalitatea de gen) prin implicarea activa a acestora in elaborarea acestui cadru strategic, obiectiv atins prin RP3.</t>
  </si>
  <si>
    <t>Obiectivul general: Consolidarea capacitati anticipatorii de elaborare a politicilor publice bazate pe dovezi în domeniul                                     Obiectivele specifice ale proiectului
1. Elaborarea cadrului Strategic National de Cercetare, Dezvoltare si Inovare 2021-2027, incluzând sinergiile cu Strategia Nationala
de Specializare Inteligenta
2. Elaborarea cadrului Strategic National de Specializare Inteligenta
3. Îmbunatatirea politicilor publice si cresterea calitatii reglementarilor în domeniul antreprenoriatului inovativ
4. Revizuirea legislatiei în domeniul CDI, asociat cadrului strategic dezvoltat
5. Implementarea unui sistem de managementul calitatii la nivelul MCI
6. Dezvoltarea competentelor membrilor grupului tinta si actorilor implicati în activitatile proiectului si în implementarea cadrului
strategic dezvoltat (SNCDI, SNSI)</t>
  </si>
  <si>
    <t>Obiectivul general: Consolidarea capacitatii de planificare strategica si operationala a Ministerului Dezvoltarii Regionale si Administrației Publice în vederea
îndeplinirii obligațiilor europene privind eficiența energetica în cladiri si a eficientizarii actiunilor ministerului în domeniul riscului seismic.
Obiectivele specifice ale proiectului
1. Asigurarea cadrului strategic pentru renovarea fondului construit, potrivit nevoilor naționale si prevederilor legislației europene prin
elaborarea Strategiei de renovare pe termen lung;
2. Optimizarea cadrului legislativ privind eficiența energetica în cladiri si reziliența fondului construit la riscul seismic;
3. Optimizarea proceselor decizionale de la nivelul MDRAP si de la nivelul autoritaților publice locale pentru utilizarea eficienta si
eficace a fondurilor publice în programe si proiecte;
4. Realizarea unor instrumente si metode eficiente de evidența si monitorizare pentru atingerea țintelor stabilite prin strategii si
reglementari europene si naționale privind fondul construit;
5. Formarea unui numar de 35 de persoane din cadrul MDRAP si ISC în vederea îmbunatațirii cunostințelor si abilitaților în domeniul
eficienței energetice si riscului seismic;
6. Asigurarea unor instrumente de informare si comunicare pentru aplicarea strategiei si legislației modificate.</t>
  </si>
  <si>
    <t>Obiectivul general: Dezvoltarea si introducerea de sisteme si standarde comune în sistemul public de sanatate ce optimizeaza procesele decizionale - reprezentate de reglementari (acte normative, procedure, norme metodologice etc.) precum si a procesului de initiere,
adoptare,implementare si evaluare a acestora - orientate catre cetateni si mediul de afaceri în concordanta cu SCAP
Obiectivele specifice:
1. OBS 1. Crearea unui cadru specific privind stabilirea si implementarea actiunilor necesare consolidarii cadrului legislative in
domeniul sanatatii avand la baza imbunatatirea politicilor publice si cresterea calitatii reglementarilor in domeniul sanatatii
2. OBS 2. Crearea unui set de reglementari legislative care sa conduca la simplificarea procedurilor administrative si reducerea
birocratiei in domeniul sanatatii, proceduri care afecteaza atat cetateni precum si mediul de afaceri.
3. OBS 3. Dezvoltarea abilitatilor si cunostintelor unui numar de numar de 150 persoane, personal al autoritatile si institutiile
publice centrale – respectiv Ministerul Sanatatii si Casa Nationala a Asigurarilor de Sanatate, reprezentati ai Ministerului Sanatatii,
implicati de cele mai multe ori în procesele de legiferare, pentru utilizarea instrumentelor specifice de politica publica</t>
  </si>
  <si>
    <t>Obiectiv general: Consolidarea capacitatii Oficiului de Stat pentru Inventii si Marci si a Ministerului Economiei in vederea elaborarii, implementarii si evaluarii strategiilor si politicilor publice in domeniul proprietatii industriale.                                                                                                                1. Sprijinirea Oficiului de Stat pentru Inventii si Marci si Ministerul Economiei in vederea elaborarii si implementarii unei Strategii
nationale in domeniul proprietatii industriale.
2. Facilitarea accesului solicitantilor/utilizatorilor la serviciile OSIM prin dezvoltarea si implementarea unei aplicatii integrate software.
3. Dezvoltarea competentelor angajatilor Oficiului de Stat pentru Inventii si Marci si ai Ministerului Economiei in domeniul politicilor
publice.</t>
  </si>
  <si>
    <t>Obiectivul general al proiectul:Consolidarea capacității ISC de a exercita controlul de stat cu privire la respectarea disciplinei în urbanism si a regimului de autorizare a construcțiilor, precum si la aplicarea unitara a prevederilor legale în domeniul calității în construcții                                                                                                                       1.Simplificarea procedurilor ce vizeaza reducerea poverii administrative pentru mediul de afaceri prin introducerea unor instrumente
moderne si eficiente de management si de gestionare a neconformitaților constatate în activitatea de control a inspectorilor în
constructii în toate domeniile specifice si la îmbunatațirea calitații si eficienței serviciilor publice oferite de catre ISC.
2. Extinderea sistemului informatic integrat de management existent.
3. Dezvoltarea competentelor angajatilor Inspectoratului de Stat în Construcții în domeniul politicilor publice</t>
  </si>
  <si>
    <t>Obiectivul general al proiectului este acela de a eficientiza managmentul ariilor naturale protejate si de a sprijini dezvoltarea durabila, bazata pe valorile biodiversității, în folosul cetățenilor si a mediului de afaceri.                                                                                                                              1. Îmbunatățirea accesului la informații despre ariile naturale protejate, prin dezvoltarea unui sistem de colectare, uniformizare si
gestionare a informațiilor, a unei bazei de date geospațiale si a unui mecanism pentru promovarea valorificarii durabile a
potențialului economic;
2. Eficientizarea proceselor administrative ale ANANP, prin implementarea unei platforme integrate;
3. Utilizarea optima a instrumentelor si mecanismelor elaborate si dezvoltate în cadrul proiectului prin instruirea grupului tinta.</t>
  </si>
  <si>
    <t>Obiective proiect
Implementarea SNDD 2030 prin asigurarea cadrului adecvat de implementare, cresterea capacitatii institutionale a autoritatilor centrale, eficientizarea comunicarii si colaborarii interinstitutionale, asigurarea consistentei implementarii prin monitorizarea progresului si prezentarea tendintelor de dezvoltare ale Romaniei, permitand decizii publice bazate pe dovezi in maniera proiectiva, anticipand evolutii si riscuri sistematice.
Obiectivele specifice ale proiectului
1. Operationalizarea cadrului strategic existent in domeniul dezvoltarii durabile prin elaborarea planului de actiune pentru implementarea Strategiei Nattonale pentru Dezvoltarea Durabila a României 2030 (SNDD), de catre Departamentul pentru Dezvoltare Durabila al Guvernului României
2. Realizarea unui mecanism de monitorizare si raportare a implementarii SNDD, prin extinderea si valorificarea rezultatelor,
experientei si functionalitatii sistemului informatic agregator de date statistice elaborat in cadrul proiectului ”Starea Națiunii –
construirea unui instrument inovator pentru fundamentarea politicilor publice” (SIPOCA 11), cod SMIS 118963, gestionat de Directia pentru Strategii Guvernamentale din cadrul Secretariatului General al Guvernului Romaniei, si realizarea corespondentei cu indicatorii pe care Institutul National de Statistica si alte institutii publice relevante ii colecteaza, centralizeaza si agrega.
3. Crearea cadrului institutional adecvat pentru implementarea si monitorizarea SNDD prin infiintarea de nuclee de dezvoltare
durabila in cadrul autoritatilor publice centrale si locale, formarea profesionala in domeniul dezvoltarii durabile a personalului din
cadrul acestora, si dezvoltarea capacitatii institutionale a Departamentului pentru Dezvoltare Durabila al Guvernului Romaniei, in
vederea indeplinirii functiilor de planificare strategica in domeniul dezvoltarii durabile, de coordonare a activitatilor de implementare rezultate din setul de 17 Obiective de Dezvoltare Durabila ale Agendei 2030 si de monitorizare a indicatorilor dezvoltarii durabile, functii stabilite prin Hotararea Guvernului nr. 313/2017 privind infiintarea, organizarea si functionarea Departamentului pentru dezvoltare durabila, cu modificarile si completarile ulterioare.</t>
  </si>
  <si>
    <t>Obiectivul general al proiectului este acela de a creste capacitatea administrativa a autoritatilor administratiei publice centrale si locale cu atributii în domeniul protecției copilului, prin introducerea de instrumente si standarde comune, în vederea optimizarii procesului decizional de asigurare a tranzitiei de la îngrijirea în instituții la îngrijirea în comunitate.                                                                                                                         1. Dezvoltarea si aplicarea unui sistem de politici bazate pe dovezi în domeniul protectiei copilului, prin implementarea la nivel
national a unui sistem de monitorizare si evaluare periodica a stadiului tranzitiei de la îngrijirea în institutii la îngrijirea în comunitate.
2. Sprijinirea dezvoltarii autoritatilor administratiei publice locale cu atributii în domeniul prevenirii separarii copilului de familie în
vederea cresterii calitatii serviciilor oferite copiilor expusi riscului de separare de familie.</t>
  </si>
  <si>
    <t>Obiectivul general al proiectului consta în cresterea capacitatii administrative la nivelul Ministerului Energiei prin dezvoltarea si
implementarea unui sistem unitar de management al calitatii si performantei – Standardul ISO 9001: 2015 si instrumentul CAF, inclusiv
dezvoltarea componentelor sistemului de management al Ministerului Energiei, astfel încât acesta sa faca fata principiilor si cerintelor SR
RO ISO 9001:2015, precum si îmbunatatirea competentelor personalului în desfasurarea activitatilor specifice managementului calitatii.</t>
  </si>
  <si>
    <t>1. Elaborarea si/sau reactualizarea procedurilor si metodologiilor privind planificarea strategica legata de conformarea cu cerintele
Directivei 91/271/CEE privind epurarea apelor uzate urbane si optimizarea bugetarii programelor dedicate realizarii
infrastructurii specifice în vederea realizarii conformarii în cel mai scurt timpul posibil
2. Elaborarea si promovarea unui proiect de act normativ (lege) pentru definirea obligatiilor si responsabilitatilor legate de colectarea
si epurarea apelor uzate urbane
3. Reactualizarea Planului de implementare al Directivei 91/271/CEE privind epurarea apelor uzate urbane prin luarea în
considerare a modificarilor în marimea si distributia populatiei echivalente care a avut loc în perioada 2004-2017.
4. Elaborarea unei Strategii nationale privind alimentarea cu apa, colectarea si epurarea apelor uzate urbane si revizuirea
reglementarilor în vederea cresterii eficientei în aplicarea legislatiei specifice, a reducerii costurilor de implementare si a realizarii
unei sinergii cu implementarea altor directive din domeniul apei respectiv Directiva Nitrati, Directivei Cadru Apa si Directiva
Cadru Strategia Marina.
5. Dezvoltarea si implementarea, la nivelul Administratiei Nationale ”Apele Române”, a unui sistem si a procedurilor si mecanismelor
pentru coordonarea si consultarea cu factorii interesati privind implementarea, monitorizarea si evaluarea politicilor si strategiilor
din domeniul alimentarii cu apa, canalizarii si epurarii apelor uzate urbane.
6. Dezvoltarea abilitatilor si competentelor personalului din cadrul Ministerului Apelor si Padurilor si al Administratiei Nationale
”Apele Române” în vederea coordonarii interinstitutionale si eficientizarea proceselor, masurilor, actiunilor stabilite pentru
îmbunatatirea alimentarii cu apa, canalizarii si epurarii apelor uzate</t>
  </si>
  <si>
    <t>Obiectivul general al proiectului este legat de întarirea capacitatii actorilor implicati în procesul de formulare a propunerilor de politici
publice, bazate pe dovezi, în domeniul formarii profesionale pentru administratia publica.
Obiective specifice:
OS1 - Cresterea capacitatii institutionale prin: realizarea unei analize/cercetari cu privire la nevoile de formare pentru personalul din administratia publica si cu privire la piata de formare pentru administraTia publica;
OS2 - Promovarea bunelor practici în administratia publica si încurajarea schimbului de experienta si a networkingului
prin: crearea si operationalizarea Retelei Nationale a Furnizorilor de Formare pentru Administratia Publica (ReForm);crearea
unei baze de date cu furnizorii de formare pentru administratia publica;organizarea de evenimente în cadrul retelei.
OS3 - Dezvoltarea de competente profesionale/ 100 participanti la activitati formare pt OS1.1.</t>
  </si>
  <si>
    <t>Obiectivul general al proiectului:
Imbunatatirea cadrului sprijinirii dezvoltarii la nivel local si cresterea calitatii serviciilor publice de asistenta sociala prin dezvoltarea unui set de instrumente, proceduri, metodologii, ghiduri, instructiuni care sa sprijine autoritatile publice locale in indeplinirea atributiilor si obligatiilor pe domeniul serviciilor sociale care le revin printr-o abordare bazata pe dezvoltarea colaborativa - care sa implice autoritatile cu atributii in domeniul servicilor sociale (MMJS in calitate de autoritate publica centrala, si , respectiv DGASPC si SPAS in calitate de autoritati ale
administratiei publice locale), astfel incat sa asigure coordonarea si colaborarea intre aceste institutii.
Obiectivele specifice ale proiectului
1. Imbunatatirea coordonarii dintre actorii care activeaza in serviciile sociale (MMJS, autoritatile administratiei publice locale)pentru evitarea eventualelor suprapuneri de initiative si activitati care vizeaza serviciile sociale.
2. Cresterea capacitatii administrative a SPAS de a-si îndeplini obligatiile prevazute de legislatie în ceea ce priveste serviciile
sociale, precum si de a dezvolta si implementa initiative care vizeaza furnizarea de servicii comunitare integrate în comunitate la un înalt nivel calitativ si cu mijloace moderne</t>
  </si>
  <si>
    <t>Obiectiv general: Dezvoltarea unui sistem coerent de gestiune printr-un sistem informatic integrat, introducerea de sisteme si standarde comune în administratia publica ce optimizeaza procesele decizionale orientate catre cetateni si mediul de afaceri, în concordanta cu SCAP.            OS.1. Simplificarea si sistematizarea fondului activ al legislatiei din domeniul de activitate al ANRSC în concordanta cu Strategia
pentru mai buna reglementare 2014-2020:
- Stabilirea principalelor domenii asupra carora urmeaza a se interveni în scopul simplificarii si stabilirea criteriilor de prioritizare a
actelor normative aferente domeniilor selectate.
- Analiza stocului legislativ selectat si propunerea celor mai potrivite metode de simplificare.
- Îmbunatatirea accesului la informatii publice în format reutilizabil. OS2. Imbunatatirea nivelului de pregatire prin acumularea de cunostinte si abilitati ale personalului A.N.R.S.C, participarea la
activitati de formare</t>
  </si>
  <si>
    <t>Obiectivul general al proiectului este acela de a îmbunatati capacitatea Ministerului Mediului în gestionarea situatiilor de urgenta generate
de tipurile de risc specifice ministerului si a tipurilor de risc unde ministerul asigura functia de sprijin, precum si a situatiilor privind starea
mediului.
Obiectivele specifice ale proiectului
1. Elaborarea unor pachete de propuneri pentru eficientizare administrativa, sistematizare si simplificare legislativa privind
gestionarea situatiilor de urgenta generate de tipurile de risc specifice Ministerului Me-diului si a tipurilor de risc unde ministerul
asigura functia de sprijin, precum si a situatiilor privind starea mediului (poluarile accidentale, radioactivitate si calitatii aerului).
 2. Cresterea capacitatii administrative a Ministerului Mediului prin dezvoltarea si eficientizarea functionarii dispeceratului pentru
gestionarea situatiilor de urgenta generate de tipurile de risc specifice Ministerului Mediului si a tipurilor de risc unde ministerul
asigura functia de sprijin, precum si a situatiilor privind starea mediului.
3. Utilizarea optima a sistemului informatic dezvoltat în cadrul proiectului prin instruirea grupului tinta si prin diseminarea
informatiilor catre alte institutii.</t>
  </si>
  <si>
    <t>Consolidarea sistemului de management strategic la nivelul centrului guvernului si al ministerelor, prin cresterea capacitații SGG de a
coordona sistemul de management strategic, prin introducerea unor mecanisme noi si moderne de coordonare a elaborarii politicilor si
strategiilor nationale (policy lab) si prin întarirea capacitații de management strategic la nivelul ministerelor.
Obiectivele specifice ale proiectului
1. Cresterea calitații coordonarii, elaborarii si implementarii documentelor strategice/ întarirea functiei de management strategic la
nivelul SGG;
2. Dezvoltarea de noi instrumente pentru întarirea functiilor de management strategic la nivelul SGG.
3. Diagnosticarea capacitatii de management strategic la nivelul ministerelor;
4. Dezvoltatea capacitatii a trei ministere de a elabora documente strategice
5. Elaborarea a trei strategii naționale intersectoriale</t>
  </si>
  <si>
    <t>Sprijinirea fundamentarii politicii investitionale, a formularii prioritatilor de investitii în vederea identificarii unor obiective/proiecte relevante.
Obiectivele specifice ale proiectului
1. cresterea gradului de coerenta si complementaritate a proiectelor de investitii de la nivel local si regional
2. proiectarea unei politici investitionale coerente
3. identificare rapida a nevoilor de investitii si de asigurare a coordonarii interinstitutionale</t>
  </si>
  <si>
    <t>Obiectivul general al proiectului este acela de a îmbunatati calitatea reglementarilor elaborate de institutiile administratiei publice centrale.
Obiectivele specifice ale proiectului vizeaza:
Dezvoltarea mecanismului de control al calitatii reglementarilor si a procedurilor operationale aferente;
Sprijinirea unui numar de 3 institutii ale administratiei publice centrale (ministere, agentii sau autoritati de reglementare)
în realizarea a 3 studii de impact care pot include evaluari ex-post ale rezultatelor unor politici publice sau reglementari, estimându-se
în acelasi timp, impactul unor optiuni de solutionare a problemelor aparute in implementarea acestora. Politicile publice vizate
vor fi în domeniile economic, social si cultural.
Îmbunatatirea nivelului de instruire a specialistilor din administratia publica implicati în realizarea analizelor de impact cu
privire la metodologia specifica de realizare a acestora, precum si la alte practici în domeniu aplicate la nivel european.
Consolidarea Comunitatii expertilor in evaluarea impactului reglementarilor (CEEIR) si a rolului DCPP în coordonarea
acesteia.</t>
  </si>
  <si>
    <t>Obiectivul general al proiectului este sa sprijine cele 9 ministere de resort în elaborarea PSI si în corelarea acestora cu bugetul pe programe. Astfel, se va contribui la îmbunatațirea procesului decizional si la cresterea calitatii cheltuielilor publice prin extinderea sistemului de planificare strategica existent pentru cele 9 ministere de resort.
Obiectivele specifice ale proiectului
1. Elaborarea si actualizarea PSI-urilor în fiecare din cele 9 ministere de resort care nu au la acest moment PSI elaborat.
2. Extinderea sistemului de monitorizare prin crearea de instante ale aplicatiei la nivelul celor 9 ministere de resort si conectarea acestora la dashboard-ului de la nivelul SGG, care nu sunt conectate la acest sistem în prezent.
3. Formarea personalului de la nivelul celor 9 ministere de resort în domeniul planificarii strategice si în utilizarea aplicatiei IT de monitorizare a PSI.</t>
  </si>
  <si>
    <t>Consolidarea capacitații institutionale a Curții de Conturi a României de a realiza activitatea de audit public extern în acord cu standardele
internaționale în domeniu si asteptarile societații.
Obiectivele specifice ale proiectului
1. Îmbunatațirea planificarii strategice la nivelul CCR.
2. Actualizarea reglementarilor în domeniul auditului public extern.
3. Întarirea capacitațiii profesionale în domeniul auditului public extern.</t>
  </si>
  <si>
    <t>Obiectivul general al proiectului este acela de a întari capacitatea MADR de elaborare de politici publice bazate pe dovezi, de reducere a poverii administrative pentru mediul de afaceri si implementarea unor masuri de simplificare pentru cetațeni.
Obiectivele specifice ale proiectului
1. Extinderea si îmbunatatirea unui sistem de politici publice bazate pe dovezi în cadrul M.A.D.R. si a structurilor acesteia, crearea mecanismelor institutionale, administrative si procedurale, inclusiv sistematizarea legislatiei actuale cu accent pe cea aferenta zonei montane din România si formularea unui plan etapizat de propuneri pentru îmbunatatirea si simplificare a acesteia 2. Elaborarea unor proceduri de lucru eficiente si prietenoase cu mediul de afaceri si cetatenii, în concordanta cu specificitatile geografice, economice, sociale si culturale.
3. Instruirea grupului tinta pentru aplicarea acestora si diseminarea informatiilor în cadrul comunitatilor locale (mediul de afaceri si
cetateni).</t>
  </si>
  <si>
    <t>Obiectivul general al proiectului este acela de a întari capacitatea M.A.D.R. de elaborare de propuneri de politici publice în domeniul agroalimentar bazate pe dovezi, de reducere a poverii administrative pentru mediul de afaceri si implementarea unor masuri de simplificare pentru cetațeni.
Obiectivele specifice ale proiectului
1. Elaborarea unui pachet de propuneri de politici publice în domeniul agroalimentar (de ex: trasabilitatea si integritatea, gestionarea
situatiilor de criza de piata sau epizootice, promovarea produselor agroalimentare si cuantificarea risipei alimentare) bazate pe
dovezi, crearea mecanismelor institutionale, administrative si procedurale, inclusiv sistematizarea legislatiei actuale si formularea
unui plan etapizat de propuneri pentru îmbunatatirea, simplificare si completarea dupa caz a acesteia;
2. Elaborarea unui sistem informatic integrat de management si monitorizare în domeniul agroalimentar (sistem informatic care sa
furnizeze date privind productia, procesare, depozitare, comercializare, consum, bilant import/export, prognoze consum intern si
cerere-oferta pe piata interna precum si pe noi piete, etc) - SIIMM
3. Instruirea grupului tinta atât pentru aplicarea propunerilor de politici publice cât si pentru utilizarea sistemului informatic si ulterior
diseminarea informatiilor catre mediul de afaceri si cetateni.</t>
  </si>
  <si>
    <t>Modernizarea si sistematizarea cadrului legal, a instrumentelor de colectare a datelor si a metodelor de gestiune integrata a proceselor
statistice pentru consolidarea capacitatii INS în pregatirea, organizarea si realizarea recensamintelor nationale (din perioada 2020-2021 si
ulterior) si elaborarea statisticilor oficiale ce sustin politicile publice si procesul decizional.
Obiectivele specifice ale proiectului
1. revizuirea si elaborarea în perioada 2019-2022 a 8 acte normative (legislatie primara si secundara) la nivelul cerintelor proceselor
statistice actuale pentru functionarea Sistemului Statistic National (SSN) si productia de statistici oficiale, precum si privind Recensamântul General Agricol 2020 (RGA2020) si Recensamântul Populatiei si Locuintelor 2021 (RPL2021) si testarea preliminara a instrumentelor de colectare si prelucrare a datelor conform noilor prevederi legale;
2. introducerea în perioada 2019-2022 a instrumentelor moderne de colectare a datelor primare pentru productia de statistici oficiale (1 sistem integrat si documentat pentru RGA2020, 1 sistem integrat si documentat pentru RPL2021, 1 sistem integrat si documentat pentru perioadele intercenzitare) si a metodelor de gestiune a proceselor statistice (1 sistem integrat si documentat pentru Modelului Generic de Activitati pentru Organismele Statistice - MGAOS)/ Modelului Generic de procese Statistice - MGPS)
3. consolidarea în perioada 2019-2022 a proceselor de evaluare, pregatire si de elaborare a documentelor strategice privind dezvoltarea statisticii (1 foaie de parcurs 2019-2020 si 1 Strategie de Dezvoltare a Sistemului Statistic National - SDSSN 2021-2027);
4. asigurarea necesarului de cunostinte si competente în perioada 2019-2022 pentru personalul implicat în productia statisticilor oficiale, a realizarii recensamintelor nationale si a proceselor de planificare pe termen lung si operationala a statisticii oficiale (10 programe de instruire, pentru 675 de participanti)</t>
  </si>
  <si>
    <t>Obiectivul proiectului este acela de elaborare a politicii urbane ca instrument de consolidare a capacitatii administrative si de planificare
strategica a oraselor din România în sensul fundamentarii cadrului normativ, investitional si financiar si schimbarii mentalitatii în ceea ce
priveste procesul de dezvoltare urbana.
Obiective specifice:
OS 1 - Îmbunatatirea cadrului strategic privind dezvoltarea urbana;
OS2 - Îmbunatatirea cadrului de reglementare prin propunerile ce vor fi efectuate în cadrul Politicii Urbane, adresate nivelului central si
local;
OS3 - Îmbunatatirea cadrului de finantare, prin implementarea propunerilor ce vizeaza programele de finantare de la nivel national si
investitiile de la nivel local;
OS4 - Îmbunatatirea guvernantei centrale si locale prin optimizarea proceselor decizionale de la nivelul MDRAP si de la nivelul
autoritatilor publice locale pentru utilizarea eficienta a fondurilor publice în programe si proiecte de dezvoltare urbana.</t>
  </si>
  <si>
    <t xml:space="preserve">Proiectul propune dezvoltarea capacitații administrative a Ministerul Fondurilor Europene (”MFE”) prin crearea si dezvoltarea unui cadru unitar pentru managementul performant la nivelul MFE si susținerea reformelor instituționale, în concordanta cu "Planul de acțiuni pentru implementarea etapizata a managementului calității în autorități si instituții publice 2016-2020”, însoțite de implementarea unor soluții informatice inovative pentru evaluarea si monitorizarea managementului calității.
Obiectivele specifice ale proiectului
1. OS1. Cresterea performanței organizaționale prin implementarea Instrumentului de auto-evaluare a modului de funcționare a instituțiilor administrației publice (CAF) în MFE, în concordantă cu Planul de acțiuni pentru implementarea etapizata a managementului calității în autorități și instituții publice 2016-2020.
2. OS2. Cresterea eficienței serviciilor oferite de structurile din cadrul MFE prin implementarea si certificarea SR EN ISO 9001:2015 si a unor aplicații informatice suport pentru managementul calității.
3. OS2. Cresterea eficientei serviciilor oferite de structurile din cadrul MFE prin implementarea si certificarea SR EN ISO 9001:2015 si a unor aplicații informatice suport pentru managementul calității.
</t>
  </si>
  <si>
    <t>1. OS1. Optimizarea si simplificarea proceselor operationale de asigurare a respectarii normelor în materie de integritate la nivelul
ANI prin digitalizarea fluxurilor de lucru din cadrul institutiei.
2. OS2. Îmbunatatirea abilitatilor si cunostintelor personalului ANI pentru întelegerea abordarii pe procese si implementarea
masurilor de simplificare implementate prin proiect, precum si pentru utilizarea sistemelor informatice dezvoltate prin proiect. Sunt
avute în vedere formarea/instruirea, evaluarea/testarea si certificarea competentelor/cunostintelor dobândite pentru 79 de
persoane din cadrul grupului tinta, în ceea ce priveste sustinerea masurilor implementate prin proiect.</t>
  </si>
  <si>
    <t>1. Identificarea si dezvoltarea mecanismelor necesare pentru reducerea duratei proceselor, îmbunatatirea ratei de solutionare a
cauzelor, scaderea duratei de solutionare a cauzelor;
2. Dezvoltarea si implementarea unor instrumente standard de management integrat, pentru a fi introduse la nivelul instantelor, care
sa permita îmbunatatirea practicilor manageriale, sa asigure predictibilitatea în luarea deciziilor ce privesc buna functionare a
instantelor si, totodata, sa permita adaptarea solutiilor manageriale la specificul fiecarei instante.</t>
  </si>
  <si>
    <t>1. Asigurarea cadrului optim pentru repartizarea competentelor între administratia publica centrala si administratia publica locala si
exercitarea lor sustenabila si în mod special a actiunii.2. Cresterea coerentei, eficientei, predictibilitatii si transparentei procesului decizional în administratia publica prin: Stabilirea cadrului institutional pentru îmbunatatirea implementarii politicilor si a punerii în aplicarea prioritatilor Guvernului; Dezvoltarea si monitorizarea periodica a mecanismului de coordonare a implementarii documentelor strategice;Îmbunatatirea procesului de evaluare a impactului reglementarilor, a procesului de consultare publica, concomitent cu sistematizarea si simplificarea legislatiei.
3. Solutii IT pentru eficientizarea administratiei publice prin identificarea si implementarea solutiilor ITC avizate de institutiile abilitate
potrivit legii, de natura sa îndeplineasca cerintele operationale identificate. 4. Îmbunatatirea proceselor interne la nivelul institutiilor publice prin cresterea calitatii proceselor de monitorizare si evaluare a politicilor publice guvernamentale. 5. Dezvoltarea de mecanisme de monitorizare si evaluare a serviciilor publice. 6. Proiectul implementeaza actiuni din Strategia privind mai buna reglementare 2014-2020 legate în special de: Cresterea calitatii fluxului reglementarilor; Implementarea legislatiei europene;Dezvoltarea capacitatii administrative pentru implementarea politicilor privind mai buna reglementare</t>
  </si>
  <si>
    <t>1.Optimizarea cadrului de reglementare în domeniul constructiilor, cu accent pe reducerea sarcinilor administrative, cresterea
eficacitatii organismelor responsabile si a coerentei reglementarilor tehnice aplicabile constructiilor si investitiilor publice
2. Dezvoltarea unor instrumente metodologice, de informare si comunicare pentru asigurarea proiectarii de calitate în domeniul
arhitecturii si ingineriei si pentru asigurarea îndeplinirii angajamentelor asumate, inclusiv din perspectiva transpunerii si
implementarii în legislatia nationala a actelor comunitare în domeniul constructiilor
3. Informarea si instruirea unui aparat administrativ eficient care sa se bazeze pe instrumente obiective, cuantificabile si usor de
monitorizat si actualizat pentru asigurarea un mediu construit sustenabil, inteligent si incluziv si sprijinirea dezvoltarii la nivel local
si pentru cresterea calitatii serviciilor publice</t>
  </si>
  <si>
    <t>1. Elaborarea Strategiei Nationala de Sanatate 2021 – 2027
2. Dezvoltarea unei metodologii de elaborare a masterplanurilor regionale de servicii de sanatate;
3. Elaborarea celor cinci masterplanuri regionale de servicii de sanatate pentru regiunile: Centru, Sud-Est, Sud-Muntenia, Vest,
Bucuresti-Ilfov;
4. Crearea unui sistem de indicatori facil de colectat si cuantificat pentru monitorizarea si evaluarea implementarii MRSS;
5. Actualizarea Planurilor Regionale de Servicii Regionale de Sanatate;
6. Instruirea reprezentantilor Ministerul Sanatatii, ai Casei Nationale de Asigurari de Sanatate, ai INSP, SNSPMS, si ai
autoritatilor/institutiilor publice locale membre ale comitetelor de directoare regionale si judetene, implicati în activitatea de
elaborare, avizare, aprobare a MRSS, precum si în activitatile de monitorizare si evaluare a acestora.</t>
  </si>
  <si>
    <t>OS 1. Realizarea instrumentelor necesare autoritatilor publice centrale si locale în scopul îmbunatatirii cadrului organizatoric si
functional specific structurilor de politie locala
OS 2. Crearea cadrului normativ specific asigurarii unui management eficient al carierei politistului local si modernizarea
sistemului de formare continua si de perfectionare a pregatirii personalului din structurile de Politie Locala</t>
  </si>
  <si>
    <t>Obiectivul principal al proiectului il reprezinta de pe o parte impulsionarea muncii prin agent de munca temporara, tinând cont de principiul egalitații de tratament juridic care se ofera salariatilor temporari în raport de cei angajați pe durata nedeterminata si asigurarea eficienței principiului de „flexi-securitate” prevazut de legislația europeana si internaționala.
Obiectivele specifice ale proiectului
1. Flexibilizarea relatiilor de munca si cresterea numarului de contracte de munca temporare în scopul dezvoltarii pietei muncii si în conformitate cu reglementarile nationale si ale Directivelor Europene /Conventiilor Organizatiei Internationale a Muncii in urma identificarii necesitatilor de modificarea a prevederilor legale în vigoare în raport cu modificarile survenite pe piata muncii din România;
2.  Cresterea satisfactiei beneficiarilor serviciilor oferite de infrastructura administrativa implicata în procedura de autorizare si conditiile de functionare a agentilor de munca temporara
3. Dezvoltarea si introducerea de sisteme comune inclusiv informatice, care sa faciliteze procedurile de autorizare a furnizorilor de formare profesionala a adultilor, a accesului cetatenilor la aceste programe de formare autorizate.</t>
  </si>
  <si>
    <t>Obiectivul principal al proiectului il reprezinta Dezvoltarea si introducerea de sisteme si standarde comune în domeniul transplantului menite sa optimizeze procesele decizionale - reprezentate de reglementari (acte normative, proceduri, ghiduri, etc.)
Obiectivele specifice ale proiectului
1. Analiza si restructurarea tuturor actelor normative care guverneaza activitatea de transplant
2. Introducerea de standarde de cost aferente fiecarei activitati si proceduri din domeniul transplantului
3. Dezvoltarea si implementarea funcționalitaților Registrului Național de Transplant
4. Instruirea personalului autorizat în manipularea si gestionarea Registrului Național de Transplant</t>
  </si>
  <si>
    <t>Obiectivul general al proiectului îl constituie realizarea unui sistem de monitorizare a fluxurilor de deseuri menajere si similare în scopul
îmbunatatirii mecanismelor de gestionare a instrumentului economic “Plateste Pentru Cât Arunci”, astfel încât sa poata creste gradul de
reciclare a deseurilor municipale.
Obiectivele specifice ale proiectului
1. Realizarea unui Plan de actiune pentru digitalizarea si implementarea PPCA.
2. Realizarea unui Mecanism privind aplicarea instrumentului economic „Plateste pentru cât arunci” (PPCA).
3. Competente crescute pentru personalul Ministerului Mediului, autoritatilor în subordine sau coordonare si personalului din cadrul
structurilor asociative ale autoritatilor administratiei publice locale pentru implementarea instrumentului economic PPCA</t>
  </si>
  <si>
    <t>1.Dezvoltarea metodelor necesare optimizarii procesului decizional la nivelul Ministerului Mediului, al Agentiei Nationale pentru
Protectia Mediului, Administratiei Rezervatiei Biosferei Delta Dunarii si al autoritatilor publice locale subordonate în vederea
îmbunatatirii politicilor publice în domeniul biodiversitatii, prin elaborarea ghidurilor necesare derularii unitare la nivel national a
procedurii de evaluare adecvata.
2. Dezvoltarea metodelor necesare optimizarii procesului decizional la nivelul Ministerului Mediului, al Agentiei Nationale pentru
Protectia Mediului si al autoritatilor publice locale subordonate, în vederea îmbunatatirii politicilor publice în domeniul
biodiversitatii, prin implementarea în legislatia nationala a Protocolului de la Nagoya.</t>
  </si>
  <si>
    <t>1.Dezvoltarea de mecanisme de coordonare si monitorizarea politicilor si actiunilor de adaptare la schimbarile climatice si
din domeniul calitatii aerului prin intermediul unor servicii interconectate si proiectate astfel încât sa asigure o calitate buna a
mediului si protectia cetatenilor în contextul situatiilor generate de riscurile climatice extreme (valuri de caldura/frig, seceta,
precipitatii abundente generatoare de inundatii, viscol, etc.) si poluare atmosferica.
2. Realizarea unei Platforme nationale de adaptare la schimbarile climatice – RO-ADAPT, cu informatii si date specializate
privind schimbarile climatice si efectele induse de acestea atât în domeniul protectiei mediului (inclusiv calitatea aerului) si
biodiversitatii, precum si in alte sectoare cheie vulnerabile (energie, transport, dezvoltare urbana, apa potabila si resurse de apa)
pentru o mai buna fundamentare a politicilor si strategiilor de dezvoltare si planificare pe termen mediu si lung, precum si pentru o
mai buna informare a cetatenilor, la nivel national, asupra riscurilor generate de cresterea frecventei si intensitatii riscurilor
climatice extreme.
3. Realizarea de servicii climatice specializate prin crearea unui Centru National de Monitorizare Climatica (CNMC) cu rol
de suport pentru fundamentarea politicilor si strategiei nationale de adaptare la efectele schimbarilor climatice.
4. Realizarea unor ghiduri, proceduri si metodologii pentru identificarea, cuantificarea si evaluarea serviciilor ecosistemice
în vederea adoptarii celor mai bune decizii privind conservarea si gestionarea mediului, si implicit un mijloc de reducere a
emisiilor de gaze cu efect de sera.</t>
  </si>
  <si>
    <t>Obiectivul general al proiectului este a dezvolta un sistem integrat de management care sa permita elaborarea de rapoarte, analize, studii menite sa imbunatateasca si sa consolideze capacitatea decizionala a autoritatii prin prelucrarea datelor specifice colectate de Platforma
informatica din asigurarile de sanatate (PIAS) care cuprinde: Sistemul informatic unic integrat (SIUI), Sistemul national al cardului de
asigurari sociale de sanatate (CEAS), Sistemul national de prescriere electronica (SIPE) si Sistemul dosarului electronic de sanatate al pacientului (DES), sisteme create la momente diferite, de echipe diferite, în maniere diferite, rezultând un amalgam care, desi functional si de neînlocuit din punct de vedere operational nu poate fi folosit pentru analiza integrata. Pentru ca datele sa fie integrate, ele trebuie sa fie
convertite, reformatate, renumerotate, sumarizate, etc. rezultand o unica imagine a activitatilor CNAS care vor conduce printre altele la consolidarea capacitatii institutionale si o planificare strategica eficienta, respectiv elaborarea de politici publice bazate pe dovezi Obiectivele specifice ale proiectului:
1. Fundamentarea riguroasa a deciziilor de management CNAS/CJAS bazate pe întelegerea nevoilor, reducerea riscurilor, cresterea eficientei cheltuielilor publice ;
2. Generarea de rapoarte personalizate în vederea efectuarii analizelor, rapoartelor de diferite tipuri sau statisticilor necesare la nivel intern sau in solicitarile externe (Ministerul Sanatatii, Institutul National de Statistica, Institutul Național de Sanatate Publica, etc.);
3. Cresterea gradului de pregatire profesionala a personalului de decizie si crearea unei structuri organizatorice optime.</t>
  </si>
  <si>
    <t>1.Elaborarea unui document strategic care vizeaza modificarea/completarea/reactualizarea ,,Strategiei nationale de management al
riscului la inundatii pe termen mediu si lung,,, prin adaptarea legislativa la cerintele institutionale actuale si la unele metodologii
noi.
2. Revizuirea si reactualizarea Planului de actiune pentru implementarea Strategiei Nationale de Management al Riscului la Inundatii
pe termen mediu si lung, prin luarea în considerare a masurilor si actiunilor întreprinse în perioada 2010-2018.
3. Elaborarea Raportului de mediu aferent documentului strategic care vizeaza modificarea/completarea/reactualizarea ,,Strategiei
nationale de management al riscului la inundatii pe termen mediu si lung,, , în contextul noilor modificari legislative si
administrative
4. Elaborarea si promovarea unui proiect de act normativ (Hotarâre a Guvernului) pentru aprobarea noului document strategic
rezultat în urma modificarii/completarii/reactualizarii .
5. Identificarea si stabilirea concreta a responsabilitatilor, masurilor si actiunilor care trebuie întreprinse la nivelul fiecarei institutii cu
responsabilitati în domeniu, în vederea implementarii ,,Strategiei nationale de management al riscului la inundatii pe termen
mediu si lung, pentru perioada 2020-2035.
6. Stabilirea, la nivelul Ministerului Apelor si Padurilor si al Administratiei Nationale ”Apele Române”, a unui cadru institutional privind
monitorizarea si evaluarea implementarii politicilor si strategiilor prin proceduri si mecanisme din domeniul managementului
riscului la inundatii, aplicabile tuturor institutiilor de la nivel central si local, cu atributii în managementul riscului la inundatii.
7. Dezvoltarea, la nivelul Ministerului Apelor si Padurilor si al Administratiei Nationale ”Apele Române”, a unui sistem/ mecanism de
monitorizare si raportare a implementarii masurilor si actiunilor prevazute în Planul de actiune pentru implementarea Strategiei
nationale de management al riscului la inundatii,pentru perioada 2019-2035.
8. Dezvoltarea bazei de date nationale privind inundatiile, prin marcarea zonei inundate si a obiectivelor afectate (dupa fiecare
inundatie) ca instrument operativ necesar luarii deciziilor si dispunerii masurilor celor mai eficiente pentru minimizarea efectelor.
9. Dezvoltarea abilitatilor si competentelor personalului din cadrul Ministerului Apelor si Padurilor si al Administratiei Nationale
”Apele Române” în vederea coordonarii interinstitutionale si eficientizarea proceselor, masurilor, actiunilor stabilite pentru
îmbunatatirea implementarii prevederilor Strategiei nationale de management al riscului la inundatii.</t>
  </si>
  <si>
    <t>Obiectivul general al proiectului este adoptarea unor masuri de simplificare a procedurilor In scopul reducerii poverii administrative pentru
cetateni (consumatori) si mediul de afaceri implicati in procesul de schimbare a furnizorului de energie electrica si gaze naturale prin
implementarea unei solutii informatice inovative.
Obiectivele specifice ale proiectului
1. Obiectivul specific nr. 1: Simplificarea si sistematizarea fondului activ al legislatiei din domeniul de activitate al ANRE in vederea
asigurarii aderarii tuturor participantilor din piata la platforma integrata dezvoltata prin proiect prin elaborarea si adoptarea unui act
normativ in domeniul energiei in domeniul specific al schimbarii furnizorului.
2. Obiectivul specific nr. 2: Optimizarea proceselor operationale din piata de energie generate de solicitarile de schimbare a
furnizorului prin dezvoltarea si implementarea unei platforme online.
3. Obiectivul specific nr. 3: Imbunatatirea nivelului de pregatire prin acumularea de cunostinte si abilitati pentru 40 de persoane,
personal din cadrul A.N.R.E. prin participarea la activitati de formare</t>
  </si>
  <si>
    <t>Obiectivul general al proiectului
Consolidarea capacitatii institutionale a Agentiei Nationala de Administrare a Bunurilor Indisponibilizate, precum si a cooperarii între
institutiile cu atributii în domeniul sechestrarii, administrarii, confiscarii, valorificarii si reutilizarii creantelor provenite din infractiuni, prin
modernizarea si eficientizarea proceselor de lucru si fluxurilor aferente
Obiectivele specifice ale proiectului
1. Dezvoltarea sistemului informatic national integrat de evidenta a creantelor provenite din infractiuni</t>
  </si>
  <si>
    <t>Întarirea capacitatii de colectare, procesare si analiza a datelor referitoare la criminalitatea organizata si cresterea capacitatii
administrative a Ministerului Public.
Obiectivele specifice ale proiectului
1. Realizarea si implementarea unui sistem informatic de colectare integrata si transfer eficient al datelor referitoare la criminalitatea
organizata
2. Întocmirea Analizei Nationale de Riscuri si Amenintari privind criminalitatea organizata (ANRA) si elaborarea unui proiect de
strategie nationala pentru combaterea criminalitatii organizate
3. Realizarea si implementarea unui/unei portal/platforme web securizat(a) accesibil(a) angajatilor Ministerului Public care sa
întareasca capacitatea administrativa a Ministerului Public.</t>
  </si>
  <si>
    <t>Obiectivul general proiectului este de a consolida parteneriatul dintre MMJS - ANPIS - cetatean, promovând principiile unei bune guvernari
prin cresterea gradului de transparenta a politicilor implementate de catre MMJS (inclusiv ANPIS) prin realizarea de instrumente moderne
si canale eficiente, accesibile si accesibilizate de comunicare, adaptate la progresele tehnologiei moderne.
Obiectivele specifice ale proiectului
1. Se va realiza un cadrul strategic de implementare a unor politici familiale performante, inclusiv dezvoltarea un mecanism unitar de
colectare, raportare, centralizare si interpretare a indicatorilor de performanta în domeniul politicilor familiale între MMJS-ANPISAJPIS;
2. Simplificarea accesarii serviciilor din domeniul politicilor familiale prin dezvoltarea unei interfete prietenoase de comunicare,
directe, usor de accesat si accesibilizate pentru cetateni, precum si prin dezvoltarea unei strategii la nivel national în domeniu,
astfel încât „nimeni sa nu fie lasat în urma”.</t>
  </si>
  <si>
    <t>Obiectivul general al proiectului consta in cresterea capacitatii administrative a Casei Nationale de Pensii Publice (”CNPP”) în vederea
optimizarii proceselor administrative de determinare a legislatiei aplicabile lucratorilor migranti si adoptarea unor masuri de simplificare a
furnizarii serviciului de eliberare a documentului portabil A1 catre beneficiari, prin implementarea unor sisteme informatice inovative.
Obiectivele specifice ale proiectului
1. OS1. Optimizarea si simplificarea proceselor operationale la nivelul CNPP pentru reducerea cu cel putin 15% a duratei pentru
parcurgerea procedurilor administrative procedurilor de eliberare a documentului portabil A1, prin digitalizarea fluxurilor de lucru
din cadrul institutiei.
2. OS2. Îmbunatatirea abilitatilor si cunostintelor personalului CNPP pentru întelegerea abordarii pe procese si implementarea
masurilor de simplificare implementate prin proiect, precum si pentru utilizarea sistemelor informatice dezvoltate prin proiect. Este
avuta in vedere formarea/instruirea, evaluarea/testarea si certificarea competentelor/cunostintelor dobândite pentru 50 de
persoane din cadrul grupului tinta, in ceea ce priveste sustinerea masurilor implementate in cadrul proiectului.</t>
  </si>
  <si>
    <t>Dezvoltarea si sprijinirea de masuri ce vizeaza consolidarea cadrului institutional al administratiei publice centrale in domeniul apelor,
optimizarea, simplificarea si sistematizarea legislatiei si normelor metodologice de aplicare pentru implementarea prevederilor legale
adecvate si transparente privind apele uzate provenite din intreg sectorul economic de productie national, respectiv din domeniile
industriale si agro-zootehnice din Romania care ajung in resursele de apa de suprafata din Romania – rauri, ape marine, in unele cazuri,
situatie care trebuie sa asigure dezvoltarea durabila a resurselor de apa si managementul corespunzator al bazinelor hidrografice,
respectiv mentinerea unui echilibru intre evacuarea acestor ape uzate cu o anumita incarcatura de poluare care poate afecta capacitatea
de suportabilitate si de refacere a resurselor de apa care sunt impactate de aceasta poluare. Proiectul contribuie la fundamentarea si
sustinerea tehnica a deciziilor de modificare si completare a unor acte normative in vigoare referitoare la apele uzate industriale si agrozootehnice si, subsecvent, la autorizarea evacuarii acestora din punct de vedere al gospodaririi apelor, cu aplicarea adecvata a principiului ,,poluatorul plateste” fata de dimensiunea poluarii.
Obiectivele specifice ale proiectului
1. Modificarea si completarea legislatiei nationale referitoare la apele uzate industriale reglementate prin Legea apelor nr. 107/1996
si HG 188/2002. Legislatia noua va completa legislatia privind apele uzate din activitatile industriale si agro-zootehnice in
functiune sau in conservare/inchise, pe baza principiului „poluatorul plateste”. Legislatia noua nu se suprapune cu cea din
domeniul mediului si nici cu cea din domeniul apelor uzate urbane dar se coreleaza cu aceasta.
2. Simplificarea si sistematizarea legislatiei specifice în domeniul prevenirii si controlului poluarii apelor nationale de la ape uzate
evacuate din 26 de activitati industriale si agro-zootehnice principale din Romania, incluzand si activitatea oraselor care au
platforma industriala, pentru oricare din cele 26 de domenii, prin adoptarea legala de noi acte normative - metodologii, norme si
standarde transparente de aplicare si autorizare a nivelului de poluare admis, contribuind la sprijinirea sectorului privat productiv
prin cresterea calitatii reglementarilor, respectiv:
a. elaborarea de Valori Limita de Emisie (VLE) diferentiate pentru apele uzate din activitatile industriale si agro-zootehnice
în functiune sau în conservare inclusiv apele uzate municipale, aferente documentelor europene BFEF/BAT pentru activitatile din
anexa nr. 1 la cererea de finantare.
b. Elaborarea de Metodologie de calcul si model matematic de stabilire a VLE locale specifice în vederea respectarii
principiului de nedeteriorare fata de starea apei si fondul natural.
c. Metodologie de calcul a “zonei de amestec"
d. Consultarea cu sectorul economic vizat de schimbarile legislative aparute ca urmare a adoptarii de noi prevederi legale
pentru apele uzate.</t>
  </si>
  <si>
    <t>Obiectivul general al proiectului
1.Dezvoltarea capacitatilor nationale de management al riscului în domeniul securitatii cibernetice si de reactie la incidente cibernetice în
baza unui program national, vizând consolidarea, la nivelul autoritatilor competente potrivit legii, a potentialului de cunoastere, prevenire si contracarare a amenintarilor si minimizarea riscurilor asociate utilizarii spatiului cibernetic.
2.Promovarea si consolidarea culturii de securitate în domeniul cibernetic prin formarea profesionala adecvata a persoanelor care îsi
desfasoara activitatea în acest domeniu.
Obiectivele specifice ale proiectului
1. Cresterea capacitatii de management al securitatii cibernetice la nivelul MAI prin dezvoltarea si extinderea capabilitatilor de
investigare, reactie si raspuns la incidentele de securitate, precum si prin pregatirea personalului în vederea gestionarii oprime a
incidentelor de securitate.
2. Crearea unui cadru strategic de coordonare si control la nivelul MAI al activitatilor privind securitate cibernetica, prin elaborarea si
diseminarea unei Strategii sectoriale de diminuare a vulnerabilitatilor si factorilor de risc cibernetic, care pot afecta capacitatea
operationala a structurilor MAI</t>
  </si>
  <si>
    <t>Obiective proiect
Îmbunatatirea cadrului de planificare strategica pe linia reducerii riscului de dezastre prin dezvoltarea de instrumente legislative si sisteme
informatice, care sa asigure abordarea unitara la nivelul tuturor autoritatilor cu atributii în domeniul managementului riscurilor de dezastre
si pentru toate tipurile de riscuri, si prin pregatirea personalului responsabil pe domeniile specifice.
Obiectivele specifice ale proiectului
1. asigurarea cadrului strategic pentru reducerea riscurilor, în concordanta cu orientarile internationale si comunitare, în linie cu
angajamentele asumate de România si ancorat în specificul national
2. elaborarea a doua strategii – strategia nationala de reducere a riscurilor de dezastre, respectiv strategia nationala de aparare
împotriva incendiilor
3. optimizarea proceselor decizionale de la nivelul autoritatilor publice centrale si locale pentru utilizarea eficienta a fondurilor publice
în programe si proiecte pe linia reducerii riscurilor de dezastre
4. elaborarea unei proceduri /a unui mecanism de culegere, procesare de date si raportare pentru îndeplinirea obligatiilor de stat
membru UE ce revine României în raport cu problematica evaluarii capabilitatilor de management a riscurilor, precum si a
obligatiilor privind tintele stabilite prin cadrul de la Sendai de reducere a riscului de dezastre
5. realizarea unor instrumente software (baze de date on-line, site web, aplicatii etc) pentru integrarea si raportarea datelor si
indicatorilor Sendai, precum si pentru înregistrarea si evidenta efectelor dezastrelor în România
6. formarea unui aparat administrativ eficient care sa se bazeze pe instrumente obiective, cuantificabile si usor de monitorizat si
actualizat pentru implementarea prevederilor legislatiei comunitare privind managementul si reducerea riscurilor
7. asigurarea unor instrumente de informare si comunicare pentru aplicarea strategiei si legislatiei pe linia reducerii riscurilor de
dezastre</t>
  </si>
  <si>
    <t>Introducerea si dezvoltarea sisteme de optimizare a modalitatilor de aplicarea unitara la nivel national a sistemului de politici publice - din
domeniul de competenta al Agentiei Nationale pentru Plati si Inspectie Sociala din perspectiva Directiei de Inspectie Sociala (DIS) si a
Serviciului Juridic si Contencios (SJC).
Obiectivele specifice ale proiectului
1. • OB.1 - Optimizarea proceselor decizionale cu privire la aplicarea unitara a legislatiei specifice activitatii ANPIS (DIS si
SJC) la nivel national, în vederea implementarii politicilor publice din domeniul protectiei sociale.
2. • OB.2 - Dezvoltarea abilitatilor si cunostintelor angajatilor ANPIS/AJPIS/APISMB (inspectori sociali si consilieri juridici)
pentru utilizarea instrumentelor specifice de politica publica.
3. • OB.3 – Dezvoltarea unor metodologii de explicitare a cadrului legislativ pentru beneficiarii din domeniul de protectie
sociala aplicabile pentru cetateni la nivelul Directiilor Generale de Asistenta Sociala si a Serviciilor Publice de Asistenta Sociala
de la nivel local.</t>
  </si>
  <si>
    <t>Obiectivul general al proiectului consta în cresterea capacitatii administrative a Ministerului Finantelor Publice (MFP) si a institutiilor
subordonate în vederea îmbunatatirii interactiunii cetatenilor si mediului de afaceri cu administratia publica, pentru obtinerea de
documente din arhiva institutiei.
Obiectivele specifice ale proiectului
1. OS1. Optimizarea si simplificarea serviciului de eliberare a documentelor din arhiva institutiei prin intermediul portalului Spatiului
privat virtual (SPV).
2. OS2. Îmbunatatirea abilitatilor si cunostintelor personalului MFP pentru întelegerea abordarii pe procese si implementarea
masurilor de simplificare implementate prin proiect, precum si pentru utilizarea sistemelor informatice dezvoltate prin proiect. Sunt
avute în vedere formarea/instruirea, evaluarea/testarea si certificarea competentelor/cunostintelor dobândite pentru 100 de
persoane din cadrul grupului tinta, în ceea ce priveste sustinerea masurilor implementate prin proiect.</t>
  </si>
  <si>
    <t>Obiectivul general al proiectului consta în cresterea capacitatii administrative a Ministerului Finantelor Publice (MFP) si a institutiilor
subordonate în vederea îmbunatatirii interactiunii cetatenilor si mediului de afaceri cu administratia publica si obtinerii de servicii
electronice extinse prin portalul ANAF.
Obiectivele specifice ale proiectului
1. OS1. Optimizarea si simplificarea serviciilor aferente obligatiilor fiscale si nefiscale si platii taxelor oferite în cadrul Spatiului privat
virtual (SPV) prin portalul ANAF.
2. OS2. Îmbunatatirea abilitatilor si cunostintelor personalului MFP pentru întelegerea abordarii pe procese si implementarea
masurilor de simplificare implementate prin proiect, precum si pentru utilizarea sistemelor informatice dezvoltate prin proiect. Sunt
avute în vedere formarea/instruirea, evaluarea/testarea si certificarea competentelor/cunostintelor dobândite pentru 100 de
persoane din cadrul grupului tinta, în ceea ce priveste sustinerea masurilor implementate prin proiect.</t>
  </si>
  <si>
    <t>Elaborarea si operationalizarea unor instrumente de analiza de date viabile, dinamice si fundamente in vederea prioritizarii interventiilor la
nivel comunitar in perioada 2021-2027.
Obiectivele specifice ale proiectului
1. Dezvoltarea unor instrumente standardizate prin care sunt indexate si clasificate, în functie de nevoile socio-economice si
necesitatile de interventie localitatile/unitatile administrativ teritoriale din România.
2. Operationalizarea unui sistem uniform ce optimizeaza procesele decizionale la nivelul administratiei publice</t>
  </si>
  <si>
    <t>Obiectivele specifice ale proiectului
Obiectivul specific II.1: “Cresterea coerentei, eficientei, predictibilitatii si transparentei procesului decizional în administratia publica” - Actiunea II.1.4: Îmbunatatirea procesului de evaluare a impactului reglementarilor, a procesului de consultare publica, concomitent cu sistematizarea si simplificarea legislatiei; - Actiunea II.1.6: “Consolidarea transparentei procesului decizional” prin punerea la dispozitia tuturor factorilor interesati a indicatorilor economici si a rapoartelor furnizate de portal, în vederea fundamentarii politicilor publice în domeniul antreprenorial. 
2. Obiectivul specific II.6: „Calitate, cercetare si inovare în administratia publica” - Actiunea II.6.1: „Promovarea bunelor practici si a inovarii în administratia publica si încurajarea schimbului de experienaa si a networking-ului între institutiile si autoritatile publice”.
3. Obiectivul specific III.2 „Reducerea birocratiei pentru mediul de afaceri” - Actiunea III.2.4: „Implementarea unor solutii IT pentru simplificarea unor proceduri orizontale, trans-sectoriale pentru mediul de afaceri (pe modelul ghiseului unic)”.</t>
  </si>
  <si>
    <t>Consolidarea capacitatii Ministerului Economiei si a ANPC de reglementare, implementare si evaluare a entitatilor de solutionare
alternativa a litigiilor pe care le coordoneaza, prin asigurarea accesului la solutii extrajudiciare simple, eficiente, rapide si necostisitoare de
solutionare alternativa a litigiilor la nivel national si transfrontalier care apar in temeiul contractelor de vanzare sau de prestare de servicii si care ar trebui sa fie in beneficiul consumatorilor, prin asigurarea unui cadru legislativ optim desfasurarii activitatii.
Obiectivele specifice ale proiectului
1. Punerea la dispozitia Ministerului Economiei si ANPC a instrumentelor necesare în vederea elaborarii unei metodologii
de stabilire a sistemului de cooperare între entitatile SAL, precum si unei metodologii de constatare a contraventiilor si aplicare a
sanctiunilor prevazute în cadrul OG 38/2015
2. Dezvoltarea unei platforme electronice integrate la nivelul ANPC care va asigura astfel consumatorilor si comerciantilor
un punct unic pentru solutionarea extrajudiciara a litigiilor online, prin intermediul entitatilor SAL conectate la platforma.
3. Dezvoltarea competentelor angajatilor Ministerului Economiei si ANPC în domeniul solutionarii alternative a litigiilor.</t>
  </si>
  <si>
    <t>Obiectivul general al proiectului
Dezvoltarea si implementarea mecanismelor de coordonare, cooperare si consultare între MDRAP si structurile asociative ale
administratiei publice locale
Obiectivele specifice ale proiectului
1. Sistematizare cadrului normativ si îmbunatatirea acestuia în vederea optimizarii procesului de consultare/decizional
2. Cresterea capacitatii administrative a MDRAP pentru prefectionarea procesului de comunicare si consultare prin implementarea
instrumentelor IT&amp;C
3. Dezvoltarea abilitatilor si a cunostintelor personalului din autoritatile si institutiile publice centrale privind dezvoltarea dialogului cu
structurile asociative ale autoritatilor administratiei publice locale</t>
  </si>
  <si>
    <t>Obiectivul general al proiectului este acela de a îmbunatati capacitatea Ministerului Mediului, Apelor si Padurilor pentru stabilirea
prioritatilor de politica privind calitatea aerului în corelare cu prioritatile stabilite în alte domenii relevante care constituie surse de emisii de poluanti atmosferici, cu identificarea sinergiilor între politicile de la nivel national în materie de protectia mediului, ape si paduri, clima,
energie, industrie, transport, agricultura si dezvoltare regionala, inclusiv încalzirea locuintelor si stabilirea masurilor proportionale
aplicabile sectoarelor de activitate relevante în vederea respectarii angajamentelor nationale de reducere a emisiilor de anumiti poluanti
atmosferici pâna în anul 2030 si elaborarea Programului national de control al poluarii atmosferice (PNCPA), precum si a ghidului privind
modalitatile de aplicare a procedurii de ajustare a inventarelor nationale de emisii de poluanti atmosferici în functie de specificul national.
Obiectivele specifice ale proiectului
1. Stabilirea masurilor de reducere a emisiilor antropice nationale de poluanti atmosferici (particule fine în suspensie -PM2,5, oxizi
de azot- NOx, dioxid de sulf – SO2, compusi organici volatili- COVnm si amoniac – NH3), inclusiv calendarul de punere în
aplicare a acestor masuri, în corelare cu planurile si programele instituite în alte domenii de politica relevante.
2. Crearea premiselor pentru comunicarea dintre autoritatile publice centrale cu responsabilitati în domeniile de activitati
generatoare de emisii de poluanti atmosferici, pentru îmbunatatirea procesului de luare a deciziilor si de adoptare a programelor
de dezvoltare, cu respectarea cerintelor politicii de mediu si a principiul integrarii cerintelor de mediu în celelalte politici sectoriale
3. Adaptarea la specificul national privind estimarea inventarului a modalitatilor de aplicare a procedurii de ajustare a inventarelor
nationale de emisii, în cazul în care se constata neconformarea cu angajamentele nationale de emisii de poluanti atmosferici
stabilite pentru anul 2020 si, respectiv anul 2030
4. Îmbunatatirea inventarului national de emisii de poluanti atmosferici, ca referinta în evaluarea conformarii cu obiectivele de
reducere a emisiilor de poluanti atmosferici</t>
  </si>
  <si>
    <t>Dezvoltarea si implementarea de politici si instrumente unitare si moderne de management al resurselor umane pentru asigurarea
transparentei, coerentei si competentei în sectorul public.
Obiectivele specifice ale proiectului
1. OS 1: Contributie la asigurarea unui management unitar si coerent al resurselor umane prin dezvoltarea sistemului electronic
national de evidenta a ocuparii în sectorul public - SENEOSP
OS 2: Proceduri transparente si incluzive de planificare, recrutare si selectie prin dezvoltarea si operationalizarea noului concept
administrativ de concurs national pilotat pentru categoria de functie publica grad profesional debutant si o alta categorie de functie
publica identificata conform nevoilor în etapa de analiza.
OS 3: Cunostinte si abilitati ale personalului din departamentele de resurse umane si ale personalului de conducere din cadrul
autoritatilor si institutiilor publice centrale si locale îmbunatatite în domeniul digitalizarii, managementului resurselor umane si
formarii de formatori prin asigurarea instruirii specifice</t>
  </si>
  <si>
    <t>Obiectivul general al proiectului consta in cresterea capacitatii administrative a Autoritatii Navale Române (în continuare denumita
prescurtat ”ANR”) pentru sustinerea reformelor institutionale prin adoptarea unor masuri de simplificare a procedurilor în scopul reducerii
poverii administrative pentru cetateni si mediul de afaceri.
Obiectivul general al acestui proiect este în concordanta cu Obiectivul specific 1.1. al Axei prioritare 1 din POCA, prin care sunt sprijinite
institutiile publice centrale sa dezvolte si sa introduca sisteme si standarde comune în administratia publica ce optimizeaza procesele
decizionale orientate catre cetateni si mediul de afaceri, în concordanta cu SCAP.
Obiectivul general al proiectului este în deplina concordanta si cu obiectivele generale ale Solicitantului, care doreste sa-si
îmbunatateasca activitatea orientata catre cetateni si mediul de afaceri, sa-si eficientizeze rezultatele obtinute, sa-si îmbunatateasca
continuu imaginea, astfel încât sa poata raspunde cât mai eficient cerintelor si asteptarilor.
Obiectivele specifice ale proiectului
1. OS1. Elaborarea si aprobare noilor proceduri privind gestionarea tuturor certificatelor si documentelor emise de ANR
2. OS2. Optimizarea si simplificarea proceselor operationale la nivelul ANR pentru reducerea cu cel putin 25% a duratei pentru
parcurgerea procedurilor administrative aferente serviciilor publice furnizate de ANR pentru cetateni si mediul de afaceri, prin
digitalizarea fluxurilor de lucru din cadrul institutiei.
3. OS3. Îmbunatatirea abilitatilor si cunostintelor personalului ANR pentru implementarea masurilor vizate prin proiect si utilizarea
instrumentelor informatice dezvoltate. Este avuta in vedere formarea/instruirea, evaluarea/testarea si certificarea competentelor
/cunostintelor dobândite pentru 105 de persoane din cadrul grupului tinta, in ceea ce priveste sustinerea masurilor implementate
in cadrul proiectului.</t>
  </si>
  <si>
    <t>Consolidarea capacitatii Arhivelor Nationale de furnizare a serviciilor publice, prin consolidare si modernizare normativa si îmbunatatirea
continutului serviciilor oferite publicului in sistem digital
Obiectivele specifice ale proiectului
1. OS1: Crearea un cadru metodologic pentru prelucrare, digitalizarea si indexarea registrelor de stare civila cu caracter istoric (mai
vechi de100 de ani).
Dat fiind interesul mare al publicului (persoane individuale, profesionisti - notari, avocati, instante de judecata) asupra acestui tip
de arhiva, este necesara o metodologie specifica de lucru, unitara, menita sa identifice metadatele necesare in momentul preluarii
actelor de stare civila de catre Arhivele Nationale, modalitatea de prelucrare interna si de dare in cercetare a acestora.
2. OS2. Asigurarea accesului simplificat si rapid la informatia istorica privind starea civila a persoanelor.
Schimbarile propuse vor contribui la reducerea birocratiei pentru cetateni, în sensul ca, prin implementarea cadrului metodologic
si digitalizarea registelor de stare civila, actele necesare pentru documentarea evenimentelor de viata vor fi disponibile online,
fiind redusa semnificativ nevoia interactiunii directe cu ANR pentru obtinerea informatiilor de stare civila.
3. OS3: Cunostinte si abilitati ale personalului ANR îmbunatatite în gestionarea cadrului metodologic dezvoltata si a mecanismelor
informatice de transformare digitala si regasire a informatiei de arhiva online. Se va asigura instruirea a cel putin 130 de angajaticheie
din Arhivele Nationale.</t>
  </si>
  <si>
    <t>Obiectivul general al proiectului consta in cresterea capacitatii administrative a Autoritatii pentru Administrarea Activelor Statului (în
continuare denumita prescurtat ”AAAS”) pentru sustinerea reformelor institutionale prin adoptarea unor masuri de simplificare a
procedurilor în scopul reducerii poverii administrative pentru mediul de afaceri, prin digitalizarea fluxurilor de lucru din cadrul institutiei si
îmbunatatirea abilitatilor si cunostintelor personalului AAAS pentru întelegerea abordarii pe procese si implementarea masurilor de
simplificare implementate prin proiect, precum si pentru utilizarea sistemelor informatice dezvoltate prin proiect.
Obiectivele specifice ale proiectului
1. OS1. Optimizarea si simplificarea proceselor operationale la nivelul AAAS pentru reducerea cu cel putin 15% a duratei pentru
parcurgerea procedurilor administrative aferente celor 3 domenii specifice de activitate a AAAS (Privatizare si administrare
societati comerciale, Monitorizare postprivatizare, Redresare societati aflate în insolventa si valorificare creante) prin digitalizarea
fluxurilor de lucru din cadrul institutiei.
2. OS2. Îmbunatatirea abilitatilor si cunostintelor personalului AAAS pentru întelegerea abordarii pe procese si implementarea
masurilor de simplificare implementate prin proiect, precum si pentru utilizarea sistemelor informatice dezvoltate prin proiect. Este
avuta in vedere formarea/instruirea, evaluarea/testarea si certificarea competentelor/cunostintelor dobândite pentru 100 de
persoane din cadrul grupului tinta, in ceea ce priveste sustinerea masurilor implementate in cadrul proiectului.</t>
  </si>
  <si>
    <t>Obiective proiect
Îmbunatatirea proceselor de lucru si reducerea poverii administrative in domeniul drepturilor de autori si conexe, prin dezvoltarea si
introducerea de standarde, metodologii, sisteme si servicii electronice ce optimizeaza procesele decizionale din cadrul Oficiului Roman
pentru Drepturile de Autor orientate catre cetateni si mediul de afaceri si asigura un grad ridicat de protectie a drepturilor subsumate
acestui domeniu, prin mijloace facile, inclusiv în mediul digital;
Obiectivele specifice ale proiectului
1. • Simplificarea procedurilor administrative (back-office) si înfiintarea unui ghiseu unic al utilizatorilor de tip one-stop-shop(frontoffice)
si înregistrarea "o singura data" a datelor în procesele de lucru iar interactiunea beneficiarilor cu ORDA urmeaza sa se
realizeze preponderent prin intermediul serviciilor electronice, acestia având posibilitatea de a preda documente on-line si de a
completa formulare;
• Crearea unui instrument util în vederea aplicarii drepturilor de autor si conexe si automatizarea circuitului documentelor de
înregistrare si gestionare a actelor administrative ce tin de domeniu, precum si plata online a taxelor aferente;
• Introducerea unei platforme digitale integrate, compuse din mai multe module (“Registre Nationale”, „Protectia si Gestiunea
colectiva a dreptului de autor si drepturilor conexe”, „Expertize si Constatari tehnico-stiintifice”, „Prevenirea si combaterea
încalcarii dreptului de autor si drepturilor conexe”, „Ghiseul Unic al Utilizatorilor) prin intermediul careia persoanele fizice si juridice
sa poata consulta bazele de date.</t>
  </si>
  <si>
    <t>Obiectivul proiectului este: reducerea poverii administrative pentru cetateni si mediul de afaceri in domeniul protectiei consumatorilor prin
implementarea unui sistem informatic integrat care sa permita gestionarea uniforma si coerenta a informatiilor din cadrul institutiei
solicitante.
Proiectul adreseaza obiectivul specific POCA OS 1.1. Dezvoltarea si introducerea de sisteme si standarde comune în administratia
publica ce optimizeaza procesele decizionale orientate catre cetateni si mediul de afaceri, în concordanta cu SCAP, respectiv obiectivul
tematic nr. ·11 Consolidarea capacitatii institutionale a autoritatilor publice si a partilor interesate si eficienta administratiei publice si îsi
propune sa consolideze capacitatea administrativa a ANPC de a sustine o economie moderna si competitiva, abordând provocarea 5
Administratia si guvernarea si provocarea 2 Oamenii si societatea din Acordul de Parteneriat al României.
Proiectul raspunde prioritatii de investitii 11i Efectuarea de investitii în capacitatea institutionala si in eficienta administratiilor si a serviciilor
publice la nivel national, regional si local in vederea realizarii de reforme, a unei mai bune legiferari si a bunei guvernante.
Proiectul asigura îndeplinirea obiectivelor specifice ale axei prioritare 2 introducerea de sisteme si standarde comune in administratia
publica ce optimizeaza procesele orientate catre beneficiari in concordanta cu SCAP, prin sustinerea unui management performant,
cresterea transparentei, eticii si integritatii la nivelul la nivelul ANPC.</t>
  </si>
  <si>
    <t>Obiectiv general
Intarirea profilului de stat donator prin dezvoltarea unei politici publice coerente in domeniul cooperarii internationale pentru dezvoltare si
asistenta umanitara si a instrumentelor aferente operationalizarii acesteia.
Obiectivele specifice ale proiectului
1. Dezvoltarea unei strategii privind cooperarea internationala pentru dezvoltare si asistenta umanitara si a planului de actiuni
aferent acesteia
2. Construirea unui sistem integrat de monitorizare si evaluare a strategiei privind cooperarea internationala pentru dezvoltare si
asistenta umanitara
3. Realizarea unui proiect normativ cu propuneri de actualizare si simplificare a domeniul acordarii asistentei oficiale pentru
dezvoltare
4. Întarirea capacitatii Comitetului consultativ în domeniul cooperarii internationale pentru dezvoltare si asistenta umanitara prin
instruirea a 300 de persoane din cadrul institutiilor membre</t>
  </si>
  <si>
    <t>Obiectivul general al proiectului este acela de a asigura coerenta si viziune actului decizional in cadrul sectorului cultural, precum si
fundamentarea bazata pe dovezi, necesara elaborarii politicilor publice, programelor si proiectelor din domeniul culturii.
Strategia va fi documentul de planificare culturala la nivel national, ce va fundamenta documentele strategice de nivel regional, judetean si
local si documentatiile operationale pentru programe si proiecte cu fonduri publice, precum si celelalte strategii de dezvoltare la nivel
national cu relevanta si impact cultural. Avand o corelare a obiectivelor si masurilor relevante pentru actiuni în sectorul cultural, cresc
sansele îmbunatatirii serviciilor publice în domeniul culturii, a accesului la cultura si diversitatii expresiilor culturale, integrarii culturii în
proiectele de dezvoltare teritoriala durabila, stimularii economiei creative si prezentei culturii române la nivel international. Proiectul aduce elemente noi, inclusiv o abordare noua, originala, prin care raspunde la nevoia identificata prin corelarea cu obiectivele Agendei 2030
pentru dezvoltare durabila si cu seturile de indicatori rezultati din aceasta. Totodata, perioada de aplicabilitate a documentului va fi în linie
cu noua perioada bugetara a UE, precum si cu urmatoarea Agenda pentru Cultura, respectiv, 2021- 2027. Din acest punct de vedere,
strategia va fi corelata cu noile prioritati de actiune si de finantare de la nivelul UE în scopul maximizarii investitiilor în domeniul culturii.
Obiectivele specifice ale proiectului
1. Optimizarea proceselor decizionale, asigurarea coerentei si a unei viziuni comune in sectorul cultural prin elaborarea unui
document strategic national in domeniul culturii
2. Cresterea nivelului de instruire in randul institutiilor din subordinea/aflate sub autoritatea MCIN si in coordonarea ministrului
culturii si identitatii nationale, precum si la nivelul serviciilor deconcentrate ale MCIN (Directiile judetene pentru Cultura) cu privire
la necesitatea si utilitatea unei planificari bazate pe dovezi, cu includerea practicilor si mecanismelor de la nivel european
3. Crearea de instrumente capabile sa fundamenteze procesele decizionale la nivel local, in vederea generarii unui cadru coerent de
dezvoltare in domeniul culturii, inclusiv informarea decidentilor locali în ceea ce priveste specificitatea managementului cultural
pentru o mai buna coordonare a retelelor proprii de institutii publice de toate categoriile (biblioteci, asezaminte culturale, institutii
de spectacole sau concerte, muzee si case memoriale, obiective de patrimoniu</t>
  </si>
  <si>
    <t>Eficientizarea activitatii Secretariatului General al Guvernului si a 6 institutii subordonate, prin implementarea de sisteme unitare de
management al calitatii si performantei.
Obiectivele specifice ale proiectului
1. Implementarea unui sistem de management al calitttii certificat, conform ISO 9001:2015, la nivelul Secretariatului General al
Guvernului si a 6 institutii subordonate.
2. Implementarea cadrului comun de autoevaluare (CAF) la nivelul Secretariatului General al Guvernului si celor 6 institutii
subordonate.
3. Perfectionarea profesionala si instruirea în domeniul sistemului de management al calitatii si performantei la nivel de conducere
si executie din cadrul Secretariatului General al Guvernului si celor 6 institutii subordonate.</t>
  </si>
  <si>
    <t>Obiectivul general este consolidarea capacitatii MAE de a detecta, analiza si contracara fenomenul dezinformarii online în domeniul
afacerilor externe, respectiv de a anticipa, analiza si contracara actiuni si fenomene de dezinformare si de a contribui la consolidarea
rezilientei la nivel national în fata acestor amenintari.
Obiectivele specifice ale proiectului
1. Elaborarea si aprobarea la nivelul MAE a unei politici publice de raspuns la dezinformarea online in sfera de competenta a MAE,
inclusiv a planului de actiune aferent
2. Elaborarea si înaintarea pe circuitul de avizare MAE a unei propuneri de act normativ pentru reglementarea masurilor de raspuns
coordonat la campaniile de dezinformare cu privire la domeniul afacerilor externe, în functie de evolutiile cadrului legislativ
national
3. Îmbunatatirea cunostintelor si abilitatilor personalului MAE în domeniul identificarii riscurilor ce provin din fenomenul dezinformarii,
a tendintelor si modelelor în evolutie în acest domeniu, a utilizarii instrumentelor de comunicare publica si strategica, cresterea
rezidentei la dezinformare în mediul online, adoptarea unor practici si abilitati esentiale pentru aplicarea metodologiilor de
cooperare interdepartamentala si schimbului de informatii cu parteneri din UE si NATO</t>
  </si>
  <si>
    <t>Obiectivul general urmarit prin proiect este eficientizarea sistemului judiciar prin punerea la dispozitia acestuia a unui sistem informatic
modern si adaptat nevoilor actuale, care sa sustina activitatea specifica a acestuia.
Obiectivele specifice ale proiectului
1. Obiectivul specific al proiectului consta în modernizarea si adaptarea sistemului electronic de management al cauzelor ECRIS
pentru a raspunde actualelor nevoi ale sistemului judiciar</t>
  </si>
  <si>
    <t>Eficientizarea proceselor interne si crearea unor fluxuri care sa contribuie la reducerea duratei procedurilor administrative si facilitarea
interactiunii cetatenilor cu institutia, contribuind la atingerea obiectivului POCA OS 1.1 Dezvoltarea si introducerea de sisteme si
standarde comune în administratia publica ce optimizeaza procesele decizionale orientate catre cetateni si mediul de afaceri.
Obiectivele specifice ale proiectului
1. Îmbunatatirea capacitatii Autoritatii Nationale pentru Restituirea Proprietatilor de a gestiona eficient problematica restituirii
proprietatilor confiscate abuziv de fostul regim comunist.
2. Simplificarea proceselor si procedurilor la nivelul Autoritatii Nationale pentru Restituirea Proprietatilor, în vederea reducerii timpilor
de solutionare a dosarelor de despagubire.</t>
  </si>
  <si>
    <t>Scopul proiectului propus consta în cresterea eficientei si transparentei monitorizarii si implementarii politicilor nationale în domeniul
precursorilor.
Obiectivele specifice ale proiectului
1. OS1. Reducerea poverii administrative pentru mediul de afaceri cu privire la acordarea drepturilor desfasurarii operatiunilor
specifice cu precursori de droguri (servicii oferite de Agentia Nationala Antidrog – emiterea de licente, înregistrari, autorizatii de
import si export) prin digitalizarea serviciilor/implementarea unui sistem informatic de comunicare pentru îndeplinirea obligatiilor;
OS2. Optimizarea procesului decizional la nivelul Agentiei Nationale Antidrog prin extinderea utilizarii instrumentelor informatice
de monitorizare si control al operatiunilor cu precursori si simplificarea proceselor inter- si intra-institutionale;
OS3. Dezvoltarea competentelor si cunostintelor personalului din structurile cu atributii în procesul de monitorizare si control al
operatiunilor cu precursori prin organizarea de cursuri specifice.</t>
  </si>
  <si>
    <t>Obiectivul general al proiectului
Optimizarea proceselor decizionale la nivelul Politiei Romane pentru debirocratizarea si simplificarea serviciilor acordate cetatenilor si
mediului de afaceri in domeniul armelor, explozivilor si substantelor periculoase
Obiectivele specifice ale proiectului
1. Reducerea timpului de verificare si solutionare a cererilor depuse pentru obtinerea documentelor de autorizare solicitate de
persoane fizice sau juridice, pentru a procura, detine, purta si folosi arme.
2. Reducerea birocratiei întâmpinate de reprezentantii societatilor comerciale autorizate in transmiterea catre structurile Arme,
Explozivi si Substante Periculoase, a listei cuprinzând precursorii de explozivi restrictionati sau amestecurile sau alte substante
care contin astfel de substante cu care efectueaza operatiuni, a deciziilor de numire a persoanelor responsabile de activitatea cu
precursori de explozivi restrictionati si a înlocuitorilor acestora, precum si de completare a registrului fizic snuruit conform
prevederilor Legii nr. 49/2018 privind precursorii de explozivi.</t>
  </si>
  <si>
    <t>Obiectivul general al proiectului este de a dezvolta si consolida competentele personalului (functionari publici, demnitari si personal
contractual) din administratia publica implicat în procesul de achizitii publice.
Obiectivul general al proiectului este în concordanta cu:
- obiectivul general al POCA de a contribui la crearea unei administratii publice moderne, capabila sa faciliteze dezvoltarea
socio-economica a tarii, prin intermediul unor servicii publice, investitii si reglementari de calitate, conducând la atingerea obiectivelor
strategiei Europa 2020;
- obiectivele specifice ale Axei Prioritare 1 de a sprijini masuri ce vizeaza adaptarea structurilor, optimizarea proceselor si
pregatirea resurselor umane pentru realizarea si punerea în aplicare a politicilor publice bazate pe dovezi, corelarea planificarii strategice
cu bugetarea pe programe, simplificarea legislatiei si reducerea sarcinilor administrative, consolidarea capacitatii autoritatilor si institutiilor publice pentru implementarea transparenta si eficienta a achizitiilor publice precum si îmbunatatirea eficientei sistemului judiciar.</t>
  </si>
  <si>
    <t>Scoala Nationala de Grefieri îsi propune sa contribuie la atingerea obiectivului specific al Programului Operational Capacitate
Administrativa 2014-2020, prin obiectivul general al prezentului proiect, respectiv dezvoltarea unor practici administrative si judiciare
unitare, precum si a unor comportamente etice corespunzatoare.
Obiectivele specifice ale proiectului
1. Obiectivul specific al proiectului consta în îmbunatatirea cunostintelor si abilitatilor profesionale la nivelul personalului auxiliar de
specialitate din cadrul instantelor si parchetelor prin dezvoltarea unor practici administrative si judiciare unitare si a unor conduite
în acord cu normele eticii profesionale.
Prin obiectivul general si obiectivul specific, proiectul îsi propune sa contribuie la atingerea atât a obiectivelor ce vor fi asumate
prin Strategia de Dezvoltare a Sistemului Judiciar, cât si a obiectivului specific 2.3. al Programului Operational Capacitate
Administrativa 2014 – 2020: Asigurarea unei transparente si integritati sporite la nivelul sistemului judiciar în vederea îmbunatatirii
accesului si a calitatii serviciilor furnizate la nivelul acestuia.</t>
  </si>
  <si>
    <t>Obiectivul general al proiectului consta în inventarierea tuturor actelor normative si actualizarea cadrului legal din domeniul integritatii, care vizeaza incompatibilitatile, conflictele de interese si averile nejustificate, dar si a sistemului de declarare a averilor si a intereselor, în baza nevoilor factorilor interesatti, fundamentate prin analize si cercetari sociologice.
Obiectivele specifice ale proiectului
1. OS1: Actualizarea cadrului legal pentru prevenirea si sanctionarea conflictelor de interese, a incompatibilitatilor si averilor
nejustificate
2. OS2: Sprijinirea autoritatilor si institutiilor publice în scopul optimizarii procesului de depunere electronica a DAI si elaborarea unor
proceduri unitare
3. OS3: Dezvoltarea cunostintelor persoanelor responsabile din institutiile publice în privinta procesului de completare si depunere
electronica a declaratiilor de avere si interese prin sistemul e-DAI</t>
  </si>
  <si>
    <t>Obiectivul general al proiectului este cresterea gradului de recuperare a creantelor provenite din infractiuni.
Obiectivele specifice ale proiectului
1. Consolidarea capacitatii Agentiei Nationale de Administrare a Bunurilor Indisponibilizate în vederea îndeplinirii eficiente si
performante a misiunii institutionale prin perfectionarea activitatii specialistilor implicati în procesul de identificare, administrare si
recuperare a creantelor provenite din infractiuni.</t>
  </si>
  <si>
    <t>Obiectivul general al proiectului este îmbunatatirea accesibilitatii, transparentei, integritatii si a calitatii serviciului public de executare silita prin dezvoltarea competentelor profesionale ale executorilor judecatoresti si prin digitalizarea si standardizarea activitatii de executare silita.
Obiectivele specifice ale proiectului
1. Dezvoltarea competentelor profesionale si abilitatilor executorilor judecatoresti, cât si a personalului suport prin actiuni de formare
specializata în vederea cresterii calitatii serviciului public furnizat si a uniformizarii practicii
2. Cresterea transparentei, integritatii, accesibilitatii si calitatii serviciului public de executare silita prin dezvoltarea unei aplicatii
informatice (SiLEx) ce care ca scop digitalizarea si standardizarea activitatii de executare silita</t>
  </si>
  <si>
    <t>ASOCIAȚIA BALKAN EXPERT GROUP</t>
  </si>
  <si>
    <t>Dezvoltare locală sustenabilă în Orașul Măcin</t>
  </si>
  <si>
    <t xml:space="preserve">Obiectiv general: Dezvoltarea capacitatii ONG-urilor de a crea parteneriate viabile si durabile cu autoritati publice locale si de a se implica
in dezvoltarea la nivel local in orasul Macin.                                                                                                                                                                                                                                     1. OS1 Dezvoltarea unui parteneriat durabil intre Solicitant si autoritatile locale functional la 6 luni dupa finalizarea
proiectului
2. OS2 Dezvoltarea competentelor si insusirea unui „know how’ specific pentru 40 reprezentanti ai ONG-urilor si
partenerilor sociali in vederea consolidarii abilitatilor pentru formularea si promovarea dezvoltarii la nivel local.                                                                           3. OS3 Dezvoltarea responsabilitatii civice, de implicare a comunitatilor locale in viata publica si de participare la procesele
decizionale prin dezvoltarea a min 3 proiecte specifice la nivel local
</t>
  </si>
  <si>
    <t>ASOCIAȚIA ”ECO TRAVEL”</t>
  </si>
  <si>
    <t>Ecoturism și dezvoltare locală în comuna Tazlău</t>
  </si>
  <si>
    <t>ASOCIAȚIA "CENTRUL DE RESURSE RE-START”</t>
  </si>
  <si>
    <t>Tazlău</t>
  </si>
  <si>
    <t>ASOCIAȚIA "INSTITUTUL PENTRU POLITICI PUBLICE"</t>
  </si>
  <si>
    <t>Implicarea civică în dezvoltarea locală romașcană</t>
  </si>
  <si>
    <t>ASOCIAȚIA EMOȚII</t>
  </si>
  <si>
    <t>Galați Edu Cluster 2021+</t>
  </si>
  <si>
    <t>CAMERA DE COMERȚ, INDUSTRIE ȘI
AGRICULTURĂ GALAȚI</t>
  </si>
  <si>
    <t>ASOCIAȚIA JUST SOCIAL</t>
  </si>
  <si>
    <t>CRICĂU - Parteneriate puternice, comunitate puternică!</t>
  </si>
  <si>
    <t>ASOCIAȚIA UMAN</t>
  </si>
  <si>
    <t>Cricau</t>
  </si>
  <si>
    <t>ASOCIATIA "NOUL VAL"</t>
  </si>
  <si>
    <t>Capacitatea membrilor ONG-urilor pentru implicare activă în luarea deciziilor la nivel local</t>
  </si>
  <si>
    <t>Obiectiv general: Crearea unui parteneriat durabil intre Asociatia Noul Val si Primaria comunei Garliciu in vederea promovarii dezvoltarii
locale                                                                                                                                                                                                                                                                                                                            OS1 Dezvoltarea unui parteneriat durabil intre Solicitant si autoritatile locale functional la 6 luni dupa finalizarea proiectului
 OS2 Dezvoltarea competentelor si insusirea unui „know how’ specific pentru 40 reprezentanti ai ONG-urilor si partenerilor sociali
in vederea consolidarii abilitatilor pentru formularea si promovarea dezvoltarii la nivel local.
OS3 Dezvoltarea responsabilitatii civice, de implicare a comunitatilor locale in viata publica si de participare la procesele
decizionale prin dezvoltarea a min 3 proiecte specifice la nivel local</t>
  </si>
  <si>
    <t>Gârliciu</t>
  </si>
  <si>
    <t>AGENȚIA METROPOLITANĂ PENTRU DEZVOLTARE DURABILĂ BRAȘOV</t>
  </si>
  <si>
    <t>Consolidarea capacității de integrare a politicilor urbanistice în Zona Metropolitană Brașov</t>
  </si>
  <si>
    <t>Obiectivul general al proiectului ”Consolidarea capacitatii de integrarea a politicilor urbanistice in Zona Metropolitana Brasov” este
dezvoltarea de proceduri si mecanisme eficiente pentru sustinerea si promovarea dezvoltarii la nivel local prin intermediul politicilor de
dezvoltare urbanistica si teritoriala.                                                                                                                                                                                                                                                        OS1 - Dezvoltarea abilitatilor si competentelor relevante pentru dezvoltarea urbanistica care pot facilita / optimiza dialogul intre
actorii relevanti in domeniul planificarii dezvoltarii teritoriale cu efecte directe asupra nivelului de implicare in elaborarea,
implementarea, monitorizarea si evaluarea politicilor publice urbanistice                                                                                                                                                               OS2 - Elaborarea unui set de proceduri si mecanisme eficiente pentru sustinerea si promovarea dezvoltarii la nivel local prin
intermediul politicilor de dezvoltare urbanistica si teritoriala intr-o maniera colaborativa- participativa</t>
  </si>
  <si>
    <t>Asociația de Turism Retezat</t>
  </si>
  <si>
    <t>Eu sunt Hațeg! - branding local cu implicarea comunității</t>
  </si>
  <si>
    <t>Hațeg</t>
  </si>
  <si>
    <t>Societatea Academică din România</t>
  </si>
  <si>
    <t>PROCIVIS - Implicare civică pentru dezvoltarea
locală a Municipiului Reșița</t>
  </si>
  <si>
    <t>Resița</t>
  </si>
  <si>
    <t>ASOCIAȚIA TRANSPARENȚĂ PENTRU INTEGRITATE</t>
  </si>
  <si>
    <t>Opțiuni strategice pentru dezvoltarea durabilă a Municipiului Calafat</t>
  </si>
  <si>
    <t>AA1/23.12.2020 durata, AA2/8.07.2021 durata, AA3/3.12.2021 durata, buget (ue, bn), AA4/4.08.2022 durata</t>
  </si>
  <si>
    <t>AA1/9.11.2021 durata AA2/24.02.2022 durata AA4/27.04.2022 durata    AA5/4.08.2022 durata</t>
  </si>
  <si>
    <t>AA1/14.07.2021 durata     AA2/9.08.2022 buget (ue, cb)</t>
  </si>
  <si>
    <t>AA1/8.12.2020 buget  AA2/12.04.2021 buget  AA3/30.03.2022 durata si buget         AA4/9.08.2022 durata buget (ue,cb)</t>
  </si>
  <si>
    <t>ASOCIAȚIA "CLUBUL SPORTIV ENDURANCH"</t>
  </si>
  <si>
    <t>Harta Administrației Incluzive (HAI) - Simplificare și transparență în colaborarea cu ONG-urile active în comunitate</t>
  </si>
  <si>
    <t>Dezvoltarea responsabilitatii civice, de implicare a comunitatilor locale in viata publica si de participare la procesele decizionale prin
crearea, testarea si utilizarea unui instrument de modernizare a Administratiei Publice Locale, “Harta Administratiei Incluzive”.
Obiectivele specifice ale proiectului
1. (1) Dezvoltarea competentelor de comunicare, de relationare a Administratiei Publice Locale cu ONG-urile din acea comunitate,
prin crearea si testarea - in comun - a unui instrument de modernizare a Administratiei Publice Locale, “Harta Administratiei
Incluzive”
2. (2) Utilizarea, promovarea si multiplicarea utilizarii instrumentului creat in comun de catre reprezentanti ai APL si ONG-uri dintr-o
comunitate, in vederea consolidarii dialogului civic in cat mai multe comunitati locale</t>
  </si>
  <si>
    <t>Bârnova</t>
  </si>
  <si>
    <t>ASOCIAȚIA "CENTRUL DE RESURSE RE-START"</t>
  </si>
  <si>
    <t>Promovarea dezvoltării locale prin intermediul turismului sustenabil</t>
  </si>
  <si>
    <t>Razboieni</t>
  </si>
  <si>
    <t>Dialog și implicare pentru dezvoltare locală sustenabilă</t>
  </si>
  <si>
    <t>ASOCIAȚIA ENGAGE IN EDUCATION</t>
  </si>
  <si>
    <t>Building a Strong Civil Society</t>
  </si>
  <si>
    <t>Botosesti-Paia, Craiova</t>
  </si>
  <si>
    <t>ALERT-Administrație Locală Eficientă Responsabilă Transparentă</t>
  </si>
  <si>
    <t>Novaci</t>
  </si>
  <si>
    <t>Asociația pentru Promovarea Alimentului Românesc-A.P.A.R.</t>
  </si>
  <si>
    <t>Știu ce vreau! Cum susțin?</t>
  </si>
  <si>
    <t>ASOCIAȚIA CLUBUL SPORTIV SMART ATLETIC</t>
  </si>
  <si>
    <t>Împreună pentru Comana-strategie de dezvoltare prin consultare, dialog și branding local</t>
  </si>
  <si>
    <t>Obiectivul general al proiectului il reprezinta formularea si promovarea dezvoltarii locale in cadrul Comunei Comana prin crearea
strategiei de brand ca parte a parteneriatului pentru dezvoltare locala intre Asociatia Clubul Sportiv Smart Atletic si Comuna Comana
Obiectivele specifice ale proiectului
1. Dezvoltarea unei strategii de brand care sa aiba la baza o cercetare socilogica privind imaginea Comunei in ochii cetatenilor
2. Cresterea implicarii cetatenilor comunei Comana in dezvoltarea strategiei de brand prin crearea si operationalizarea Consiliului de
brand
3. Integrarea strategiei de place branding in strategia de dezvoltare locala si crearea premiselor pentru implementarea acesteia in
cadrul Parteneriatului pentru Dezvoltare locala intre Asociatia Clubul Sportiv Smart Atletic si Comuna Comana</t>
  </si>
  <si>
    <t>Comana</t>
  </si>
  <si>
    <t>AA 1/20.11.2019 AA2/23.06.2021 durata  AA3/11.08.2022 durata</t>
  </si>
  <si>
    <t>AA1/21.07.2020 buget AA2/17.11.2020 buget AA3/11.06.2021 buget  AA4/11.08.2022 durata si buget</t>
  </si>
  <si>
    <t>Obiectivul general al proiectului consta în implicarea activa a Asociatiei Eco Travel în sustinerea si promovarea dezvoltarii la nivel local a
com. Tazlau din judetul Neamt prin consultare publica cu autoritatile publice locale si cetateni în vederea elaborarii unei Strategii de
dezvoltare si promovare a turismului la nivel local si sprijinirea initiativelor de implicare si dezvoltare a responsabilitatii civice privind
dezvoltarea durabila, fapt ce va determina cresterea nivelului de dezvoltare locala pe termen lung.                                                                                                   OS1: Cresterea gradului de constientizare si implicare civica a cetatenilor din Comuna Tazlau, judetul Neamt, precum si a
partenerilor sociali, a ONG-urilor si a altor actori sociali relevanti din zona localitatii Tazlau, cu privire la potentialul turistic al
acestei localitati prin dezvoltarea unui instrument inovativ pentru promovarea dezvoltarii la nivel local si consultare publica pe o
perioada de 11 luni.                                                                                                                                                                                                                                                                                           OS2: Elaborarea Strategiei de dezvoltare si promovare a turismului din Comuna Tazlau, judetul Neamt, pe baza consultarii
publice dintre asociatie si autoritatile locale, parteneri sociali, ONG-uri si alti actori sociali relevanti din zona localitatii Tazlau si
cetateni într-o perioada de 10 luni.                                                                                                                                                                                                                                                          OS3: Cresterea responsabilitatii civice privind dezvoltarea durabila, prin realizarea de activitati în acest sens, cu un grup de 70 de
elevi, înscrisi la Scoala Gimnaziala „I.I. Mironescu” din Tazlau, pe parcursul a 4 luni.</t>
  </si>
  <si>
    <t>Cresterea capacitatii ONG-urilor si a cetatenilor de a participa la monitorizarea si evaluarea dezvoltarii locale în Municipiul Roman.
Obiectivele specifice ale proiectului
1. Dezvoltarea unui parteneriat între Primaria Municipiului Roman si IPP în vederea promovarii dezvoltarii la nivel local si asigurarea
functionalitatii acestuia si dupa finalizarea proiectului.
2. Dezvoltarea unui instrument de monitorizare si evaluare independenta a Strategiei Integrate de Dezvoltare Urbana a Municipiului
Roman 2014-2027
3. Cresterea capacitatii ONGurilor/cetatenilor din Municipiul Roman în consultarea cu autoritatile locale si în implicarea în procesul
de adoptare a deciziilor (prin monitorizarea si prin elaborarea de propuneri privind actualizarea Strategiei Integrate de Dezvoltare
Urbana a Municipiului Roman 2014-2027).</t>
  </si>
  <si>
    <t>Consolidarea capacitatii ONG-urilor din judetul Galati de a se implica în dezvoltarea educatiei la nivel local prin consolidarea capacitatii
interne si extinderii ariei de interventie, dezvoltarea de initiative privind promovarea cetateniei active in randul tinerilor si consolidarea
parteneriatelor pentru dezvoltare locala in scopul sustinerii educatiei APL-ONG-scoala-parteneri sociali
Obiectivele specifice ale proiectului
1. Cresterea capacitatii profesionale a 75 angajati si voluntari din ONG-uri, APL-uri si unitati educationale din judetul Galati in
domeniul dezvoltarii educatiei (investitii si metodica) prin organizarea a 5 cursuri de capacity building
2. Promovarea cetateniei active in randul a 300 persoane (tineri, profesori, angajati din APL, ONG si IMM) din judetul Galati prin
organizarea unei campanii judetene, realizarea unei platforme de implicare civica in domeniul educatiei Galati Edu 2021+ cu
scopul fundamentarii Strategiei de dezvoltare a sistemului educational in judetul Galati
3. Consolidarea parteneriatului pentru dezvoltare locala (PDL) in scopul sustinerii educatiei la nivelul judetului Galati prin infiintarea
unui cluster educational - Galati Edu Cluster 2021+</t>
  </si>
  <si>
    <t>Obiectivul general al proiectului este de a consolida capacitatea organizatiilor nonguvernamentale si partenerilor sociali de a realiza
parteneriate locale pentru dezvoltare si de a se implica in formularea si promovarea dezvoltarii comunei Cricau precum si în procesul de
luare a deciziilor (cetatenie activa), oferind tuturor cetatenilor si grupurilor sociale oportunitatea de a se implica in actiuni si initiative care
contribuie la promovarea si respectarea valorilor democratice si a drepturilor omului.
Obiectivele specifice ale proiectului
1. Obiectiv 2. Dezvoltarea si aplicarea a 3 instrumente si 3 mecanisme de lucru pentru sustinerea, promovarea si consolidarea
dialogului cu autoritatile publice locale, pe o perioada de min. 18 luni de la data semnarii contractului de finantare.
2. Obiectiv 3. Dezvoltarea si aplicarea a 3 instrumente si 3 mecanisme de monitorizare si evaluare a politicilor publice si strategiilor
locale pe baza consultarii autoritatilor publice locale, pe o perioada de min. 18 luni de la data semnarii contractului de finantare.
3. Obiectiv 4. Cresterea capacitatii societatii civile locale, prin instruiri si activitati comune, desfasurate intr-o perioada max. 18 luni
de la data semnarii contractului de finantare.</t>
  </si>
  <si>
    <t>Cresterea capacitatii Asociatiei de Turism Retezat de a se implica în dezvoltarea si promovarea orasului Hateg.
Obiectivele specifice ale proiectului
1. OS1: Recrutarea si formarea a 20 persoane (GT) in domeniul brandingului de localitate, din care 8 din cadrul ONG-ului solicitant
2. OS2: Crearea unei strategii de identitate de brand a orasului Hateg printr-o forma participativa, ca reper pentru dezvoltarea
ulterioara economica si sociala a orasului, înglobând cele mai bune practici internationale în brandingul unui loc
3. OS3:Activarea spiritului civic si realizarea unei mecanism de implicare a cetatenilor si a tuturor factorilor interesati în sustinerea si
promovarea strategiei de brand
4. OS4: Promovarea proiectului si a rezultatelor acestuia catre publicurile tinta si partile interesate</t>
  </si>
  <si>
    <t>Obiectivul general al proiectului este cresterea capacitatii organizatiilor neguvernamentale din domeniul bunei guvernari si a administratiei
publice locale de a monitoriza, evalua, optimiza strategii de dezvoltare locala si imbunatati procesele decizionale de adoptare a politicilor
publice prin utilizarea mecanismelor de participare publica si dialog civic.
OG al proiectului rezulta ca o consecinta a atingerii obiectivelor specifice mentionate mai jos. La randul lor, obiectivele specifice pot fi
atinse prin realizarea rezultatelor prevazute pentru fiecare din subactivitatile proiectului. OS1 si OS2 relationeaza cu R1, R2 si R4, iar OS3
relationeaza cu R3 si R5.
Obiectivele specifice ale proiectului
1. OS1 - Cresterea capacitatii SAR si a ONG-urilor active în Municipiul Resita de a se implica în promovarea dezvoltarii locale prin
participarea a 9 membri ONG la o sesiune de formare si 2 ateliere comune cu angajati ai primariei Resita
2. OS2 – Îmbunatatirea gradului de cooperare cu ONG-uri si a capacitatii Primariei Resita de a utiliza mecanisme de participare
publica în procesele de monitorizare, evaluare si implementare a strategiilor de dezvoltare si a politicilor publice locale prin
participarea a 5 angajati la o sesiune de formare si 2 ateliere comune cu membri ONG
3. OS3 – Încurajarea dialogului civic între autoritatile publice locale, organizatiile non- guvernamentale si cetateni prin
operationalizarea unui parteneriat pentru dezvoltare locala în Municipiul Resita axat pe monitorizarea si optimizarea mobilitatii
urbane si implementarea a minim 3 mecanisme de implicare civica</t>
  </si>
  <si>
    <t>Obiectivul general al prezentului proiect consta în implicarea activa a ASOCATIEI TRANSPARENTA PENTRU INTEGRITATE (ATPI) in
dezvoltarea parteneriatului pentru promovarea oportunitatilor existente la nivelul MUNICPIULUI CALAFAT
Obiectivele specifice ale proiectului
1. OS. 1: Sprijinirea administratiei locale si a cetatenilor in identificarea si valorificarea oportunitatil[or locale prin instrumente
moderne
2. OS 2: Consolidarea capacitatii ASOCATIEI TRANSPARENTA PENTRU INTEGRITATE (ATPI) si a comunitatii locale in
sustinerea dezvoltarii locale si utilizarea corespunzatoare a instrumenelor dezvoltate prin proiect</t>
  </si>
  <si>
    <t xml:space="preserve">Obiectivul general al proiectului consta în implicarea activa a Asociatiei „Centrul de resurse RE-START” în formularea si promovarea
dezvoltarii la nivel local a com. Razboieni din judetul Neamt prin consultare publica cu autoritatile publice locale si cetateni în vederea
elaborarii unei Strategii de dezvoltare si promovare turistica si sprijinirea de inititative de dezvoltare a responsabilitatii civice privind
dezvoltarea durabila, fapt ce va determina cresterea nivelului de dezvoltare locala pe termen lung.
Obiectivele specifice ale proiectului
1. OS1: Cresterea gradului de constientizare si implicare civica a cetatenilor din Comuna Razboieni, judetul Neamt, precum si a
partenerilor sociali, a ONG-urilor si a altor actori sociali relevanti din zona localitatii Razboieni, cu privire la potentialul turistic al
acestei localitati prin dezvoltarea unui instrument inovativ pentru promovarea dezvoltarii la nivel local si consultare publica pe o
perioada de 11 luni.
2. OS2: Elaborarea Strategiei de dezvoltare si promovare a turismului din Comunei Razboieni, judetul Neamt, pe baza consultarii
publice dintre asociatie si autoritatile locale, parteneri sociali, ONG-uri si alti actori sociali relevanti din zona localitatii Razboieni si
cetateni într-o perioada de 10 luni.
3. OS3: Cresterea responsabilitatii civice privind dezvoltarea durabila prin realizarea de activitati în acest sens cu un grup de 60 de
elevi, înscrisi la Scoala Gimnaziala „Constantin Virgil Gheorghiu” din Razboieni, pe parcursul a 4 luni.
</t>
  </si>
  <si>
    <t>Consolidarea capacitatii a minimum 40 de organizatii non-guvernamentale si parteneri sociali de a se implica în formularea si promovarea
dezvoltarii la nivel local, prin elaborarea si implementarea unor mecanisme si proceduri de interactiune cu autoritati publice locale, precum si prin instruire specializata si networking.
Obiectivele specifice ale proiectului
1. Obiectiv specific 1: Întarirea capacitatii de colaborare si participare activa a organizatiilor non-guvernamentale si a partenerilor
sociali, prin elaborarea si implementarea unui mecanism de consultare la nivelul Primariei Aiud, denumit Grup Consultativ pentru
Dezvoltare Locala (CDL).
2. Obiectiv specific 2: Dezvoltarea de competente specifice la nivelul personalului din cadrul ONG-urilor si parteneri sociali prin
derularea a 6 sesiuni de instruire specializata, certificarea a minimum 80 de participanti, precum si printr-o retea tematica de
cooperare la nivel local.
3. Obiectiv specific 3: Îmbunatatirea capacitatii organizatiilor non-guvernamentale si partenerilor sociali de a-si extinde aria de
interventie, prin dezvoltarea unui instrument de monitorizare si evaluare independenta a politicilor si strategiilor la nivel local,
precum si prin dezvoltarea a doua proceduri de interactiune a ONG-urilor cu autoritatile publice locale.</t>
  </si>
  <si>
    <t xml:space="preserve">Dezvoltarea durabila a comunei Botosesti Paia prin introducerea de sisteme si standarde comune în administratia publica locala ce
optimizeaza procesele orientate catre beneficiari în concordanta cu SCAP si prin cresterea capacitatii ONG-urilor si partenerilor sociali de a se implica în formularea si promovarea dezvoltarii la nivel local.
Prezentul proiect este in concordanta cu Scopul acestui apel (de a consolida capacitatea organizatiilor non-guvernamentale si partenerilor
Obiectivele specifice ale proiectului
1. Realizarea de instrumente de monitorizare si evaluare independenta a politicilor si strategiilor de dezvoltare a comunei Botosesti
Paia pe parcursul implemenarii proiectului:
2. Raport anual de monitorizarea eficientei cheltuielilor publice si a executiei bugetului local;
3. Raport anual de monitorizarea gradului de colectare a taxelor si impozitelor locale;
4. Raport anual de monitorizarea corelarii componenetei bugetare cu componente strategica a politicilor publice locale;
5. Raport anual de monitorizarea implementarii planurilor de dezvoltare a comunitatii.
2. Realizarea de proceduri, mecanisme pentru sustinerea si promovarea dezvoltarii la nivel local si de interactiune cu autoritatile
siinstitutiile administratiei publice din comuna Botosesti Paia pe parcursul implementarii proiectului.
3. Dezvoltarea si implementarea mecanismelor de consultare a autoritatilor si institutiilor publice din comuna Botosesti Paia cu
ONG-urile, partenerii sociali si a cetatenilor în elaborarea politicilor si strategiilor la nivel local pe parcursul implementarii
proiectului.
4. Dezvoltarea capacitatii partenerilor sociali din comuna Botosesti Paia si a ONG-urilor din judetul Dolj prin formare profesionala,
activitatiîntreprinse în comun, infiintarea unor retele tematice regionale si nationale pe parcursul implementarii proiectului.
</t>
  </si>
  <si>
    <t>Consolidarea capacitatii ONG-urilor si a partenerilor sociali de a se implica in formularea si promovarea dezvoltarii la nivel local prin
Acordul de parteneriat semnat de solicitant cu Primaria Novaci, vizand consolidarea transparentei decizionale, imbunatatirea serviciilor
publice, cresterea responsabilitatii civice privind egalitatea de sanse, dezvoltarea durabila si voluntariat pentru comunitatea locala.
Obiectivele specifice ale proiectului
1. OS1- Consolidarea transparentei procesului decizional in administratia publica locala prin analiza detaliata a situatiei existente si
formularea de propuneri pentru imbunatatirea mecanismelor si instrumentelor de comunicare cu ONG-uri/ parteneri sociali,
cetateni; informarea si constientizarea a 40 persoane din GT prin 2 ateliere vizand democratia participativa si decizia publica.
2. OS2 –Implicarea ONG-urilor/ partenerilor sociali privind orientarea serviciilor publice pe nevoile beneficiarilor prin analiza situatiei
actuale, elaborarea unui plan integrat pentru simplificarea procedurilor administrative aplicabile cetatenilor si abordarea de solutii
novatoare prin aplicarea conceptului de „Ghiseu Unic”
3. OS3 - Dezvoltarea de instrumente independente de monitorizare si evaluare a serviciilor publice la nivel local din perspectiva
cetatenilor, beneficiari ai serviciilor publice, prin stabilirea de indicatori specifici de monitorizare si evaluare si elaborarea unei
metodologii cadru pentru monitorizarea si evaluarea integrata a performantei în furnizarea serviciilor publice la nivelul
administratiei locale.
4. OS4 - Dezvoltarea cunostintelor si abilitatilor resurselor umane din ONG-uri si parteneri sociali pentru un numar de 40
participanti, prin 2 sesiuni de curs de formare acreditat ANC pentru competente sociale si civice; dezvoltarea competentelor
sociale si civice pentru 40 participanti din alte categorii ale GT;
5. OS5 - Constientizarea ONG-urilor si partenerilor sociali de implicare a comunitatii locale in promovarea egalitatii de sanse, a
egalitatii de sanse intre femei si barbati si nediscriminarii pentru 40 de participanti din GT prin organizarea de 2 ateliere.
6. OS6 - Implicarea ONG-urilor si partenerilor sociali prin initiative si actiuni de constientizare si participare a comunitatii locale
pentru implementarea dezvoltarii durabile, cu accent pe colectarea selectiva si reciclarea deseurilor, pe protectia biodiversitatii,
utilizarea eficienta a resurselor prin organizarea de 4 ateliere cu un numar total de 80 participanti din GT;
7. OS7 - Cresterea capacitatii ONG-urilor in dezvoltarea si implementarea voluntariatului pentru dezvoltare durabila prin organizarea
unui atelier de constientizare pentru 20 participanti, infiintarea unei asociatii „Voluntar pentru zone curate si verzi” si organizarea
de 3 seminarii pentru operationalizarea asociatiei;
8. OS8 - Implicarea ONG-urilor in constientizarea comunitatii locale pentru protejarea biodiversitatii etnoculturale, pastrarea,
dezvoltarea si promovarea traditiilor, produselor specifice zonei prin constientizarea de 40 persoane prin 2 ateliere dedicate si
infiintarea unei asociatii.
9. OS9 - Informarea, sensibilizarea si constientizarea ONG-urilor /partenerilor sociali a comunitatii locale in formularea si
promovarea dezvoltarii locale prin actiunile de informare si publicitate, prin 2 conferinte (lansare si finalizarea proiect cu un numar
total de 80 participanti) prin website, retele de socializare, afise, anunturi /comunicate de presa materiale de promovare cu
identitatea vizuala a proiectului.
10. OS10- Asigurarea unui management performant care sa asigure realizarea rezultatelor de program si a rezultatelor de proiect
asumate in conditiile respectarii duratei prevazute a proiectului si realizarea de cheltuieli eligibile conform bugetarii propuse.</t>
  </si>
  <si>
    <t xml:space="preserve">Obiectivul acestui proiect este acela de a consolida capacitatea organizatiilor non-guvernamentale din judetul Cluj de a se implica in
formularea si promovarea dezvoltarii la nivel local. In acest sens, proiectul isi propune sa puna bazele unui Parteneriat pentru Dezvoltare
Locala, functional la 6 luni dupa finalizarea proiectului, intre Autoritatea Publica locala municipiul Cluj Napoca, ONG-uri si parteneri sociali
din zona, si sa dezvolte capacitatea unui numar de 30 de persoane, reprezentanti ai acestora prin instruiri in domeniul monitorizarii
strategiilor si politicilor locale si de participare la procese decizionale, de promovare a egalitatii de sanse si nediscriminari.
Obiectivele specifice ale proiectului
1. OS 1 Dezvoltarea unui parteneriat între ONG-uri /parteneri sociali si UAT municipiul Cluj Napoca, functional la 6 luni dupa
finalizarea proiectelor
2. OS 2 Dezvoltarea de proceduri si mecanisme pentru sustinerea si promovarea dezvoltarii la nivelul municipiului si de interactiune
dintre autoritatile si institutiile administratiei publice cu comunitatea locala in perioada 2021-2027;
3. OS 3 Dezvoltarea capacitatii partenerilor sociali si a ONG-urilor prin instruiri in domeniul monitorizarii strategiilor si politicilor locale
si de participare la procesele decizionale, de promovare a egalitati de sanse si nediscriminarii, precum si a dezvoltarii durabile;
</t>
  </si>
  <si>
    <t>Societatea Națională de Cruce Roșie din România - Filiala Ilfov</t>
  </si>
  <si>
    <t>Responsabilitate și sprijin în comunitate</t>
  </si>
  <si>
    <t>Obiectivul general al proiectului “Responsabilitate si sprijin in comunitate” consta în cresterea capacitatii organizationale a SNCRR Filiala
Ilfov de a se implica în formularea unui instrument comun de interventie in situatie de criza la nivelul orasului Buftea si totodata
dezvoltarea de abilitati si competente in randul voluntarilor, ce vin in sprijinul comunitatii in situatie de criza. 
Obiectivele specifice ale proiectului
1. OS1. Cresterea capacitatii organizationale a SNCRR Filiala Ilfov prin construirea unui dialog sustenabil cu societatea civila si
administratia publica;
2. OS2. Cresterea gradului de constientizare a rolului societatii civile in comunitate prin elaborarea unui instrument comun privind
interventia in situatie de urgenta
3. OS3. Cresterea gradului de pregatire profesionala in domeniul primului ajutor, in vederea asigurarii unui grad ridicat de interventie
in comunitate;
4. OS4. Cresterea premiselor de colaborare ale comunitatii si participarea/implicarea acesteia în procesul de luare a deciziilor;
5. OS5. Dezvoltarea retelei de voluntari in Orasul Buftea prin incheierea a minim 50 de contracte de voluntariat;
6. OS6. Cresterea gradului de constientizare privind egalitatea de sanse si nediscriminarea in in comunitate precum si a protectiei
mediului prin promovarea obiectivelor de dezvoltare durabila</t>
  </si>
  <si>
    <t>Buftea</t>
  </si>
  <si>
    <t>Asociația Ion Câmpineanu pentru Consultanță, Management și Dezvoltare Durabilă</t>
  </si>
  <si>
    <t>Îmbunătățirea capacității ONG pentru sprijinirea dezvoltării la nivel local</t>
  </si>
  <si>
    <t>Hârșova</t>
  </si>
  <si>
    <t>Obiectiv general: Dezvoltarea capacitatii ONG-urilor de a crea parteneriate viabile si durabile cu autoritati publice locale si de a se implica
in dezvoltarea la nivel local in orasul Harsova.
Obiectivele specifice ale proiectului
1. OS1 Dezvoltarea unui parteneriat durabil intre Solicitant si autoritatile locale functional la 6 luni dupa finalizarea proiectului
2. OS2 Dezvoltarea competentelor si insusirea unui „know how’ specific pentru 40 reprezentanti ai ONG-urilor si partenerilor sociali
in vederea consolidarii abilitatilor pentru formularea si promovarea dezvoltarii la nivel local.
3. OS3 Dezvoltarea responsabilitatii civice, de implicare a comunitatilor locale in viata publica si de participare la procesele
decizionale prin dezvoltarea a min 3 proiecte specifice la nivel local</t>
  </si>
  <si>
    <t>AGENȚIA DE DEZVOLTARE REGIONALĂ NORD-VEST</t>
  </si>
  <si>
    <t>Consolidarea dialogului între APL si ecosistemele antreprenoriale din Regiunea Nord Vest</t>
  </si>
  <si>
    <t>Imbunatatirea colaborarii intre ADR Nord-Vest, a altor ONG-uri si/sau parteneri sociali, autoritatilor publice locale si ecosistemelor
antreprenoriale (reprezentate prin ONG-uri antreprenoriale, hub-uri, organizatii patronale, clustere, Camere de Comert etc.) din Regiunea
de Dezvoltare Nord-Vest in vederea facilitarii dialogului cu privire la dezvoltarea locala.
Obiectivele specifice ale proiectului
1. OS1. Incheierea, dezvoltarea si consolidarea de Parteneriate pentru Dezvoltare Locala intre ADR Nord-Vest si Primaria
Municipiului Cluj-Napoca, Primaria Oradea, Primaria Bistrita, Primaria Baia Mare, Primaria Satu Mare, Primaria Zalau, alte
autoritati publice locale, ONG-uri si/sau parteneri sociali si ecosistemele antreprenoriale (reprezentate prin ONG-uri
antreprenoriale, hub-uri, organizatii patronale, clustere, Camere de Comert etc.) din Regiunea de Dezvoltare Nord-Vest.
2. OS2. Consolidarea capacitatii ADR Nord-Vest, a altor ONG-uri si/sau a partenerilor sociali de a facilita dialogul cu privire la
dezvoltarea locala, intre cele 6 primarii care au semnat Parteneriatele pentru Dezvoltare Locala, alte autoritati publice locale si
ecosistemele antreprenoriale (reprezentate prin ONG-uri antreprenoriale, hub-uri, organizatii patronale, clustere, Camere de
Comert etc.) din Regiunea de Dezvoltare Nord-Vest.</t>
  </si>
  <si>
    <t>Bihor, Bistrița-Năsăud, Cluj, Maramureș, Satu-Mare, Sălaj</t>
  </si>
  <si>
    <t>ASOCIAȚIA EXCELSIOR PENTRU EXCELENȚĂ ÎN EDUCAȚIE</t>
  </si>
  <si>
    <t>GORJ CIVIC HUB</t>
  </si>
  <si>
    <t>Obiectivul general al proiectului il constituie cresterea capacitatii si a gradului de implicare a societatii civile din judetul Gorj in promovarea
dezvoltarii la nivel local prin sprijinirea implicarii in cadrul mecanismelor decizionale la nivel local si crearea unei retele tematice judetene,
prin constientizarea rolului acestora de catre reprezentantii sectorului public si a partenerilor sociali, concomitent cu consolidarea
capacitatii acestora, prin intermediul programelor de formare.                                                                                                                                                                                         Obiectivele specifice ale proiectului
1. OS1) Cresterea gradului de constientizare cu privire la rolul societatii civile in randul membrilor /si voluntarilor din cadrul ONGurilor
si partenerilor sociali din judetul Gorj cat si al reprezentantilor din sectorul public prin evenimente dedicate si distribuirea de
materiale de promovare
2. OS2) Consolidarea capacitatii ONG-urilor si partenerilor sociali din judetul Gorj de a se implica in dezvoltarea locala prin cresterea
competentelor resurselor umane (angajati si voluntari) obtinute in urma unor programe de formare specifice
3. OS3) Cresterea nivelului de implicare a ONG-urilor gorjene in procesele de luare a deciziilor /si elaborare a strategiilor/planurilor
pe termen mediu si lung la nivelul judetului Gorj prin realizarea si consolidarea retelei tematice GORJ CIVIC HUB.</t>
  </si>
  <si>
    <t>FUNDAȚIA ROMTENS</t>
  </si>
  <si>
    <t>Promovarea dezvoltării la nivel local prin elaborarea și implementarea de instrumente de monitorizare și evaluare a politicilor și strategiilor locale și prin acțiuni de consultare și consolidare a dialogului social și civic – PDL-Com-S</t>
  </si>
  <si>
    <t>Obiectivul General al Proiectului este:
Optimizarea proceselor orientate catre cetateni prin dezvoltarea si aplicarea de instrumente si mecanisme facilitate de instruire si dedicate
consultarii, monitorizarii si evaluarii politicilor si strategiilor publice la nivel local in comunele Saschiz si Albesti.                                                                       Obiectivele specifice ale proiectului
1. OS1: Asigurarea unei evaluari si monitorizari obiective si independente a politicilor si strategiilor la nivel local, in comunele
Saschiz si Albesti, prin intermediul unui instrument dedicat si a metodologiei de utilizare a acestuia
2. OS2: Cresterea nivelului de participare a ONGurilor, si a cetatenilor, atat in procesul de elaborare a politicilor publice locale, cat si
in cadrul dialogului social si civic, in comunele Saschiz si Albesti
3. OS3: Cresterea nivelului de instruire pentru membrii grupului tinta, precum si conectarea celor doua comune la retele tematice de
dezvoltare locala si comunitara</t>
  </si>
  <si>
    <t>Albesti, Saschiz</t>
  </si>
  <si>
    <t>Federația Galurilor Urbane</t>
  </si>
  <si>
    <t>Capacitarea membrilor ONG-urilor pentru implicare activă în luarea deciziilor la nivel local</t>
  </si>
  <si>
    <t>1, 4, 5, 7</t>
  </si>
  <si>
    <t>Bacău, Olt, Caraș-Severin, Brașov</t>
  </si>
  <si>
    <t>Asociația pentru Asistență Socială " Universul Copiilor Speciali" Pitești</t>
  </si>
  <si>
    <t>Promovare și sprijin în scopul creșterii spiritului civic la nivelul județului Argeș</t>
  </si>
  <si>
    <t>ASOCIAȚIA BASARABII</t>
  </si>
  <si>
    <t>Dezvoltarea brandului localității Hotarele ca parte a strategiei de dezvoltare locală</t>
  </si>
  <si>
    <t>Hotarele</t>
  </si>
  <si>
    <t>ASOCIAȚIA ”LIBEREI ATITUDINI”</t>
  </si>
  <si>
    <t>Cetățenie activă la Spulber</t>
  </si>
  <si>
    <t>Spulber</t>
  </si>
  <si>
    <t>Obiectivul general al proiectului este reprezentat de consolidarea capacitatii organizatiilor non-guvernamentale de a se implica în
formularea si promovarea dezvoltarii la nivel local.
Obiectivele specifice ale proiectului
1. Realizarea cursurilor de formare pentru dezvoltarea echilibrata a organizatiilor neguvernamentale, pentru ca, ulterior, acestea sa
functioneze intr-o maniera sustenabila si sa actioneze in sistem de network, fiind capabile de a se implica in formularea si
promovarea dezvoltarii la nivel local.
2. Realizarea de proceduri, mecanisme pentru sustinerea si promovarea dezvoltarii la nivel local si de interactiune cu autoritatile si
institutiile administratiei publice si de consolidare a dialogului social si civic pentru dezvoltarea de parteneriate intre ONGuri/
parteneri sociali si autoritati locale in vederea sustinerii si promovarii dezvoltarii la nivel local.</t>
  </si>
  <si>
    <t>Obiectivul general al proiectului consta în cresterea gradului de responsabilizare si implicare civica în beneficiul comunitatilor din judetul
Arges, prin crearea unei retele de suport comunitar bazate pe voluntariat si prin implementarea de actiuni menite sa contribuie la
promovarea si respectarea valorilor democratice si a drepturilor omului.
Obiectivele specifice ale proiectului
1. Cresterea capacitatii organizationale a Asociatiei pentru Asistenta Sociala ”Universul Copiilor Speciali”, prin construirea unui
dialog sustenabil cu societatea civila si administratia publica din judet.
2. Promovarea voluntariatului ca forma de cetatenie activa, benevola, în sprijinul persoanei si al comunitatii.
3. Crearea unei retele comunitare de suport (voluntari), care sa sprijine autoritatile administratiei publice locale în procesul de
identificare a nevoilor sociale ale persoanelor/grupurilor vulnerabile si de propunere/aplicare a unor solutii menite sa ridice
standardul de calitate a vietii acestora.
4. Cresterea gradului de constientizare privind egalitatea de sanse si nediscriminarea în comunitate, precum si a obiectivelor de
dezvoltare durabila.
5. Consolidarea parteneriatului între societatea civila si administratia publica prin actiuni constante de implicare reciproca în viata
comunitatii, în vederea promovarii respectarii valorilor democratice si a drepturilor omului, a prevenirii marginalizarii sociale si
discriminarii, cu precadere pe criterii de dizabilitate.
6. Cresterea gradului de cunoastere si promovare a respectarii drepturilor si demnitatii persoanelor aflate în dificultate, cu precadere
a persoanelor cu dizabilitati, prin elaborarea si diseminarea unui ghid privind drepturile persoanelor cu dizabilitati, inclusiv
modalitatile de accesare a acestora, precum si a unui instrument/proceduri de monitorizare a activitatii asistentilor personali de
catre autoritatile publice locale.</t>
  </si>
  <si>
    <t>Obiectivul principal al proiectului il reprezinta cresterea implicarii cetatenilor în comunitate si în procesul de luare a deciziilor (cetatenie
activa) prin instrumentul ”Branding local”, elaborarea strategiei de dezvoltare locala si crearea unui parteneriat între autoritatea locala
(Primaria Com. Hotarele, jud. Giurgiu) si Asociatia Basarabii în vederea implementarii conceptului.
Obiectivele specifice ale proiectului
1. Realizarea strategiei de dezvoltare locala a Com. Hotarele, jud. Giurgiu, prin instrumentul Branding local - Crearea unui Consiliu
de brand local cu implicarea cetatenilor si a alesilor locali;
2. Dezvoltarea si implementarea mecanismelor de consultare a autoritatilor si institutiilor publice cu ONG-urile, în elaborarea
strategiei de dezvoltare la nivel local prin realizarea unei cercetari sociologice cantitative si calitative realizata la nivel local.
3. Integrarea strategiei de Branding local (place branding) in strategia de dezvoltare locala si crearea premiselor pentru
implementarea acesteia in cadrul Parteneriatului pentru Dezvoltare locala intre Asociatia BASARABII si Com. HOTARELE, jud.
Giurgiu</t>
  </si>
  <si>
    <t>Obiectivul general al proiectului consta în dezvoltarea capacitatii de cooperare intre societatea civila si administratia publica locala, prin
dezvoltarea unui Parteneriat pentru dezvoltare locala, pentru implementarea unor masuri adaptate nevoilor comunitatii rurale, în vederea
cresterii accesului cetatenilor la procesul de luare a deciziilor si la servicii comunitare de calitate.
Obiectivele specifice ale proiectului
1. OS1. Consolidarea dialogului social la nivelul comunei Spulber, prin realizarea unei platforme civice online, accesibila tuturor
cetatenilor comunei, pentru depunerea de propuneri în vederea realizarii Strategiei de Dezvoltare Locala si a Planului de actiune
pentru urmatoarea perioada si în scopul urmaririi în timp real a implementarii acestora, precum si prin crearea de instrumente
online pentru cetateni si societatea civila de a se implica in procesul de luare a deciziilor
2. OS2. Cresterea gradului de implicare a cetatenilor comunei Spulber in viata comunitatii, prin facilitarea participarii la intalniri
cetatenesti pentru locuitorii comunei, prin asigurarea accesului a 40 de persoane la sesiuni de instruire specifice si prin
participarea a 6 persoane la o vizita de studiu intr-o tara UE
3. OS3. Reducerea birocratiei prin informatizarea operatiunilor administratiei locale în relatia cu cetatenii
Obiectivele contribuie la realizarea R4 al Cererii de proiecte POCA/659/2/1 (CP14/2021 pentru regiunile mai putin dezvoltate) -
Consolidarea capacitatii ONG-urilor si partenerilor sociali de a se implica în formularea si promovarea dezvoltarii la nivel local:
Capacitate crescuta a ONG-urilor si partenerilor sociali de a se implica în formularea si promovarea dezvoltarii la nivel local.</t>
  </si>
  <si>
    <t>AA1/19.08.2019       AA2/14.08.2020 durata AA3/6.07.2021 buget AA4/10.08.2021 durata  AA5/16.08.2022 durata</t>
  </si>
  <si>
    <t>AA1/15.07.2020   AA2/29.09.2020 durata AA3/7.08.2021 durata AA4/25.10.2021 durata si buget   AA5/17.08.2022 durata</t>
  </si>
  <si>
    <t>AA1/23.12.2020 durata si buget AA2/13.04.2021 durata          AA3/17.08.2022 durata si buget</t>
  </si>
  <si>
    <t>AA2/12.08.2021 durata  AA3/14.04.2022 durata AA4/19.08.2022 durata</t>
  </si>
  <si>
    <t>AA1/21.01.2022 durata     AA2/19.08.2022 durata</t>
  </si>
  <si>
    <t>AA1/22.09.2020 buget AA2/2.08.2021durata    AA3/5.04.2022 durata   AA4/19.08.2022 durata si buget</t>
  </si>
  <si>
    <t>ASOCIAȚIA DE DEZVOLTARE INTERCOMUNITARĂ ECOLECT GROUP</t>
  </si>
  <si>
    <t>Aplicație integrată privind managementul deșeurilor în județul Bihor</t>
  </si>
  <si>
    <t>ASOCIATIA "SOCIETATEA DE CERCETARE ÎN LEADERSHIP, MANAGEMENT, MARKETING ȘI CULTURĂ
ORGANIZAȚIONALĂ"</t>
  </si>
  <si>
    <t>Implicați activ pentru dezvoltarea comunei Șopârlița</t>
  </si>
  <si>
    <t>Craiova, Sopârlita</t>
  </si>
  <si>
    <t>ASOCIAȚIA SOCIAL ALERT</t>
  </si>
  <si>
    <t>Implicarea Asociației SOCIAL ALERT în creșterea capacității a 10 ONG-uri și parteneri sociali în domeniul dezvoltării antreprenoriale a familiilor tinere, prin implicarea inovativă a acestora în formularea și dezvoltarea locală la nivelul Orașului Țăndărei din Județul Ialomița</t>
  </si>
  <si>
    <t>Obiectivul general al proiectului: Cresterea capacitatii a 10 ONG-uri si parteneri sociali din Regiunea Sud-Muntenia, pentru a formula si
promova dezvoltarea inovativa la nivel local prin dezvoltarea competentelor antreprenoriale la nivelul familiilor tinere din localitatea
Tandarei, Jud. Ialomita, prin prisma oportunitatilor Romaniei in noul context european 2021-2027, in decurs de 6 luni
Obiectivele specifice ale proiectului
1. OS1. Dezvoltarea capacitatii a 10 ONG-uri si parteneri sociali din Regiunea Sud-Muntenia de a se implica in formularea si
promovarea dezvoltarii la nivel local prin organizarea a 2 sesiuni de instruire in domeniul dezvoltarii locale durabile prin
dezvoltarea tinerelor familii din punct de vedere antreprenorial prin prisma oportunitatilor Romaniei in noul context european
2021-2027, pe parcursul 1 luni
2. OS2. Dezvoltarea responsabilitatii civice, de implicare a comunitatilor locale in viata publica si de participare la procesele
decizionale, de promovare a egalitati de sanse si nediscriminarii, precum si a dezvoltarii durabile, prin informarea si
constientizarea a 80 de persoane din Regiunea Sud-Muntenia, in decurs de 4 luni
3. OS3. Sustinerea si promovarea dezvoltarii tinerelor familii la nivel local prin facilitarea interactiunii acestora cu autoritatile si
institutiile administratiei publice prin realizarea 1 Strategii de comunicare si a 1 Ghid in acest sens, in decurs de 2 luni
4. OS4. Dezvoltarea de mecanisme si instrumente de consolidare a dialogului social si civic prin elaborarea 1 platforme online in
vederea dezvoltarii locale durabile prin sustinerea antreprenoriatului in randul tinerelor familii, pe parcursul a 5 luni
5. OS5. Dezvoltarea de instrumente de monitorizare si evaluare independenta a politicilor si strategiilor la nivel local in domeniul
sustinerii antreprenoriatului in randul tinerelor familii, ca factor de dezvoltare locala sustenabila si inteligenta, in decurs de 6 luni</t>
  </si>
  <si>
    <t>Țăndărei</t>
  </si>
  <si>
    <t>PATRONATUL UNPR - BANAT</t>
  </si>
  <si>
    <t>Dezvoltarea comunei Giarmata, Timiș, prin implicarea partenerilor sociali</t>
  </si>
  <si>
    <t>Giarmata</t>
  </si>
  <si>
    <t>Asociația Culturală ARTMANIA</t>
  </si>
  <si>
    <t>Dezvoltarea capacității organizatorice în domeniul cultural-muzical a județului Sibiu</t>
  </si>
  <si>
    <t>Obiectiv general: Cresterea capacitatii ADI Ecolect Group Bihor si a partenerilor sociali de a se implica în formularea si promovarea
dezvoltarii la nivel local.
Scop: Constientizarea si educarea populatiei din judetul Bihor prin intermediul unei aplicatii integrate de management al deseurilor,
cresterea gradului de implicare a ADI Ecolect Group Bihor si a partenerilor sociali in introducerea de sisteme si standarde comune în
administratia publica privind o gestionare eficienta a sistemului de management integrat al deseurilor.
Obiectivele specifice ale proiectului
1. Realizarea unui parteneriat social pentru dezvoltare locala functional, pe o perioada de cel putin 12 luni de la data finalizarii
perioadei de implementare a proiectului, între ADI Ecolect Group Bihor, UAT Judetul Bihor, primariile din judetul Bihor si
operatorii de salubritate prin intermediul Platformei electronice integrate de management al deseurilor precum si prin formarea
profesionala continua a personalului acestora, cu atributii în protectia mediului si managementul deseurilor.
2. Îmbunatatirea capacitatii de gestionare a deseurilor la nivelul jud Bihor prin dezvoltarea unei aplicatii integrate privind
managementul deseurilor
3. Cresterea capacitatii de gestionare a deseurilor prin instruirea a 105 persoane in domeniul managementului deseurilor</t>
  </si>
  <si>
    <t>Obiectivul general al proiectului este consolidarea capacitatii ASOCIATIEI "SOCIETATEA DE CERCETARE IN LEADERSHIP,
MANAGEMENT, MARKETING SI CULTURA ORGANIZATIONALA" si a partenerilor sociali de a se implica în formularea si promovarea
dezvoltarii la nivel local în comuna Sopârlita.
Obiectivele specifice ale proiectului
1. Realizarea de instrumente de monitorizare si evaluare independenta a politicilor si strategiilor de dezvoltare a comunei Soparlita
2. Realizarea de proceduri, mecanisme pentru sustinerea si promovarea dezvoltarii la nivel local si de interactiune cu autoritatile si
institutiile administratiei publice din comuna Soparlita
3. Dezvoltarea si implementarea mecanismelor de consultare a autoritatilor si institu?iilor publice din comuna Soparlita cu ONGurile,
partenerii sociali si a cetatenilor în elaborarea politicilor si strategiilor la nivel local
4. Dezvoltarea de mecanisme, proceduri, instrumente de consolidare a dialogului social si civic la nivelul comunei Soparlita
5. Dezvoltarea capacitatii Asociatiei "Societatea de Cercetare în Leadership, Management, Marketing si Cultura Organizationala", a
partenerilor sociali din comuna Soparlita si a ONG-urilor din judetul Dolj de a se implica in formularea si promovarea dezvoltarii la
nivel local
6. Sprijinirea de initiative de dezvoltare a responsabilitatii civice, de implicare a comunitatilor locale din comuna Soparlita</t>
  </si>
  <si>
    <t>Cresterea capacitatii ONG-urilor si a partenerilor sociali de a se implica in formularea si promovarea politicilor de dezvoltare a mediului de
afaceri local al comunei Giarmata, judet Timis, intr-un orizont de timp de 14 luni
Obiectivele specifice ale proiectului
1. Dezvoltarea unui parteneriat durabil si activ la 6 luni de la finalizarea proiectului intre autoritati locale, ONG-uri si parteneri sociali
pentru formularea si promovarea de propuneri pentru dezvoltarea mediului de afaceri local al comunei Giarmata, Timis;
2. Cresterea capacitatii unui numar de 34 de persoane (reprezentanti ai ONG-urilor si partenerilor sociali) de a se implica in
formularea si promovarea de propuneri pentru dezvoltarea mediului de afaceri local al comunei Giarmata, Timis prin dezvoltarea
de competente de educatie financiara si planificare strategica;
3. Dezvoltarea Strategiei de dezvoltare locala a comunei Giarmata, Timis, a planului de actiune asociat incluzand un mecanism de
consultare a autoritatilor si institutiilor publice cu ONG-urile, partenerii sociali, precum si a cetatenilor în elaborarea politicilor si
strategiilor la nivel local pentru formularea de propuneri alternative la politicile locale;
4. Derularea campaniei de advocacy ca mecanism pentru sustinerea si promovarea dezvoltarii mediului de afaceri local al comunei
Giarmata, Timis, si pentru inaintarea propunerilor alternative la politicile publice locale curente.</t>
  </si>
  <si>
    <t>Obiectivul general al proiectului consta in cresterea capacitatea ONG-urilor de a se implica în formularea si promovarea dezvoltarii la nivel
local prin implicarea activa a 10 ONG-uri si si parteneri sociali in formularea unei strategii de dezvoltare a capacitatii organizatorice în
domeniul cultural-muzical.
Obiectivele specifice ale proiectului
1. O.S. 1 - Elaborarea unei Strategii de Dezvoltare a capacitatii organizatorice în domeniul cultural-muzical a judetului Sibiu si unui
set de masuri de monitorizare independenta, evaluare comunicare a rezultatelor acesteia.
Proiectul prevede elaborarea unei strategii de dezvoltare in domeniul prezentat, precum si modul in care se poate face o
monitorizare si evaluare independenta a rezultatelor acesteia , precum si comunicarea rezultatelor.
O.S. 1 va fi atins prin implementarea A1 si obtinerea rezultatelor asteptate R1, R2
2. O.S. 2 - Cresterea capacitatii a 10 ONG-uri si parteneri sociali care activeaza în domeniul cultural-muzical de a organiza
evenimente de mare anvergura domeniul cultural-muzical .
Participarea a 5a persoane din GT la workshop-uri de specialitate va permite dobandirea de cunostinte terotice si practice
referitoare la toate componentele ce concura la realizarea unui eveniment de anvergura.
O.S. 2 va fi atins prin implementarea A3, A4 si obtinerea rezultatelor asteptate R3</t>
  </si>
  <si>
    <t>Soluții digitale pentru Sectorul 5 al Municipiului București</t>
  </si>
  <si>
    <t>Obiectivul general consta în consolidarea capacitatii administrative a Primariei Sectorului 5, din Regiunea mai dezvoltata Bucuresti-Ilfov,
prin masuri de planificare strategica (elaborare Strategie SMART CITY) si prin simplificarea procedurilor administrative în sensul
dezvoltarii si implementarii unei aplicatii informatice pentru alocare si gestionare fonduri nerambursabile locale din fonduri publice pentru
activitati nonprofit de interes general.
Obiectivele specifice ale proiectului
1. OS1: Dezvoltarea capacitatii de planificare strategica care sa permita construirea unui plan de dezvoltare si modernizare a
Sectorului 5 prin realizarea Strategiei SMART CITY pentru perioada 2023 – 2030.
OS 1 se va îndeplini prin Activitatea 1, este atins ca urmare a obtinerii rezultatelor de proiect 1 si va conduce la atingerea
rezultatului de program POCA R1.
2. OS2. Implementarea la nivelul Institutiei a masurilor de simplificare a procedurilor administrative si reducerea birocratiei pentru
cetateni în sensul dezvoltarii unei aplicatii/platforme informatice pentru gestionare fonduri nerambursabile locale din fonduri
publice alocate pentru activitati nonprofit de interes general.
OS 2 se va îndeplini prin activitatea 2 si este atins ca urmare a obtinerii rezultatelor de proiect 2 si va conduce la atingerea
rezultatului de program POCA R3.
3. OS 3: Imbunatatirea competentelor profesionale si certificarea unui numar de 25 de persoane din cadrul institutiei cu privire la
gestionarea si utilizarea paltformei informatice dezvoltate.
OS 3 se va îndeplini prin subactivitatea 2.2, este atins ca urmare a obtinerii rezultatelor de proiect 3 si va conduce la atingerea
rezultatului de program POCA R5.</t>
  </si>
  <si>
    <t>AA1/16.02.2022 durata si buget    AA2/22.08.2022 durata</t>
  </si>
  <si>
    <t>AA1/24.08.2022 durata</t>
  </si>
  <si>
    <t>Asociația de Dezvoltare Economică și Regională - A.D.E.R.</t>
  </si>
  <si>
    <t>Bucovina: Regenerare rurală prin implicarea comunității</t>
  </si>
  <si>
    <t>Optimizarea proceselor orientate catre beneficiarii dezvoltarii durabile a spatiului rural, prin adaptarea structurii si mandatului administratiei la nevoile de protejare si valorizare a patrimoniului local.
Patrimoniul local, desi bogat si cu potential de sustinere a dezvoltarii locale, poate fi sustinut doar prin protejarea resurselor patrimoniale
valoroase si dezvoltarea unui turism sustenabil.
Obiectivele specifice ale proiectului
1. OS1:
Cresterea capacitatii ONG-urilor si autoritatii publice locale de a formula masuri in domeniul dezvoltarii durabile a spatiului rural,
cu implicarea comunitatii si partenerilor sociali, prin organizarea unei dezbateri, dezvoltarea si propunerea unor metodologii de
cercetare si inventariere/interpretare a resurselor valoroase ale patrimoniului construit si patrimoniului natural, a unei platforme de
comunicare online cu caracter permanent pentru actorii principali din domeniul patrimoniului, crearea de minim 12 parteneriate
intre ONG-uri/parteneri sociali si autoritati locale si constituirea unui consiliu consultativ PACT.
2. OS2:
Imbunatatirea capacitatii a 60 de participanti din cadrul ONG-urilor, partenerilor sociali, actorilor sociali, alesi locali, personal din
autoritatile si institutiile publice locale, de a activa ca facilitatori comunitari si de a coordona dezvoltarea de proiecte de dezvoltare
strategica pentru regenerarea rurala, prin organizarea de programe de formare in domeniile:
- Managementul proiectelor comunitare cu abordarea participativa;
- Formare si organizare comunitara;
- Managementul destinatiilor din mediul rural.
3. OS3:
Cresterea gradului de informare si constientizare a societatii civile privind implicarea comunitatii in viata publica si participarea la
procesele decizionale, prin diseminarea la nivel extins a practicilor identificate si a instrumentelor realizate in program.</t>
  </si>
  <si>
    <t>Cacica, Fundu Moldovei, Manastirea Humorului, Panaci, Stampei, Putna, Sucevita, Vatra Moldovitei</t>
  </si>
  <si>
    <t>ASOCIAȚIA PERSOANELOR CU HANDICAP SPORTING CLUB GALAȚI</t>
  </si>
  <si>
    <t>DA – pentru dezvoltare locala! DA – pentru ONGuri active in comunitate!</t>
  </si>
  <si>
    <t>1. FEDERATIA PENTRU ACCESIBILIZAREA ROMANIEI                                          2. ASOCIAŢIA CONSULTANŢILOR ŞI EXPERŢILOR ÎN ECONOMIE SOCIALĂ ROMÂNIA</t>
  </si>
  <si>
    <t>Obiectivul general: Cresterea capacitatii operationale a ONGurilor, din Galati, pentru a se implica activ si relevant in implementarea de
initiative si parteneriate intre diversi actori, inclusiv autoritati publice, in vederea facilitarii dezvoltarii locale, in diverse arii de actiune
(social, educatie, drepturile omului, ocupare, economie sociala, sanatate etc.).
Obiectivele specifice ale proiectului
1. OS1 Stimularea dezvoltarii capacitatii de a promova&amp;facilita dezvoltarea la nivel local, prin cooperare&amp;actiuni comune, pe baza
de mecanisme si instrumente inovative, cu cel putin 12 actori institutionali (ONGuri+autoritati/institutii publice).
2. OS2 Dezvoltarea abilitatilor si competentelor practice a cel putin 30 reprezentanti ONGuri, in a promova si sustine initiative
concrete&amp;relevante de dezvoltare locala in diverse arii de actiune (social, educatie, drepturile omului, ocupare, economie sociala,
sanatate, sport&amp;timp liber, cultura etc.).</t>
  </si>
  <si>
    <t>ASOCIAȚIA COMUNELOR DIN ROMÂNIA</t>
  </si>
  <si>
    <t>Cooperare digitală pentru dezvoltarea locală</t>
  </si>
  <si>
    <t>ASOCIAȚIA INTELLISOFT</t>
  </si>
  <si>
    <t>Baia Mare, Vulcana-Bai</t>
  </si>
  <si>
    <t>Maramureș , Dâmbovita</t>
  </si>
  <si>
    <t>OBIECTIV GENERAL: Consolidarea capacitatii ONG-urilor partenere de a relationa cu administratiile publice locale din mediul rural prin
intermediul colaborarii digitale, pe parcursul a 14 luni, cu scopul de a sprijini valorificarea digitalizarii ca mecanism de facilitare a
dezvoltarii locale rurale.
Obiectivele specifice ale proiectului
1. Implementarea unui mecanism de interactiune si consultare publica intre ONG-uri, autoritati publice si cetateni pentru a incuraja
dialogul social si civic (sub forma unui instrument digital de tip platforma de comunicare online) si a unui modul de e-learning, care
vor fi introduse in circuitul de utilizare al membrilor Parteneriatului de dezvoltare locala.
2. Realizarea unui instrument de evaluare a gradului de dezvoltare digitala locala (studiu de digitalizare a comunelor din Romania,
de tip diagnoza), care va fi diseminat la nivel national, pentru a evalua si ilustra nevoia de digitalizare a UAT-urilor la nivelul
comunelor din Romania.
3. Formarea si certificarea unui grup tinta de 292 persoane (10 reprezentanti ai ONG-urilor si 282 reprezentanti ai administratiilor
publice locale din mediul rural) prin organizarea unor ateliere de instruire pe teme de digitalizare, pentru a dezvolta competentele
digitale ale acestora, in vederea consolidarii capacitatii grupului tinta de a se implica in mod colaborativ in initiative de dezvoltare
28
locala bazate pe digitalizare.
4. Elaborarea unui manual de digitalizare adecvat specificului comunelor din Romania, ca procedura de sustinere si promovare a
dezvoltarii locale digitale in mediul rural, care va fi diseminat public, la nivel national, inclusiv autoritatilor publice competente.</t>
  </si>
  <si>
    <t>ASOCIAȚIA ”DRAG DE HAȚEG”</t>
  </si>
  <si>
    <t>IDensus - Construcție de brand prin participarea comunității</t>
  </si>
  <si>
    <t>ASOCIAȚIA DE TURISM RETEZAT</t>
  </si>
  <si>
    <t>Densus</t>
  </si>
  <si>
    <t>Asociația de Ecoturism din România</t>
  </si>
  <si>
    <t>Creșterea capacității de management durabil a destinației turistice Brașov la nivelul județului și al municipiului</t>
  </si>
  <si>
    <t>Incubatorul participării tinerilor</t>
  </si>
  <si>
    <t>Timis</t>
  </si>
  <si>
    <t>Asociația "Cercul de la București"</t>
  </si>
  <si>
    <t>Creșterea capacității a 10 ONG-uri și parteneri
sociali în domeniul dezvoltării tinerilor antreprenori și implicarea inovativă a acestora în
formularea și dezvoltarea locală la nivelul Comunei Munteni Buzău din Județul Ialomița</t>
  </si>
  <si>
    <t>Munteni-Buzau</t>
  </si>
  <si>
    <t xml:space="preserve">Obiectivul general al proiectului: Cresterea capacitatii a 20 ONG-uri si parteneri sociali din Regiunea Sud-Muntenia pentru a formula si
promova dezvoltarea inovativa la nivel local cu accent pe dezvoltarea competentelor antreprenoriale ale tineretului prin prisma
oportunitatilor Romaniei in noul context european 2021-2027, in decurs de 6 luni
Obiectivele specifice ale proiectului
1. OS1. Dezvoltarea capacitatii a 20 ONG-uri si parteneri sociali din Regiunea Sud-Muntenia de a se implica in formularea si
promovarea dezvoltarii la nivel local prin organizarea a 3 sesiuni de instruire in domeniul dezvoltarii locale durabile prin
dezvoltarea tineretului din punct de vedere antreprenorial tinand cont de oportunitatile Romaniei in noul context european 2021-
2027, pe parcursul 1 luni
2. OS2. Dezvoltarea responsabilitatii civice, de implicare a comunitatilor locale in viata publica si de participare la procesele
decizionale, de promovare a egalitati de sanse si nediscriminarii, precum si a dezvoltarii durabile, prin informarea si
constientizarea a 100 de persoane din Regiunea Sud-Muntenia, in decurs de 4 luni
3. OS3. Sustinerea si promovarea dezvoltarii tinerilor la nivel local prin facilitarea interactiunii acestora cu autoritatile si institutiile
administratiei publice 
4. OS4. Dezvoltarea de mecanisme si instrumente de consolidare a dialogului social si civic prin elaborarea 1 platforme online in
vederea dezvoltarii locale durabile prin sustinerea antreprenoriatului in randul tinerilor, pe parcursul a 5 luni
5. OS5. Dezvoltarea de instrumente de monitorizare si evaluare independenta a politicilor si strategiilor la nivel local in domeniul
sustinerii tinerilor antreprenori, ca factor de dezvoltare locala sustenabila si inteligenta, in decurs de 6 luni
</t>
  </si>
  <si>
    <t>Implicarea Asociației SOCIAL ALERT în creșterea
capacității a 10 ONG-uri și parteneri sociali în domeniul dezvoltării antreprenoriale a familiilor
tinere, prin implicarea inovativă a acestora în formularea și dezvoltarea locală la nivelul comunelor
Tunari și Ștefăneștii de Jos din Județul Ilfov</t>
  </si>
  <si>
    <t>Stefanestii de Jos, Tunari</t>
  </si>
  <si>
    <t>Obiectivul general al proiectului: Cresterea capacitatii a 10 ONG-uri si parteneri sociali din Regiunea Bucuresti-Ilfov, pentru a formula si
promova dezvoltarea inovativa la nivel local prin dezvoltarea competentelor antreprenoriale la nivelul familiilor tinere din localitatile Tunari
si Stefanestii de Jos, prin prisma oportunitatilor Romaniei in noul context european 2021-2027, in decurs de 6 luni
1. OS1. Dezvoltarea capacitatii a 10 ONG-uri si parteneri sociali din Regiunea Bucuresti-Ilfov de a se implica in formularea si
promovarea dezvoltarii la nivel local prin organizarea a 2 sesiuni de instruire in domeniul dezvoltarii locale durabile prin
dezvoltarea tinerelor familii din punct de vedere antreprenorial prin prisma oportunitatilor Romaniei in noul context european
2021-2027, pe parcursul 1 luni
2. OS2. Dezvoltarea responsabilitatii civice, de implicare a comunitatilor locale in viata publica si de participare la procesele
decizionale, de promovare a egalitati de sanse si nediscriminarii, precum si a dezvoltarii durabile, prin informarea si
constientizarea a 80 de persoane din Regiunea Bucuresti-Ilfov, in decurs de 4 luni                                                                                                                        3. OS3. Sustinerea si promovarea dezvoltarii tinerelor familii la nivel local prin facilitarea interactiunii acestora cu autoritatile si
institutiile administratiei publice prin realizarea 1 Strategii de comunicare si a 1 Ghid in acest sens, in decurs de 2 luni
4. OS4. Dezvoltarea de mecanisme si instrumente de consolidare a dialogului social si civic prin elaborarea 1 platforme online in
vederea dezvoltarii locale durabile prin sustinerea antreprenoriatului in randul tinerelor familii, pe parcursul a 5 luni
5. OS5. Dezvoltarea de instrumente de monitorizare si evaluare independenta a politicilor si strategiilor la nivel local in domeniul
sustinerii antreprenoriatului in randul tinerelor familii, ca factor de dezvoltare locala sustenabila si inteligenta, in decurs de 6 luni</t>
  </si>
  <si>
    <t>ASOCIAȚIA "PROGRESSON"</t>
  </si>
  <si>
    <t>Implicarea Asociației PROGRESSON în creșterea
capacității a 25 ONG-uri și parteneri sociali în domeniul dezvoltării tinerilor antreprenori, prin
implicarea inovativă a acestora în formularea și dezvoltarea locală la nivelul Comunelor Jilava, 1
Decembrie și Vidra din Județul Ilfov</t>
  </si>
  <si>
    <t>1 Decembrie, Jilava, Vidra</t>
  </si>
  <si>
    <t>Obiectivul general al proiectului: Cresterea capacitatii a 25 de ONG-uri si parteneri sociali din Regiunea Bucuresti-Ilfov, pentru a formula si
promova dezvoltarea inovativa la nivel local cu accent pe dezvoltarea competentelor antreprenoriale ale tineretului prin prisma
oportunitatilor Romaniei in noul context european 2021-2027, in decurs de 6 luni.                                                                                                                     OS1. Dezvoltarea capacitatii a 25 de ONG-uri si parteneri sociali din Regiunea Bucuresti-Ilfov de a se implica in formularea si
promovarea dezvoltarii la nivel local prin organizarea a 2 sesiuni de instruire in domeniul dezvoltarii locale durabile prin
dezvoltarea tineretului din punct de vedere antreprenorial tinand cont de oportunitatile Romaniei in noul context european 2021-
2027, pe parcursul 1 luni                                                                                                                                                                                                                                OS2. Dezvoltarea responsabilitatii civice, de implicare a comunitatilor locale in viata publica si de participare la procesele
decizionale, de promovare a egalitati de sanse si nediscriminarii, precum si a dezvoltarii durabile, prin informarea si
constientizarea a 100 de persoane din Regiunea Bucuresti-Ilfov, in decurs de 4 luni                                                                                                                    OS3. Sustinerea si promovarea dezvoltarii tinerilor la nivel local prin facilitarea interactiunii acestora cu autoritatile si institutiile
administratiei publice prin realizarea 1 Strategii de comunicare si a 1 Ghid in acest sens, in decurs de 2 luni                                                                         OS4. Dezvoltarea de mecanisme si instrumente de consolidare a dialogului social si civic prin elaborarea 1 platforme online in
vederea dezvoltarii locale durabile prin sustinerea antreprenoriatului in randul tinerilor, pe parcursul a 5 luni                                                                      OS5. Dezvoltarea de instrumente de monitorizare si evaluare independenta a politicilor si strategiilor la nivel local in domeniul
sustinerii tinerilor antreprenori, ca factor de dezvoltare locala sustenabila si inteligenta, in decurs de 6 luni</t>
  </si>
  <si>
    <t>FEDERAȚIA ASOCIAȚIILOR COMPANIILOR DE UTILITĂȚI DIN ENERGIE</t>
  </si>
  <si>
    <t>Dialog social pentru un județ ”verde</t>
  </si>
  <si>
    <t>ASOCIAȚIA HELP AUTISM</t>
  </si>
  <si>
    <t>Bune practici în parteneriate public-private
pentru intervenția în TSA și alte problematici sociale</t>
  </si>
  <si>
    <t>SOCIETATEA NATIONALĂ DE CRUCE ROȘIE DIN ROMÂNIA - FILIALA SECTORULUI 3 BUCUREȘTI</t>
  </si>
  <si>
    <t>Voluntar 3.00 - rețele de voluntariat pentru asistență umanitară în Sectorul 3 Municipiul București</t>
  </si>
  <si>
    <t>Obiectivul general al proiectului „Voluntar 3.00 - retele de voluntariat pentru asistenta umanitara in Sectorul 3 Municipiul Bucuresti” consta
în cresterea capacitatii organizationale a SNCRR Filiala Sector 3 de a se implica în formularea unui instrument comun de interventie in
caz de dezastru/situatie de criza la nivelul Sectorului 3 si totodata dezvoltarea de abilitati si competente in randul voluntarilor, ce vin in
sprijinul comunitatii in caz de dezastru/situatie de criza. 
Obiectivele specifice ale proiectului
1. OS1. Cresterea capacitatii organizationale a SNCRR Filiala Sector 3 prin construirea unui dialog sustenabil cu societatea civila si
administratia publica;
2. OS2. Cresterea gradului de constientizare a rolului societatii civile in comunitate prin elaborarea unui instrument comun privind
interventia in caz de dezastru/situatie de urgenta respectiv o retea sustenbaila de voluntari
3. OS3. Cresterea gradului de pregatire profesionala in domeniul primului ajutor, in vederea asigurarii unui grad ridicat de interventie
in comunitate;
4. OS4. Cresterea premiselor de colaborare ale comunitatii si participarea/implicarea acesteia în procesul de luare a deciziilor;
5. OS5. Dezvoltarea retelei de voluntari in Sectorul 3 prin incheierea a minim 50 de contracte de voluntariat ce vor constitui
instrumentul de baza in asigurarea asistentei comunitare la nivelul Sectorului 3.
6. OS6. Cresterea gradului de constientizare privind egalitatea de sanse si nediscriminarea in in comunitate precum si a protectiei
mediului prin promovarea obiectivelor de dezvoltare durabila</t>
  </si>
  <si>
    <t>AA1/19.05.2021 durata  AA2/31.08.2022 durata si ue, cb</t>
  </si>
  <si>
    <t>AA1/30.08.2022 durata</t>
  </si>
  <si>
    <t>AA1/31.08.2022  ue, bn, cb</t>
  </si>
  <si>
    <t>AA1/30.08.2022 durata si buget (inclusiv neeligibil)</t>
  </si>
  <si>
    <t>Cresterea capacitatii Asociatiei Drag de Hateg si a Asociatiei de Turism Retezat de a se implica în formularea si promovarea dezvoltarii în
comuna Densus
Obiectivele specifice ale proiectului
1. OS1: Recrutarea si formarea a 20 persoane (GT) in domeniul brandingului de localitate, din care 8 din cadrul partenerilor (ONGuri)
in proiect
2. OS2: Crearea unei strategii de identitate de brand a comunei Densus printr-o forma participativa, ca reper pentru dezvoltarea
ulterioara economica si sociala a comunei, înglobând cele mai bune practici internationale în brandingul unui loc
3. OS3: Realizarea unei mecanism de implicare a cetatenilor în sustinerea si promovarea strategiei de brand
4. OS4: Promovarea proiectului si a rezultatelor acestuia catre publicurile tinta si partile interesate</t>
  </si>
  <si>
    <t>Cresterea capacitatii de management pentru dezvoltarea durabila a turismului la nivelul destinatiilor locale si a judetului Brasov, în cadrul
parteneriatului între administratiile publice locale, sectorul privat si ONG-uri.
Obiectivele specifice ale proiectului
1. Cresterea capacitatii de management pentru dezvoltarea durabila a turismului la nivelul municipiului Brasov, prin formularea si
promovarea viziunii de dezvoltare elaborata participativ si cu expertiza nationala si internationala, cât si a unui sistem de
monitorizare turistica, aplicabile pentru urmatorii 10 ani.
2. Cresterea capacitatii de management a destinatiilor turistice din judetul Brasov, cu ajutorul expertizei nationale si internationale,
aducând sprijin pentru parteneriatul între administratiile publice, sectorul privat si ONG-uri, cu oferirea unui cadru de lucru pentru
urmatorii 10 ani.</t>
  </si>
  <si>
    <t>Obiectivul general al proiectului este de a consolida capacitatea organizatiilor non-guvernamentale de si pentru tineret de a se implica în
formularea si promovarea dezvoltarii la nivel local în domeniul tineretului (adresata tinerilor) la nivelul judetului Timis.
Obiectivele specifice ale proiectului
1. Dezvoltarea a cel putin 20 parteneriate pentru dezvoltare locala în domeniul tineretului între UAT-uri si ONG-uri la nivelul judetului
Timis pâna la finalul proiectului.
2. Participarea a cel putin 100 de persoane (voluntari, membri, colaboratori, angajati) din cadrul ONG-urilor si partenerilor sociali
precum si din reprezentanti (alesi/functionari publici) ai autoritatilor publice în activitatile educationale (de formare) desfasurate în
cadrul proiectului.
3. Participarea a cel putin 40 de persoane (voluntari, membri, colaboratori, angajati) din cadrul ONG-urilor si partenerilor sociali
precum si din reprezentanti (alesi/functionari publici) ai autoritatilor publice în activitatile de mentorat desfasurate în cadrul
proiectului.
4. Realizarea a cel putin unei cercetari privind nevoile tinerilor din judetul Timis, precum si o cercetare calitativa care vizeaza
identificarea exemplelor de buna practica privind cooperarea între autoritati publice si ONG-uri la nivelul judetului Timis.</t>
  </si>
  <si>
    <t>Consolidarea capacitatii ACUE de a se implica în formularea si promovarea dezvoltarii locale, prin extinderea ariei de interventie,
imbunatatirea culturii dialogului social si a cunostintelor GT, alinierea la principiile europene, promovarea cetateniei active, utilizarea
eficienta a instrumentelor si mecanismelor de instruire/consultare/diseminare care sa contribuie la atingerea Obiectivului specific 2.1.
POCA.                                                                                                                                                                                                                                                                 1. Identificarea, filtrarea si stabilirea masurilor necesare care vor fi concretizate intr-un ghid de bune practici pentru ONG-uri si
partenerii sociali privind transpunerea dorintelor si nevoilor cetatenilor în formularea si promovarea de politici publice si
promovarea dezvoltarii locale durabile pentru tranzitia catre o economie cu emisii scazute de carbon, cu respectarea principiilor
egalitatii de sanse, nediscriminarii si dezvoltarii durabile.                                                                                                                                                                   2. Instruirea si formarea adecvata a personalului din ONG-uri, parteneri sociali si din cadrul autoritatilor locale pentru dezvoltarea
capacitatii organizationale pentru implicare în dezvoltarea locala si perfectionarea abilitatilor si competentelor persoanelor din
grupul tinta de a identifica, formula si expune problemele de interes public local, respectiv: formarea unui numar de minim 60 de
persoane, prin cursuri si workshopuri.                                                                                                                                                                                                        3. Crearea de mecanisme pentru sustinerea si promovarea dezvoltarii la nivel local prin dialog social si civic: un cadru general de
functionare a unui Consiliu Consultativ Cetatenesc pentru Dezvoltare Locala (CCC-DL), o Retea civica locala si incheierea a
minim 5 parteneriate de tip PDL.</t>
  </si>
  <si>
    <t xml:space="preserve">Crearea premiselor pentru multiplicarea de parteneriate public – private în comunitate în domeniul serviciilor sociale pentru interventia în
problematica tulburarilor din spectrul autist (TSA) si alte problematici sociale.
Obiectivele specifice ale proiectului
1. O1 – Consolidarea capacitatii a 20 de ONG-uri furnizoare de servicii sociale (sau in curs de acreditare pentru furnizarea de
servicii sociale) din municipiul Bucuresti si judetul Ilfov de a raspunde cu servicii sociale de calitate catre beneficiarii cu TSA si alte
categorii de nevoi din comunitate, prin instruirea a 60 de persoane din personalul sau voluntarii acestor ONG-uri pe o perioada
de 12 luni.
2. O2 – Dezvoltarea unui instrument de monitorizare si evaluare independenta a politicilor si strategiilor la nivel local în domeniul
serviciilor sociale, desfasurata pe o durata de 8 luni.
</t>
  </si>
  <si>
    <t>PATRONATUL „UNPR - CENTRU TRANSILVANIA”</t>
  </si>
  <si>
    <t>Dezvoltarea comunei Augustin, județul Brașov, prin implicarea partenerilor sociali</t>
  </si>
  <si>
    <t>Augustin</t>
  </si>
  <si>
    <t>PATRONATUL „UNPR – NORD VEST”</t>
  </si>
  <si>
    <t>Dezvoltarea Comunei Recea-Cristur prin implicarea partenerilor sociali</t>
  </si>
  <si>
    <t>Recea-Cristur</t>
  </si>
  <si>
    <t>ASOCIAȚIA ”PREOCUPAȚI DE VIITOR”</t>
  </si>
  <si>
    <t>Educație civică activă pentru conservarea resurselor naturale și colectarea separată a deșeurilor în Sectorul 6</t>
  </si>
  <si>
    <t>Cresterea capacitatii ONG-urilor si a partenerilor sociali de a se implica in formularea si promovarea dezvoltarii mediului de afaceri local al
comunei Augustin, judetul Brasov, intr-un orizont de timp de 14 luni
Obiectivele specifice ale proiectului
1. Dezvoltarea unui parteneriat durabil si activ la 6 luni de la finalizarea proiectului intre autoritati locale, ONG-uri si parteneri sociali
pentru formularea si promovarea de propuneri pentru dezvoltarea mediului de afaceri local al comunei Augustin, judetul Brasov
2. Cresterea capacitatii unui numar de 34 de persoane (reprezentanti ai ONG-urilor si partenerilor sociali) de a se implica in
formularea si promovarea de propuneri pentru dezvoltarea mediului de afaceri local al comunei Augustin, judetul Brasov, prin
dezvoltarea de competente de educatie financiara si planificare strategica
3. Dezvoltarea Strategiei de dezvoltare locala a comunei Augustin, judetul Brasov, a planului de actiune asociat incluzand un
mecanism de consultare a autoritatilor si institutiilor publice cu ONG-urile, partenerii sociali, precum si a cetatenilor în elaborarea
politicilor si strategiilor la nivel local pentru formularea de propuneri alternative la politicile locale
4. Derularea campaniei de advocacy ca mecanism pentru sustinerea si promovarea dezvoltarii mediului de afaceri local al comunei
Augustin, judetul Brasov, si pentru inaintarea propunerilor alternative la politicile publice locale curente</t>
  </si>
  <si>
    <t>Cresterea capacitatii ONG-urilor si a partenerilor sociali de a se implica in formularea si promovarea dezvoltarii mediului de afaceri local al
Comunei Recea-Cristur, judetul Cluj intr-un orizont de timp de 14 luni.
Obiectivele specifice ale proiectului
1. Dezvoltarea unui parteneriat durabil si activ la 6 luni de la finalizarea proiectului intre autoritati locale, ONG-uri si parteneri sociali
pentru formularea si promovarea de propuneri pentru dezvoltarea mediului de afaceri local al Comunei Recea-Cristur, judet Cluj.
2. Cresterea capacitatii unui numar de 34 de persoane (reprezentanti ai ONG-urilor si partenerilor sociali) de a se implica in
formularea si promovarea de propuneri pentru dezvoltarea mediului de afaceri local al Comunei Recea-Cristur, judet Cluj, prin
dezvoltarea de competente de educatie financiara si planificare strategica
3. Dezvoltarea Strategiei de dezvoltare locala a comunei Recea-Cristur, Judet Cluj, a planului de actiune asociat incluzand un
mecanism de consultare a autoritatilor si institutiilor publice cu ONG-urile, partenerii sociali, precum si a cetatenilor în elaborarea
politicilor si strategiilor la nivel local pentru formularea de propuneri alternative la politicile locale
4. Derularea campaniei de advocacy ca mecanism pentru sustinerea si promovarea dezvoltarii mediului de afaceri local al comunei
Recea-Cristur, Judet Cluj, si pentru inaintarea propunerilor alternative la politicile publice locale curente</t>
  </si>
  <si>
    <t>Obiectivul general al proiectului îl constituie implicarea Asociatiei Preocupati de Viitor în procesul de elaborare a strategiei locale din
Sectorul 6 privind managementul deseurilor.
Scopul proiectului îl constituie promovarea managementului deseurilor la nivel local prin educarea si instruirea cetatenilor din Sectorul 6.
Obiectivele specifice ale proiectului
1. Consolidarea capacitatii interne a Asociatiei Preocupati de Viitor si a înca minim 5 ONG-uri din Sectorul 6 în vederea atragerii si
mentinerii de membri si voluntari prin:- instruirea a minim 50 membri activi în teme legate de comunicare interna si dezvoltare
organziationala, particiapre pubica si video participativ si managementul deseurilor
-instruirea a minim 30 voluntari actuali - împreuna cu 10 alesi locali si 10 angajati ai Sectorului 6 - în teme legate de participare
publica si video participativ si managementul deseurilor
-instruirea a minim 80 membri ai comunitatii (care se vor înscrie ulterior ca membr sau voluntari în minim un ONG) - împreuna cu
10 alesi locali si 10 angajati ai Sectorului 6 - în teme legate de managementul deseurilor - implicarea a 80 membri si voluntari din
ONG-urile locale în formularea si promovarea dezvoltarii la nivel local - în particular în elaborarea ”Strategiei locale privnd
manaementul deseurilor în Sectorul 6”
Îmbunatatirea capacitatii ONG-urilor implicate de a-si extinde aria de interventie si de a multiplica activitatile cu impact pozitiv la
nivelul comunitatilor din care fac parte prin: - îmbunatatirea capacitatii solicitantului si a minim alte 5 ONG-uri din Sectorului 6 si
extinderea ariei de interventie a acestora în zona dezvoltarii unor proiecte de management al deseurilor - ca urmare a instruiri
membrilor/voluntarilor în acest domeniu si a implicarii membrilor/voluntarilor în activitatile de elaborare a ”Strategiei locale privind
managementul deseurilor în Sectorul 6” printr-un proces de planificare strategica participativa ca urmare a participarii la training
specializat.</t>
  </si>
  <si>
    <t>SECTORUL 6 AL MUNICIPIULUI BUCURESTI</t>
  </si>
  <si>
    <t>SMART 6 - Planificare Strategică pentru Transformare Digitală și Energie Verde</t>
  </si>
  <si>
    <t>Consolidarea capacitatii administrative a Sectorului 6 al Municipiului Bucuresti si simplificarea procedurilor prin dezvoltarea de strategii
locale în domeniul transformarii digitale si al energiei verzi, prin digitalizarea arhivei institutionale si prin îmbunatatirea competentelor
personalului implicat în aceste domenii.
Obiectivul contribuie la atingerea obiectivului specific al POCA OS2.1: Introducerea de sisteme si standarde comune în administratia
publica locala ce optimizeaza procesele orientate catre beneficiari în concordanta cu SCAP prin sustinerea dezvoltarii unui management
performant la nivelul Sectorului 6 al Municipiului Bucuresti si a cresterii transparentei institutionale prin elaborarea documentelor strategice
locale în domeniul digitalizarii si al energiei verzi, prin retro-digitalizarea arhivei fizice existente, cât si prin cresterea nivelului
competentelor si cunostintelor personalului implicat în domeniile vizate.
Obiectivele specifice ale proiectului
1. Dezvoltarea capacitatii de planificare strategica la nivelul primariei S6 prin elaborarea strategiilor pentru transformare digitala si
pentru energie verde, ale Sectorului 6 al Municipiului Bucuresti
2. Retro-digitalizarea a 462 ml de documente din arhiva institutionala si instruirea personalului de specialitate
3. Dezvoltarea cunostintelor si abilitatilor personalului institutiei în domeniul planificarii strategice prin actiuni de instruire, schimb de
experienta si bune practici cu alte autoritati publice locale de la nivel national si din alte state membre UE</t>
  </si>
  <si>
    <t>AA1/23.10.2020 durata AA2/2.04.2021 durata si buget AA4/12.01.2022 durata si ue, bn, cb   AA5/2.09.2022 durata si ue, bn, cb</t>
  </si>
  <si>
    <t>AA1/29.04.2022 durata  AA2/22.07.2022 ue, cb AA3/2.09.2022 ue, cb</t>
  </si>
  <si>
    <t>AA1/3.12.2020 ue, bn, cb                      AA2/2.09.2022 durata si ue, bn, cb</t>
  </si>
  <si>
    <t>AA1/2.09.2022 durata si buget</t>
  </si>
  <si>
    <t>ASOCIAȚIA TURISM ISTORIC</t>
  </si>
  <si>
    <t>Patrimoniul construit, de la ruină la resursă</t>
  </si>
  <si>
    <t>Cresterea nivelului de implicare al comunitatii în activitati destinate protejarii patrimoniului cultural imobil din Regiunea Bucuresti -Ilfov prin
dezvoltarea unor mecanisme institutionale bazate pe parteneriatul între administratia publica si societatea civila
Obiectivele specifice ale proiectului
1. Cresterea capacitatii tehnice si administrative a Asociatiei Turism Istoric în vederea promovarii si coordonarii unei structuri
parteneriale colaborative formata din reprezentanti ai autoritatilor publice si ai societatii civile în vedere promovarii unui set de
politici publice destinat protejarii si promovarii patrimoniului cultural imobil
2. Dezvoltarea unei structuri parteneriale colaborative în Regiunea Bucuresti-Ilfov formata din reprezentanti ai autoritatilor publice si
ai societatii civile în vedere promovarii unui set de politici publice destinat protejarii si promovarii patrimoniului cultural imobil.</t>
  </si>
  <si>
    <t>AA1/27.04.2022 (ue, cb) AA2/5.09.2022 durata</t>
  </si>
  <si>
    <t>AA 1/06 .06.2019                    AA2/10.02.2020                      AA3/8.12.2020 durata si buget                                              AA4/6.12.2021 durata si buget                                 AA5/6.09.2022 durata</t>
  </si>
  <si>
    <t>AA1/28.07.2021 durata              AA2/6.09.2022 durata</t>
  </si>
  <si>
    <t>AA1/22.04.2021 durata   AA2/28.02.2022 durata           AA3/7.09.2022 durata</t>
  </si>
  <si>
    <t>AA1/8.09.2022 durata</t>
  </si>
  <si>
    <t>ASOCIAȚIA CENTRUL DE ACȚIUNE ȘI RESPONSABILITATE SOCIALĂ ȘI SOCIO-MEDICALĂ</t>
  </si>
  <si>
    <t>Implicarea Asociației „CENTRUL DE ACȚIUNE ȘI
RESPONSABILITATE SOCIALĂ ȘI SOCIO MEDICALĂ</t>
  </si>
  <si>
    <t xml:space="preserve">Obiectivul general al proiectului: Cresterea capacitatii a 20 de ONG-uri si parteneri sociali din Regiunea Bucuresti-Ilfov, pentru a formula si
promova dezvoltarea inovativa la nivel local cu accent pe dezvoltarea competentelor antreprenoriale ale tineretului prin prisma
oportunitatilor Romaniei in noul context european 2021-2027, in decurs de 6 luni
Obiectivele specifice ale proiectului
1. OS1. Dezvoltarea capacitatii a 20 de ONG-uri si parteneri sociali din Regiunea Bucuresti-Ilfov de a se implica in formularea si
promovarea dezvoltarii la nivel local prin organizarea a 3 sesiuni de instruire in domeniul dezvoltarii locale durabile prin
dezvoltarea tineretului din punct de vedere antreprenorial tinand cont de oportunitatile Romaniei in noul context european 2021-
2027, pe parcursul 1 luni
2. OS2. Dezvoltarea responsabilitatii civice, de implicare a comunitatilor locale in viata publica si de participare la procesele
decizionale, de promovare a egalitati de sanse si nediscriminarii, precum si a dezvoltarii durabile, prin informarea si
constientizarea a 120 de persoane din Regiunea Bucuresti-Ilfov, in decurs de 4 luni
3. OS3. Sustinerea si promovarea dezvoltarii tinerilor la nivel local prin facilitarea interactiunii acestora cu autoritatile si institutiile
administratiei publice prin realizarea 1 Strategii de comunicare si a 1 Ghid in acest sens, in decurs de 2 luni
4. OS4. Dezvoltarea de mecanisme si instrumente de consolidare a dialogului social si civic prin elaborarea 1 platforme online in
vederea dezvoltarii locale durabile prin sustinerea antreprenoriatului in randul tinerilor, pe parcursul a 5 luni
5. OS5. Dezvoltarea de instrumente de monitorizare si evaluare independenta a politicilor si strategiilor la nivel local in domeniul
sustinerii tinerilor antreprenori, ca factor de dezvoltare locala sustenabila si inteligenta, in decurs de 6 luni
</t>
  </si>
  <si>
    <t>Popesti Leordeni, Pantelimon</t>
  </si>
  <si>
    <t>ASOCIAȚIA GREUCEANU</t>
  </si>
  <si>
    <t>CONSOLIDAREA CAPACITĂȚII ASOCIAȚIEI
GREUCEANU ȘI A PRIMĂRIEI COMUNEI DOMNEȘTI DE A SE IMPLICA ÎN FORMULAREA ȘI PROMOVAREA
DEZVOLTĂRII LA NIVEL LOCAL</t>
  </si>
  <si>
    <t>Obiectivul general al proiectului il reprezinta imbunatatirea capacitatii Asociatiei de a se implica în dezvoltarea locala si sprijinirea
introducerii sistemelor si standardelor comune la nivelul comunei Domnesti pentru optimizarea proceselor orientate catre cetateni în
concordanta cu SCAP.
Obiectivele specifice ale proiectului
1. Dezvoltarea managementului organizational prin prioritizarea functiei de planificare a activitatilor.
2. Actualizarea viziunii identitare la conceptul specific administratiei publice locale, percepând propria organizatie ca pe un sistem
deschis, care îsi ajusteaza outputurile în functie de ceea ce primeste din mediu (input-uri).
3. Dezvoltarea unui sistem de comunicare eficient si eficace
4. Crearea unei strategii de dezvoltare pe termen mediu si scurt
5. Întarirea capacitatii institutionale a comunei Domnesti</t>
  </si>
  <si>
    <t>Domnesti</t>
  </si>
  <si>
    <t>AA1/12.09.2022 durata</t>
  </si>
  <si>
    <t>AA1/19.02.2020 AA2/4.12.2020 durata AA3/17.03.2021 chelt neelig                  AA4/11.11.2021 durata     AA5/12.09.2022 ue, bn, cb</t>
  </si>
  <si>
    <t>AA1/10.05.2022 buget AA2/13.09.2022 durata</t>
  </si>
  <si>
    <t>ASOCIAȚIA HAPPY PEOPLE</t>
  </si>
  <si>
    <t>Implicați, activi, competitivi</t>
  </si>
  <si>
    <t xml:space="preserve">Dezvoltarea durabila a comunei Afumati prin introducerea de sisteme si standarde comune în administratia publica locala ce optimizeaza
procesele orientate catre beneficiari în concordanta cu SCAP si prin cresterea capacitatii ONG-urilor si partenerilor sociali de a se
implica în formularea si promovarea dezvoltarii la nivel local
Obiectivele specifice ale proiectului
1. Realizarea de instrumente de monitorizare si evaluare independenta a politicilor si strategiilor de dezvoltare a comunei Afumati
pe parcursul implemenarii proiectulu.
2. Realizarea de proceduri, mecanisme pentru sustinerea si promovarea dezvoltarii la nivel local si de interactiune cu autoritatile si
institutiile administratiei publice din comuna AFUMATI pe parcursul implementarii proiectului.                                                                                                              3. Dezvoltarea de mecanisme, proceduri, instrumente de consolidare a dialogului social si civic la nivelul comunei Afumati pe
parcursul implemenatarii proiectului.                                                                                                                                                                                                                                                     4.  Dezvoltarea capacitatii partenerilor sociali din comuna Afumati si a ONG-urilor din judetul Dolj prin formare profesionala, activitati
întreprinse în comun, infiintarea unor retele tematice regionale si nationale pe parcursul implementarii proiectului.                                                            5. Sprijinirea de initiative de dezvoltare a responsabilitatii civice, de implicare a comunitatilor locale din comuna AFUMATI în viata
publica si de participare la procesele decizionale, de promovare a egalitati de sanse si nediscriminarii, precum si a dezvoltarii
durabile pe parcursul implementarii proiectului.
 </t>
  </si>
  <si>
    <t>Afumati, Craiova</t>
  </si>
  <si>
    <t>AA1/23.06.2021 durata    AA2/21.09.2022 durata</t>
  </si>
  <si>
    <t>AA1/3.08.2020 durata AA2/11.02.2021 buget AA3/21.09.2021 durata si buget                    AA4/19.09.2022 durata</t>
  </si>
  <si>
    <t>AA1/13.09.2018 , AA2/16.06.2020 - durata</t>
  </si>
  <si>
    <t>AA1/8.12.2020 durata si buget                  AA2/27.10.2021 durata              AA3/19.09.2022 durata</t>
  </si>
  <si>
    <t>AA 1/24.04.2019 AA2/5.08.2021 durata               AA3/19.09.2022 durata</t>
  </si>
  <si>
    <t>AA1/7.10.2020 buget AA2/29.06.2021 buget             AA3/27.09.2022 durata si ue, bn</t>
  </si>
  <si>
    <t>AA1/27.09.2022 durata</t>
  </si>
  <si>
    <t>Soluții digitale pentru serviciile furnizate partajat de către Municipiul Galați, inclusiv retro-digitalizare arhivă</t>
  </si>
  <si>
    <t>Obiectivul general al proiectului consta în consolidarea capacitatii institutionale si eficientizarea activitatii la nivelul Municipiului Galati prin continuarea simplificarii procedurilor administrative si reducerea birocratiei pentru cetateni, implementând masuri din perspectiva backoffice (adaptarea procedurilor interne de lucru, digitalizarea arhivei) si front-office si masuri pentru îmbunatatirea planificarii strategice
pentru serviciile publice furnizate aferente competentelor partajate ale administratiei publice locale.
Obiectivele specifice ale proiectului
1. OS1. Implementarea unor masuri de simplificare pentru cetateni, în corespondenta cu Planul integrat pentru simplificarea
procedurilor administrative aplicabile cetatenilor din perspectiva front-office si back-office prin implementarea unei platforme
integrate, în scopul digitalizarii fluxurilor de lucru, reducerii timpului de procesare a cererilor cetatenilor si asigurarii accesului
online la serviciile publice gestionate partajat de Municipiul Galati din domeniul urbanismului. În subsidiar, se urmareste
dezvoltarea cunostintelor si abilitatilor personalului din cadrul Municipiului Galati în vederea sprijinirii masurilor/actiunilor vizate în
proiect (15 persoane din cadrul grupului tinta).
2. OS2. Retro-digitalizarea arhivei fizice cu valoare operationala în prezent pentru serviciile gestionate partajat (150 ml)</t>
  </si>
  <si>
    <t>AA1/30.09.2021 durata AA2/1.07.2022 durata          AA3/30.09.2022 durata</t>
  </si>
  <si>
    <t>AA1/29.09.2022 durata</t>
  </si>
  <si>
    <t>AA1/13.10.2020 ue, bn  AA2/7.10.2021 durata si buget (neeligibil)   AA4/6.10.2022 durata</t>
  </si>
  <si>
    <t>AA1/6.10.2022 durata</t>
  </si>
  <si>
    <t>AA1/14.08.2020 adugare chelt neeligibile AA2/23.12.2020 durata si buget          AA3/7.10.2022 ue, bn, cb</t>
  </si>
  <si>
    <t>AA1/5.10.2022 durata, buget (ue, bn, cb)</t>
  </si>
  <si>
    <t>AA1/7.10.2022 durata</t>
  </si>
  <si>
    <t>AA1/3.10.2022 durata</t>
  </si>
  <si>
    <t>AA1/14.10.2022 durata</t>
  </si>
  <si>
    <t>AA1/23.06.2021 durata, buget           AA2/15.10.2022 durata</t>
  </si>
  <si>
    <t>AA1/13.10.2022 durata</t>
  </si>
  <si>
    <t>MUNICIPIUL BUCURESTI</t>
  </si>
  <si>
    <t>Management performant și administrație modernă pentru cetățenii Municipiului București</t>
  </si>
  <si>
    <t>Administratia Fondului Imobiliar</t>
  </si>
  <si>
    <t xml:space="preserve">Obiectivul general al proiectului il reprezinta consolidarea capacitatii institutionale a Primariei Municipiului Bucuresti si a Administraþiei
Fondului Imobiliar in vederea cresterii performantei administratiei locale prin planificare strategica si optimizarea proceselor administrative ale institutiei si adoptarea unor masuri de simplificare a furnizarii serviciilor catre cetateni si mediul de afaceri, prin implementarea unor sisteme informatice inovative.
Obiectivele specifice ale proiectului
1. OS1. Consolidarea capacitatii de management a Primariei Municipiului Bucuresti, pentru indeplinirea functiilor sale, prin
Elaborarea Strategiei de dezvoltare a resurselor umane.
2. OS2. Simplificarea procedurilor administrative in cadrul Primariei Municipiului Bucuresti, prin implementarea unei aplicatii
informatice pentru gestionarea Resurselor umane, inclusiv servicii de retrodigitalizare si implementarea unei platforme hardware
de scanare.
3. OS3. Simplificarea procedurilor administrative si masuri de simplificare în relaþia cu cetaþenii in cadrul Administraþiei Fondului
Imobiliar prin implementarea unei platforme integrate pentru Administrarea Fondului Imobiliar care sa ofere servicii publice
electronice de informare si servicii digitale pentru cetateni, inclusiv servicii de retrodigitalizare, în perioada de implementare a
proiectului.
4. OS4. Cresterea nivelului de pregatire a personalului Primariei Municipiului Bucuresti - Administraþiei Fondului Imobiliar pentru:
dezvoltarea cunostinþelor si abilitaþilor privind Managementul strategic prin instruirea unui numar de 30 de angajati ai PMB;
utilizarea eficienta a soluþiilor informatice de resurse umane prin instruirea unui numar de 10 angajati ai PMB; utilizarea eficienta a
platformei integrate pentru Administrarea Fondului Imobiliar si servicii electronice pentru cetateni prin instruirea unui numar de 60
de angajati ai AFI, în perioada de implementare a proiectului.
</t>
  </si>
  <si>
    <t>Ordin 424/30.03.2021 durata si buget (ue, bn, cb)/                                         Ordin 1627/15.11.2021 (ue, bn, cb) /                             Ordin 726 din 5.05.2022 durata (ue, cb, bn) / Ordin 2731/21.10.2022 durata</t>
  </si>
  <si>
    <t>AA1/22.03.2022 durata      AA2/21.10.2022 durata</t>
  </si>
  <si>
    <t>AA1/20.10.2022 durata</t>
  </si>
  <si>
    <t>AA1/30.12.2021 buget            AA2/20.04.2022 buget                   AA3/18.10.2022 durata</t>
  </si>
  <si>
    <t>AA1/16.12.2021 durata   AA2/18.10.2022 durata</t>
  </si>
  <si>
    <t>AA1/28.07.2020 durata, UE+bn                         AA2/8.12.2021 durata    AA3/11.07.2022 durata     AA4/20.10.2022 durata</t>
  </si>
  <si>
    <t>curs inforeuro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</si>
</sst>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 _l_e_i_-;\-* #,##0.00\ _l_e_i_-;_-* &quot;-&quot;??\ _l_e_i_-;_-@_-"/>
    <numFmt numFmtId="165" formatCode="0.000000000"/>
    <numFmt numFmtId="166" formatCode="#,##0.00_ ;\-#,##0.00\ "/>
    <numFmt numFmtId="168" formatCode="#,##0.00;[Red]#,##0.00"/>
    <numFmt numFmtId="169" formatCode="#,##0.0000"/>
    <numFmt numFmtId="171" formatCode="m/d/yy;@"/>
  </numFmts>
  <fonts count="14" x14ac:knownFonts="1">
    <font>
      <sz val="11"/>
      <color theme="1"/>
      <name val="Calibri"/>
      <family val="2"/>
      <charset val="238"/>
      <scheme val="minor"/>
    </font>
    <font>
      <sz val="11"/>
      <color theme="1"/>
      <name val="Calibri"/>
      <family val="2"/>
      <scheme val="minor"/>
    </font>
    <font>
      <sz val="11"/>
      <color theme="1"/>
      <name val="Calibri"/>
      <family val="2"/>
      <scheme val="minor"/>
    </font>
    <font>
      <sz val="11"/>
      <color theme="1"/>
      <name val="Calibri"/>
      <family val="2"/>
      <charset val="238"/>
      <scheme val="minor"/>
    </font>
    <font>
      <sz val="12"/>
      <name val="Calibri"/>
      <family val="2"/>
      <scheme val="minor"/>
    </font>
    <font>
      <sz val="12"/>
      <color theme="1"/>
      <name val="Calibri"/>
      <family val="2"/>
      <scheme val="minor"/>
    </font>
    <font>
      <b/>
      <sz val="12"/>
      <name val="Calibri"/>
      <family val="2"/>
      <scheme val="minor"/>
    </font>
    <font>
      <sz val="10"/>
      <color theme="1"/>
      <name val="Calibri"/>
      <family val="2"/>
      <scheme val="minor"/>
    </font>
    <font>
      <sz val="11"/>
      <color indexed="8"/>
      <name val="Calibri"/>
      <family val="2"/>
      <scheme val="minor"/>
    </font>
    <font>
      <sz val="10"/>
      <name val="MS Sans Serif"/>
      <family val="2"/>
    </font>
    <font>
      <sz val="12"/>
      <color rgb="FF000000"/>
      <name val="Calibri"/>
      <family val="2"/>
      <scheme val="minor"/>
    </font>
    <font>
      <sz val="8"/>
      <name val="Calibri"/>
      <family val="2"/>
      <charset val="238"/>
      <scheme val="minor"/>
    </font>
    <font>
      <sz val="12"/>
      <color theme="0"/>
      <name val="Calibri"/>
      <family val="2"/>
      <scheme val="minor"/>
    </font>
    <font>
      <i/>
      <sz val="12"/>
      <color theme="1"/>
      <name val="Calibri"/>
      <family val="2"/>
      <scheme val="minor"/>
    </font>
  </fonts>
  <fills count="3">
    <fill>
      <patternFill patternType="none"/>
    </fill>
    <fill>
      <patternFill patternType="gray125"/>
    </fill>
    <fill>
      <patternFill patternType="solid">
        <fgColor rgb="FFFF66CC"/>
        <bgColor indexed="64"/>
      </patternFill>
    </fill>
  </fills>
  <borders count="27">
    <border>
      <left/>
      <right/>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thin">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right style="thin">
        <color indexed="64"/>
      </right>
      <top/>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right style="thin">
        <color indexed="64"/>
      </right>
      <top style="thin">
        <color indexed="64"/>
      </top>
      <bottom/>
      <diagonal/>
    </border>
    <border>
      <left style="thin">
        <color indexed="64"/>
      </left>
      <right/>
      <top/>
      <bottom/>
      <diagonal/>
    </border>
    <border>
      <left style="medium">
        <color auto="1"/>
      </left>
      <right style="thin">
        <color indexed="64"/>
      </right>
      <top style="medium">
        <color auto="1"/>
      </top>
      <bottom/>
      <diagonal/>
    </border>
    <border>
      <left style="medium">
        <color auto="1"/>
      </left>
      <right style="thin">
        <color indexed="64"/>
      </right>
      <top/>
      <bottom/>
      <diagonal/>
    </border>
    <border>
      <left/>
      <right style="thin">
        <color indexed="64"/>
      </right>
      <top/>
      <bottom style="thin">
        <color indexed="64"/>
      </bottom>
      <diagonal/>
    </border>
    <border>
      <left/>
      <right/>
      <top/>
      <bottom style="thin">
        <color indexed="64"/>
      </bottom>
      <diagonal/>
    </border>
  </borders>
  <cellStyleXfs count="17">
    <xf numFmtId="0" fontId="0" fillId="0" borderId="0"/>
    <xf numFmtId="164" fontId="3" fillId="0" borderId="0" applyFont="0" applyFill="0" applyBorder="0" applyAlignment="0" applyProtection="0"/>
    <xf numFmtId="164" fontId="3" fillId="0" borderId="0" applyFont="0" applyFill="0" applyBorder="0" applyAlignment="0" applyProtection="0"/>
    <xf numFmtId="0" fontId="8" fillId="0" borderId="0"/>
    <xf numFmtId="0" fontId="3"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9" fillId="0" borderId="0"/>
    <xf numFmtId="0" fontId="3" fillId="0" borderId="0"/>
    <xf numFmtId="0" fontId="3" fillId="0" borderId="0"/>
    <xf numFmtId="0" fontId="7" fillId="0" borderId="0"/>
    <xf numFmtId="0" fontId="2" fillId="0" borderId="0"/>
    <xf numFmtId="0" fontId="2" fillId="0" borderId="0"/>
    <xf numFmtId="0" fontId="1" fillId="0" borderId="0"/>
  </cellStyleXfs>
  <cellXfs count="218">
    <xf numFmtId="0" fontId="0" fillId="0" borderId="0" xfId="0"/>
    <xf numFmtId="4" fontId="4" fillId="0" borderId="3" xfId="1" applyNumberFormat="1" applyFont="1" applyFill="1" applyBorder="1" applyAlignment="1">
      <alignment horizontal="right" vertical="center" wrapText="1"/>
    </xf>
    <xf numFmtId="166" fontId="4" fillId="0" borderId="3" xfId="1" applyNumberFormat="1" applyFont="1" applyFill="1" applyBorder="1" applyAlignment="1">
      <alignment horizontal="right" vertical="center" wrapText="1"/>
    </xf>
    <xf numFmtId="4" fontId="5" fillId="0" borderId="0" xfId="0" applyNumberFormat="1" applyFont="1"/>
    <xf numFmtId="169" fontId="5" fillId="0" borderId="0" xfId="0" applyNumberFormat="1" applyFont="1"/>
    <xf numFmtId="4" fontId="6" fillId="0" borderId="1" xfId="0" applyNumberFormat="1" applyFont="1" applyFill="1" applyBorder="1" applyAlignment="1">
      <alignment vertical="center" wrapText="1"/>
    </xf>
    <xf numFmtId="0" fontId="4" fillId="0" borderId="2" xfId="0" applyFont="1" applyFill="1" applyBorder="1" applyAlignment="1">
      <alignment horizontal="center" vertical="center"/>
    </xf>
    <xf numFmtId="0" fontId="4" fillId="0" borderId="15"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3" xfId="0" applyFont="1" applyFill="1" applyBorder="1" applyAlignment="1">
      <alignment horizontal="left" vertical="center"/>
    </xf>
    <xf numFmtId="0" fontId="5" fillId="0" borderId="3" xfId="0" applyFont="1" applyFill="1" applyBorder="1" applyAlignment="1">
      <alignment vertical="center"/>
    </xf>
    <xf numFmtId="0" fontId="4" fillId="0" borderId="3" xfId="0" applyFont="1" applyFill="1" applyBorder="1" applyAlignment="1">
      <alignment horizontal="center" vertical="center" wrapText="1"/>
    </xf>
    <xf numFmtId="0" fontId="4" fillId="0" borderId="3" xfId="0" applyFont="1" applyFill="1" applyBorder="1" applyAlignment="1">
      <alignment horizontal="justify" vertical="top" wrapText="1"/>
    </xf>
    <xf numFmtId="14" fontId="4" fillId="0" borderId="3" xfId="0" applyNumberFormat="1" applyFont="1" applyFill="1" applyBorder="1" applyAlignment="1">
      <alignment horizontal="center" vertical="center"/>
    </xf>
    <xf numFmtId="165" fontId="4" fillId="0" borderId="3" xfId="0" applyNumberFormat="1" applyFont="1" applyFill="1" applyBorder="1" applyAlignment="1">
      <alignment horizontal="center" vertical="center"/>
    </xf>
    <xf numFmtId="0" fontId="5" fillId="0" borderId="3" xfId="0" applyFont="1" applyFill="1" applyBorder="1" applyAlignment="1">
      <alignment horizontal="center" vertical="center"/>
    </xf>
    <xf numFmtId="166" fontId="4" fillId="0" borderId="3" xfId="1" applyNumberFormat="1" applyFont="1" applyFill="1" applyBorder="1" applyAlignment="1">
      <alignment horizontal="right" vertical="center"/>
    </xf>
    <xf numFmtId="4" fontId="5" fillId="0" borderId="0" xfId="0" applyNumberFormat="1" applyFont="1" applyFill="1" applyAlignment="1">
      <alignment horizontal="right" vertical="center"/>
    </xf>
    <xf numFmtId="4" fontId="4" fillId="0" borderId="3" xfId="1" applyNumberFormat="1" applyFont="1" applyFill="1" applyBorder="1" applyAlignment="1">
      <alignment horizontal="right" vertical="center"/>
    </xf>
    <xf numFmtId="168" fontId="5" fillId="0" borderId="0" xfId="0" applyNumberFormat="1" applyFont="1" applyFill="1" applyAlignment="1">
      <alignment horizontal="right" vertical="center"/>
    </xf>
    <xf numFmtId="168" fontId="4" fillId="0" borderId="3" xfId="1" applyNumberFormat="1" applyFont="1" applyFill="1" applyBorder="1" applyAlignment="1">
      <alignment horizontal="right" vertical="center"/>
    </xf>
    <xf numFmtId="3" fontId="4" fillId="0" borderId="3" xfId="0" applyNumberFormat="1" applyFont="1" applyFill="1" applyBorder="1" applyAlignment="1">
      <alignment horizontal="right" vertical="center"/>
    </xf>
    <xf numFmtId="14" fontId="5" fillId="0" borderId="3" xfId="0" applyNumberFormat="1" applyFont="1" applyFill="1" applyBorder="1" applyAlignment="1">
      <alignment horizontal="right" vertical="center"/>
    </xf>
    <xf numFmtId="4" fontId="4" fillId="0" borderId="3" xfId="0" applyNumberFormat="1" applyFont="1" applyFill="1" applyBorder="1" applyAlignment="1">
      <alignment horizontal="right" vertical="center"/>
    </xf>
    <xf numFmtId="0" fontId="5" fillId="0" borderId="3" xfId="0" applyFont="1" applyFill="1" applyBorder="1" applyAlignment="1">
      <alignment vertical="center" wrapText="1"/>
    </xf>
    <xf numFmtId="14" fontId="4" fillId="0" borderId="3" xfId="0" applyNumberFormat="1" applyFont="1" applyFill="1" applyBorder="1" applyAlignment="1">
      <alignment horizontal="center" vertical="center" wrapText="1"/>
    </xf>
    <xf numFmtId="165" fontId="4" fillId="0" borderId="3" xfId="0" applyNumberFormat="1" applyFont="1" applyFill="1" applyBorder="1" applyAlignment="1">
      <alignment horizontal="center" vertical="center" wrapText="1"/>
    </xf>
    <xf numFmtId="0" fontId="5" fillId="0" borderId="3" xfId="0" applyFont="1" applyFill="1" applyBorder="1" applyAlignment="1">
      <alignment horizontal="center" vertical="center" wrapText="1"/>
    </xf>
    <xf numFmtId="168" fontId="4" fillId="0" borderId="3" xfId="1" applyNumberFormat="1" applyFont="1" applyFill="1" applyBorder="1" applyAlignment="1">
      <alignment horizontal="right" vertical="center" wrapText="1"/>
    </xf>
    <xf numFmtId="14" fontId="5" fillId="0" borderId="3" xfId="0" applyNumberFormat="1" applyFont="1" applyFill="1" applyBorder="1" applyAlignment="1">
      <alignment horizontal="right" vertical="center" wrapText="1"/>
    </xf>
    <xf numFmtId="4" fontId="4" fillId="0" borderId="3" xfId="0" applyNumberFormat="1" applyFont="1" applyFill="1" applyBorder="1" applyAlignment="1">
      <alignment horizontal="right" vertical="center" wrapText="1"/>
    </xf>
    <xf numFmtId="0" fontId="4" fillId="0" borderId="15" xfId="0" applyFont="1" applyFill="1" applyBorder="1" applyAlignment="1">
      <alignment horizontal="center" vertical="center" wrapText="1"/>
    </xf>
    <xf numFmtId="0" fontId="4" fillId="0" borderId="3" xfId="0" applyFont="1" applyFill="1" applyBorder="1" applyAlignment="1">
      <alignment horizontal="left" vertical="center" wrapText="1"/>
    </xf>
    <xf numFmtId="0" fontId="4" fillId="0" borderId="3" xfId="0" applyFont="1" applyFill="1" applyBorder="1" applyAlignment="1">
      <alignment horizontal="left" vertical="top" wrapText="1"/>
    </xf>
    <xf numFmtId="2" fontId="4" fillId="0" borderId="3" xfId="0" applyNumberFormat="1" applyFont="1" applyFill="1" applyBorder="1" applyAlignment="1">
      <alignment horizontal="right" vertical="center" wrapText="1"/>
    </xf>
    <xf numFmtId="3" fontId="6" fillId="0" borderId="3" xfId="0" applyNumberFormat="1" applyFont="1" applyFill="1" applyBorder="1" applyAlignment="1">
      <alignment horizontal="right" vertical="center" wrapText="1"/>
    </xf>
    <xf numFmtId="0" fontId="6" fillId="0" borderId="3" xfId="0" applyFont="1" applyFill="1" applyBorder="1" applyAlignment="1">
      <alignment horizontal="right" vertical="center" wrapText="1"/>
    </xf>
    <xf numFmtId="166" fontId="4" fillId="0" borderId="3" xfId="0" applyNumberFormat="1" applyFont="1" applyFill="1" applyBorder="1" applyAlignment="1">
      <alignment horizontal="right" vertical="center" wrapText="1"/>
    </xf>
    <xf numFmtId="3" fontId="4" fillId="0" borderId="3" xfId="0" applyNumberFormat="1" applyFont="1" applyFill="1" applyBorder="1" applyAlignment="1">
      <alignment horizontal="right" vertical="center" wrapText="1"/>
    </xf>
    <xf numFmtId="4" fontId="5" fillId="0" borderId="0" xfId="0" applyNumberFormat="1" applyFont="1" applyFill="1" applyAlignment="1">
      <alignment horizontal="right" vertical="center" wrapText="1"/>
    </xf>
    <xf numFmtId="0" fontId="6" fillId="0" borderId="3" xfId="0" applyFont="1" applyFill="1" applyBorder="1" applyAlignment="1">
      <alignment horizontal="center" vertical="center" wrapText="1"/>
    </xf>
    <xf numFmtId="0" fontId="4" fillId="0" borderId="3" xfId="0" applyFont="1" applyFill="1" applyBorder="1" applyAlignment="1">
      <alignment horizontal="right" vertical="center" wrapText="1"/>
    </xf>
    <xf numFmtId="168" fontId="4" fillId="0" borderId="3" xfId="0" applyNumberFormat="1" applyFont="1" applyFill="1" applyBorder="1" applyAlignment="1">
      <alignment horizontal="right" vertical="center" wrapText="1"/>
    </xf>
    <xf numFmtId="0" fontId="5" fillId="0" borderId="0" xfId="0" applyFont="1" applyFill="1" applyAlignment="1">
      <alignment wrapText="1"/>
    </xf>
    <xf numFmtId="0" fontId="5" fillId="0" borderId="3" xfId="0" applyFont="1" applyFill="1" applyBorder="1" applyAlignment="1">
      <alignment wrapText="1"/>
    </xf>
    <xf numFmtId="0" fontId="5" fillId="0" borderId="3" xfId="0" applyFont="1" applyFill="1" applyBorder="1" applyAlignment="1">
      <alignment vertical="top" wrapText="1"/>
    </xf>
    <xf numFmtId="0" fontId="4" fillId="0" borderId="3" xfId="0" applyFont="1" applyFill="1" applyBorder="1" applyAlignment="1">
      <alignment horizontal="justify" vertical="center" wrapText="1"/>
    </xf>
    <xf numFmtId="1" fontId="4" fillId="0" borderId="3" xfId="0" applyNumberFormat="1" applyFont="1" applyFill="1" applyBorder="1" applyAlignment="1">
      <alignment horizontal="center" vertical="center" wrapText="1"/>
    </xf>
    <xf numFmtId="166" fontId="4" fillId="0" borderId="3" xfId="1" applyNumberFormat="1" applyFont="1" applyFill="1" applyBorder="1" applyAlignment="1">
      <alignment horizontal="center" vertical="center" wrapText="1"/>
    </xf>
    <xf numFmtId="168" fontId="10" fillId="0" borderId="0" xfId="0" applyNumberFormat="1" applyFont="1" applyFill="1" applyAlignment="1">
      <alignment horizontal="center" vertical="center" wrapText="1"/>
    </xf>
    <xf numFmtId="0" fontId="4" fillId="0" borderId="15" xfId="0" applyFont="1" applyFill="1" applyBorder="1" applyAlignment="1">
      <alignment vertical="center" wrapText="1"/>
    </xf>
    <xf numFmtId="4" fontId="6" fillId="0" borderId="3" xfId="0" applyNumberFormat="1" applyFont="1" applyFill="1" applyBorder="1" applyAlignment="1">
      <alignment horizontal="right" vertical="center" wrapText="1"/>
    </xf>
    <xf numFmtId="168" fontId="5" fillId="0" borderId="0" xfId="0" applyNumberFormat="1" applyFont="1" applyFill="1" applyAlignment="1">
      <alignment horizontal="right" vertical="center" wrapText="1"/>
    </xf>
    <xf numFmtId="168" fontId="4" fillId="0" borderId="6" xfId="1" applyNumberFormat="1" applyFont="1" applyFill="1" applyBorder="1" applyAlignment="1">
      <alignment horizontal="right" vertical="center" wrapText="1"/>
    </xf>
    <xf numFmtId="4" fontId="4" fillId="0" borderId="6" xfId="1" applyNumberFormat="1" applyFont="1" applyFill="1" applyBorder="1" applyAlignment="1">
      <alignment horizontal="right" vertical="center" wrapText="1"/>
    </xf>
    <xf numFmtId="168" fontId="6" fillId="0" borderId="3" xfId="0" applyNumberFormat="1" applyFont="1" applyFill="1" applyBorder="1" applyAlignment="1">
      <alignment horizontal="right" vertical="center" wrapText="1"/>
    </xf>
    <xf numFmtId="0" fontId="5" fillId="0" borderId="3" xfId="0" applyFont="1" applyFill="1" applyBorder="1" applyAlignment="1">
      <alignment horizontal="left" vertical="center" wrapText="1"/>
    </xf>
    <xf numFmtId="4" fontId="5" fillId="0" borderId="3" xfId="0" applyNumberFormat="1" applyFont="1" applyFill="1" applyBorder="1" applyAlignment="1">
      <alignment horizontal="right" vertical="center" wrapText="1"/>
    </xf>
    <xf numFmtId="0" fontId="4" fillId="0" borderId="15" xfId="16" applyFont="1" applyFill="1" applyBorder="1" applyAlignment="1">
      <alignment horizontal="center" vertical="center" wrapText="1"/>
    </xf>
    <xf numFmtId="0" fontId="4" fillId="0" borderId="3" xfId="16" applyFont="1" applyFill="1" applyBorder="1" applyAlignment="1">
      <alignment horizontal="center" vertical="center" wrapText="1"/>
    </xf>
    <xf numFmtId="0" fontId="5" fillId="0" borderId="3" xfId="16" applyFont="1" applyFill="1" applyBorder="1" applyAlignment="1">
      <alignment vertical="center" wrapText="1"/>
    </xf>
    <xf numFmtId="0" fontId="4" fillId="0" borderId="3" xfId="16" applyFont="1" applyFill="1" applyBorder="1" applyAlignment="1">
      <alignment horizontal="justify" vertical="top" wrapText="1"/>
    </xf>
    <xf numFmtId="14" fontId="4" fillId="0" borderId="3" xfId="16" applyNumberFormat="1" applyFont="1" applyFill="1" applyBorder="1" applyAlignment="1">
      <alignment horizontal="center" vertical="center" wrapText="1"/>
    </xf>
    <xf numFmtId="0" fontId="5" fillId="0" borderId="3" xfId="16" applyFont="1" applyFill="1" applyBorder="1" applyAlignment="1">
      <alignment horizontal="center" vertical="center" wrapText="1"/>
    </xf>
    <xf numFmtId="0" fontId="4" fillId="0" borderId="3" xfId="16" applyFont="1" applyFill="1" applyBorder="1" applyAlignment="1">
      <alignment horizontal="center" vertical="top" wrapText="1"/>
    </xf>
    <xf numFmtId="166" fontId="4" fillId="0" borderId="3" xfId="2" applyNumberFormat="1" applyFont="1" applyFill="1" applyBorder="1" applyAlignment="1">
      <alignment horizontal="right" vertical="center" wrapText="1"/>
    </xf>
    <xf numFmtId="168" fontId="4" fillId="0" borderId="3" xfId="2" applyNumberFormat="1" applyFont="1" applyFill="1" applyBorder="1" applyAlignment="1">
      <alignment horizontal="right" vertical="center" wrapText="1"/>
    </xf>
    <xf numFmtId="0" fontId="5" fillId="0" borderId="15" xfId="0" applyFont="1" applyFill="1" applyBorder="1" applyAlignment="1">
      <alignment horizontal="center" vertical="center" wrapText="1"/>
    </xf>
    <xf numFmtId="0" fontId="4" fillId="0" borderId="3" xfId="0" applyFont="1" applyFill="1" applyBorder="1" applyAlignment="1">
      <alignment vertical="center" wrapText="1"/>
    </xf>
    <xf numFmtId="4" fontId="5" fillId="0" borderId="3" xfId="1" applyNumberFormat="1" applyFont="1" applyFill="1" applyBorder="1" applyAlignment="1">
      <alignment horizontal="right" vertical="center" wrapText="1"/>
    </xf>
    <xf numFmtId="0" fontId="5" fillId="0" borderId="0" xfId="0" applyFont="1" applyFill="1" applyAlignment="1">
      <alignment horizontal="center" vertical="center" wrapText="1"/>
    </xf>
    <xf numFmtId="4" fontId="5" fillId="0" borderId="0" xfId="0" applyNumberFormat="1" applyFont="1" applyFill="1" applyAlignment="1">
      <alignment vertical="center" wrapText="1"/>
    </xf>
    <xf numFmtId="168" fontId="5" fillId="0" borderId="0" xfId="0" applyNumberFormat="1" applyFont="1" applyFill="1" applyAlignment="1">
      <alignment vertical="center" wrapText="1"/>
    </xf>
    <xf numFmtId="14" fontId="4" fillId="0" borderId="3" xfId="0" applyNumberFormat="1" applyFont="1" applyFill="1" applyBorder="1" applyAlignment="1">
      <alignment horizontal="right" vertical="center" wrapText="1"/>
    </xf>
    <xf numFmtId="0" fontId="4" fillId="0" borderId="3" xfId="0" applyFont="1" applyFill="1" applyBorder="1" applyAlignment="1">
      <alignment vertical="top" wrapText="1"/>
    </xf>
    <xf numFmtId="14" fontId="4" fillId="0" borderId="2" xfId="0" applyNumberFormat="1" applyFont="1" applyFill="1" applyBorder="1" applyAlignment="1">
      <alignment horizontal="center" vertical="center" wrapText="1"/>
    </xf>
    <xf numFmtId="164" fontId="4" fillId="0" borderId="3" xfId="0" applyNumberFormat="1" applyFont="1" applyFill="1" applyBorder="1" applyAlignment="1">
      <alignment horizontal="center" vertical="center" wrapText="1"/>
    </xf>
    <xf numFmtId="168" fontId="4" fillId="0" borderId="15" xfId="0" applyNumberFormat="1" applyFont="1" applyFill="1" applyBorder="1" applyAlignment="1">
      <alignment horizontal="center" vertical="center" wrapText="1"/>
    </xf>
    <xf numFmtId="164" fontId="5" fillId="0" borderId="3" xfId="0" applyNumberFormat="1" applyFont="1" applyFill="1" applyBorder="1" applyAlignment="1">
      <alignment horizontal="center" vertical="center" wrapText="1"/>
    </xf>
    <xf numFmtId="2" fontId="4" fillId="0" borderId="15" xfId="0" applyNumberFormat="1" applyFont="1" applyFill="1" applyBorder="1" applyAlignment="1">
      <alignment horizontal="center" vertical="center" wrapText="1"/>
    </xf>
    <xf numFmtId="168" fontId="4" fillId="0" borderId="3" xfId="0" applyNumberFormat="1" applyFont="1" applyFill="1" applyBorder="1"/>
    <xf numFmtId="168" fontId="4" fillId="0" borderId="3" xfId="0" applyNumberFormat="1" applyFont="1" applyFill="1" applyBorder="1" applyAlignment="1">
      <alignment horizontal="center" vertical="center"/>
    </xf>
    <xf numFmtId="0" fontId="5" fillId="0" borderId="15" xfId="0" applyFont="1" applyFill="1" applyBorder="1" applyAlignment="1">
      <alignment vertical="center" wrapText="1"/>
    </xf>
    <xf numFmtId="0" fontId="4" fillId="0" borderId="25" xfId="0" applyFont="1" applyFill="1" applyBorder="1" applyAlignment="1">
      <alignment horizontal="center" vertical="center" wrapText="1"/>
    </xf>
    <xf numFmtId="0" fontId="5" fillId="0" borderId="5" xfId="0" applyFont="1" applyFill="1" applyBorder="1" applyAlignment="1">
      <alignment vertical="top" wrapText="1"/>
    </xf>
    <xf numFmtId="0" fontId="4" fillId="0" borderId="25" xfId="0" applyFont="1" applyFill="1" applyBorder="1" applyAlignment="1">
      <alignment horizontal="left" vertical="center" wrapText="1"/>
    </xf>
    <xf numFmtId="0" fontId="4" fillId="0" borderId="14" xfId="0" applyFont="1" applyFill="1" applyBorder="1" applyAlignment="1">
      <alignment horizontal="center" vertical="center" wrapText="1"/>
    </xf>
    <xf numFmtId="168" fontId="5" fillId="0" borderId="3" xfId="0" applyNumberFormat="1" applyFont="1" applyFill="1" applyBorder="1" applyAlignment="1">
      <alignment horizontal="right" vertical="center" wrapText="1"/>
    </xf>
    <xf numFmtId="0" fontId="5" fillId="0" borderId="14" xfId="0" applyFont="1" applyFill="1" applyBorder="1" applyAlignment="1">
      <alignment horizontal="center" vertical="center" wrapText="1"/>
    </xf>
    <xf numFmtId="4" fontId="4" fillId="0" borderId="15" xfId="1" applyNumberFormat="1" applyFont="1" applyFill="1" applyBorder="1" applyAlignment="1">
      <alignment horizontal="right" vertical="center" wrapText="1"/>
    </xf>
    <xf numFmtId="0" fontId="6" fillId="0" borderId="3" xfId="0" applyFont="1" applyFill="1" applyBorder="1" applyAlignment="1">
      <alignment horizontal="left" vertical="center" wrapText="1"/>
    </xf>
    <xf numFmtId="0" fontId="4" fillId="0" borderId="5" xfId="0" applyFont="1" applyFill="1" applyBorder="1" applyAlignment="1">
      <alignment horizontal="center" vertical="center" wrapText="1"/>
    </xf>
    <xf numFmtId="0" fontId="4" fillId="0" borderId="5" xfId="0" applyFont="1" applyFill="1" applyBorder="1" applyAlignment="1">
      <alignment horizontal="left" vertical="center" wrapText="1"/>
    </xf>
    <xf numFmtId="164" fontId="4" fillId="0" borderId="3" xfId="0" applyNumberFormat="1" applyFont="1" applyFill="1" applyBorder="1" applyAlignment="1">
      <alignment horizontal="right" vertical="center" wrapText="1"/>
    </xf>
    <xf numFmtId="3" fontId="4" fillId="0" borderId="3" xfId="0" applyNumberFormat="1" applyFont="1" applyFill="1" applyBorder="1" applyAlignment="1">
      <alignment horizontal="center" vertical="center" wrapText="1"/>
    </xf>
    <xf numFmtId="4" fontId="4" fillId="0" borderId="3" xfId="0" applyNumberFormat="1" applyFont="1" applyFill="1" applyBorder="1" applyAlignment="1">
      <alignment horizontal="center" vertical="center" wrapText="1"/>
    </xf>
    <xf numFmtId="4" fontId="4" fillId="0" borderId="3" xfId="0" applyNumberFormat="1" applyFont="1" applyFill="1" applyBorder="1" applyAlignment="1">
      <alignment horizontal="left" vertical="top" wrapText="1"/>
    </xf>
    <xf numFmtId="4" fontId="4" fillId="0" borderId="3" xfId="0" applyNumberFormat="1" applyFont="1" applyFill="1" applyBorder="1" applyAlignment="1">
      <alignment horizontal="left" vertical="center" wrapText="1"/>
    </xf>
    <xf numFmtId="168" fontId="4" fillId="0" borderId="3" xfId="0" applyNumberFormat="1" applyFont="1" applyFill="1" applyBorder="1" applyAlignment="1">
      <alignment horizontal="center" vertical="center" wrapText="1"/>
    </xf>
    <xf numFmtId="49" fontId="4" fillId="0" borderId="15" xfId="0" applyNumberFormat="1" applyFont="1" applyFill="1" applyBorder="1" applyAlignment="1">
      <alignment horizontal="center" vertical="center" wrapText="1"/>
    </xf>
    <xf numFmtId="4" fontId="4" fillId="0" borderId="14" xfId="0" applyNumberFormat="1" applyFont="1" applyFill="1" applyBorder="1" applyAlignment="1">
      <alignment horizontal="center" vertical="center" wrapText="1"/>
    </xf>
    <xf numFmtId="49" fontId="4" fillId="0" borderId="3" xfId="0" applyNumberFormat="1" applyFont="1" applyFill="1" applyBorder="1" applyAlignment="1">
      <alignment horizontal="center" vertical="center" wrapText="1"/>
    </xf>
    <xf numFmtId="0" fontId="13" fillId="0" borderId="0" xfId="0" applyFont="1" applyFill="1" applyAlignment="1">
      <alignment vertical="center" wrapText="1"/>
    </xf>
    <xf numFmtId="166" fontId="4" fillId="0" borderId="6" xfId="1" applyNumberFormat="1" applyFont="1" applyFill="1" applyBorder="1" applyAlignment="1">
      <alignment horizontal="right" vertical="center" wrapText="1"/>
    </xf>
    <xf numFmtId="3" fontId="6" fillId="0" borderId="3" xfId="1" applyNumberFormat="1" applyFont="1" applyFill="1" applyBorder="1" applyAlignment="1">
      <alignment horizontal="right" vertical="center" wrapText="1"/>
    </xf>
    <xf numFmtId="166" fontId="4" fillId="0" borderId="9" xfId="1" applyNumberFormat="1" applyFont="1" applyFill="1" applyBorder="1" applyAlignment="1">
      <alignment horizontal="right" vertical="center" wrapText="1"/>
    </xf>
    <xf numFmtId="166" fontId="4" fillId="0" borderId="15" xfId="1" applyNumberFormat="1" applyFont="1" applyFill="1" applyBorder="1" applyAlignment="1">
      <alignment horizontal="right" vertical="center" wrapText="1"/>
    </xf>
    <xf numFmtId="168" fontId="4" fillId="0" borderId="9" xfId="1" applyNumberFormat="1" applyFont="1" applyFill="1" applyBorder="1" applyAlignment="1">
      <alignment horizontal="right" vertical="center" wrapText="1"/>
    </xf>
    <xf numFmtId="171" fontId="4" fillId="0" borderId="3" xfId="0" applyNumberFormat="1" applyFont="1" applyFill="1" applyBorder="1" applyAlignment="1">
      <alignment horizontal="center" vertical="center" wrapText="1"/>
    </xf>
    <xf numFmtId="166" fontId="4" fillId="0" borderId="5" xfId="1" applyNumberFormat="1" applyFont="1" applyFill="1" applyBorder="1" applyAlignment="1">
      <alignment horizontal="right" vertical="center" wrapText="1"/>
    </xf>
    <xf numFmtId="4" fontId="4" fillId="0" borderId="26" xfId="0" applyNumberFormat="1" applyFont="1" applyFill="1" applyBorder="1" applyAlignment="1">
      <alignment horizontal="right" vertical="center" wrapText="1"/>
    </xf>
    <xf numFmtId="4" fontId="5" fillId="0" borderId="25" xfId="0" applyNumberFormat="1" applyFont="1" applyFill="1" applyBorder="1" applyAlignment="1">
      <alignment horizontal="right" vertical="center" wrapText="1"/>
    </xf>
    <xf numFmtId="4" fontId="5" fillId="0" borderId="26" xfId="0" applyNumberFormat="1" applyFont="1" applyFill="1" applyBorder="1" applyAlignment="1">
      <alignment horizontal="right" vertical="center" wrapText="1"/>
    </xf>
    <xf numFmtId="4" fontId="4" fillId="0" borderId="0" xfId="0" applyNumberFormat="1" applyFont="1" applyFill="1" applyAlignment="1">
      <alignment horizontal="right" vertical="center" wrapText="1"/>
    </xf>
    <xf numFmtId="4" fontId="4" fillId="0" borderId="6" xfId="0" applyNumberFormat="1" applyFont="1" applyFill="1" applyBorder="1" applyAlignment="1">
      <alignment horizontal="right" vertical="center" wrapText="1"/>
    </xf>
    <xf numFmtId="0" fontId="5" fillId="0" borderId="3" xfId="0" applyFont="1" applyFill="1" applyBorder="1" applyAlignment="1">
      <alignment horizontal="right" vertical="center" wrapText="1"/>
    </xf>
    <xf numFmtId="0" fontId="5" fillId="0" borderId="0" xfId="0" applyFont="1" applyFill="1" applyAlignment="1">
      <alignment horizontal="right" vertical="center" wrapText="1"/>
    </xf>
    <xf numFmtId="166" fontId="4" fillId="0" borderId="3" xfId="0" applyNumberFormat="1" applyFont="1" applyFill="1" applyBorder="1" applyAlignment="1">
      <alignment vertical="center"/>
    </xf>
    <xf numFmtId="4" fontId="4" fillId="0" borderId="5" xfId="0" applyNumberFormat="1" applyFont="1" applyFill="1" applyBorder="1" applyAlignment="1">
      <alignment horizontal="right" vertical="center" wrapText="1"/>
    </xf>
    <xf numFmtId="0" fontId="5" fillId="0" borderId="0" xfId="0" applyFont="1" applyFill="1" applyAlignment="1">
      <alignment horizontal="center" vertical="center"/>
    </xf>
    <xf numFmtId="0" fontId="4" fillId="0" borderId="3" xfId="0" applyFont="1" applyFill="1" applyBorder="1" applyAlignment="1">
      <alignment horizontal="justify" wrapText="1"/>
    </xf>
    <xf numFmtId="4" fontId="5" fillId="0" borderId="3" xfId="0" applyNumberFormat="1" applyFont="1" applyFill="1" applyBorder="1" applyAlignment="1">
      <alignment vertical="center" wrapText="1"/>
    </xf>
    <xf numFmtId="14" fontId="5" fillId="0" borderId="3" xfId="0" applyNumberFormat="1" applyFont="1" applyFill="1" applyBorder="1" applyAlignment="1">
      <alignment horizontal="center" vertical="center" wrapText="1"/>
    </xf>
    <xf numFmtId="2" fontId="6" fillId="0" borderId="3" xfId="0" applyNumberFormat="1" applyFont="1" applyFill="1" applyBorder="1" applyAlignment="1">
      <alignment horizontal="right" vertical="center" wrapText="1"/>
    </xf>
    <xf numFmtId="0" fontId="4" fillId="0" borderId="3" xfId="0" applyFont="1" applyFill="1" applyBorder="1" applyAlignment="1">
      <alignment horizontal="left" vertical="center" wrapText="1" indent="1"/>
    </xf>
    <xf numFmtId="37" fontId="4" fillId="0" borderId="3" xfId="0" applyNumberFormat="1" applyFont="1" applyFill="1" applyBorder="1" applyAlignment="1">
      <alignment horizontal="right" vertical="center" wrapText="1"/>
    </xf>
    <xf numFmtId="166" fontId="4" fillId="0" borderId="4" xfId="0" applyNumberFormat="1" applyFont="1" applyFill="1" applyBorder="1" applyAlignment="1">
      <alignment horizontal="right" vertical="center" wrapText="1"/>
    </xf>
    <xf numFmtId="4" fontId="4" fillId="0" borderId="5" xfId="1" applyNumberFormat="1" applyFont="1" applyFill="1" applyBorder="1" applyAlignment="1">
      <alignment horizontal="right" vertical="center" wrapText="1"/>
    </xf>
    <xf numFmtId="4" fontId="5" fillId="0" borderId="5" xfId="0" applyNumberFormat="1" applyFont="1" applyFill="1" applyBorder="1" applyAlignment="1">
      <alignment horizontal="right" vertical="center" wrapText="1"/>
    </xf>
    <xf numFmtId="166" fontId="4" fillId="0" borderId="3" xfId="0" applyNumberFormat="1" applyFont="1" applyFill="1" applyBorder="1"/>
    <xf numFmtId="4" fontId="4" fillId="0" borderId="7" xfId="0" applyNumberFormat="1" applyFont="1" applyFill="1" applyBorder="1" applyAlignment="1">
      <alignment horizontal="right" vertical="center" wrapText="1"/>
    </xf>
    <xf numFmtId="166" fontId="5" fillId="0" borderId="3" xfId="0" applyNumberFormat="1" applyFont="1" applyFill="1" applyBorder="1" applyAlignment="1">
      <alignment horizontal="right" vertical="center" wrapText="1"/>
    </xf>
    <xf numFmtId="166" fontId="5" fillId="0" borderId="3" xfId="0" applyNumberFormat="1" applyFont="1" applyFill="1" applyBorder="1" applyAlignment="1">
      <alignment horizontal="right" vertical="center"/>
    </xf>
    <xf numFmtId="166" fontId="5" fillId="0" borderId="3" xfId="0" applyNumberFormat="1" applyFont="1" applyFill="1" applyBorder="1" applyAlignment="1">
      <alignment horizontal="center" vertical="center"/>
    </xf>
    <xf numFmtId="0" fontId="4" fillId="0" borderId="3" xfId="0" applyFont="1" applyFill="1" applyBorder="1" applyAlignment="1">
      <alignment horizontal="left" vertical="justify" wrapText="1"/>
    </xf>
    <xf numFmtId="0" fontId="6" fillId="0" borderId="3" xfId="0" applyFont="1" applyFill="1" applyBorder="1" applyAlignment="1">
      <alignment horizontal="center" vertical="center"/>
    </xf>
    <xf numFmtId="49" fontId="5" fillId="0" borderId="3" xfId="0" applyNumberFormat="1" applyFont="1" applyFill="1" applyBorder="1" applyAlignment="1">
      <alignment horizontal="right" vertical="center" wrapText="1"/>
    </xf>
    <xf numFmtId="4" fontId="4" fillId="0" borderId="11" xfId="0" applyNumberFormat="1" applyFont="1" applyFill="1" applyBorder="1" applyAlignment="1">
      <alignment horizontal="right" vertical="center" wrapText="1"/>
    </xf>
    <xf numFmtId="0" fontId="4" fillId="0" borderId="3" xfId="4" applyFont="1" applyFill="1" applyBorder="1" applyAlignment="1">
      <alignment horizontal="center" vertical="center" wrapText="1"/>
    </xf>
    <xf numFmtId="0" fontId="5" fillId="0" borderId="3" xfId="4" applyFont="1" applyFill="1" applyBorder="1" applyAlignment="1">
      <alignment vertical="center" wrapText="1"/>
    </xf>
    <xf numFmtId="4" fontId="4" fillId="0" borderId="10" xfId="0" applyNumberFormat="1" applyFont="1" applyFill="1" applyBorder="1" applyAlignment="1">
      <alignment horizontal="right" vertical="center" wrapText="1"/>
    </xf>
    <xf numFmtId="0" fontId="5" fillId="0" borderId="19" xfId="0" applyFont="1" applyFill="1" applyBorder="1" applyAlignment="1">
      <alignment horizontal="center" vertical="center" wrapText="1"/>
    </xf>
    <xf numFmtId="0" fontId="5" fillId="0" borderId="3" xfId="0" applyFont="1" applyFill="1" applyBorder="1" applyAlignment="1">
      <alignment horizontal="right"/>
    </xf>
    <xf numFmtId="168" fontId="5" fillId="0" borderId="0" xfId="0" applyNumberFormat="1" applyFont="1" applyFill="1" applyAlignment="1">
      <alignment vertical="center"/>
    </xf>
    <xf numFmtId="0" fontId="5" fillId="0" borderId="4"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4" fillId="0" borderId="5" xfId="0" applyFont="1" applyFill="1" applyBorder="1" applyAlignment="1">
      <alignment horizontal="justify" vertical="top" wrapText="1"/>
    </xf>
    <xf numFmtId="0" fontId="5" fillId="0" borderId="18" xfId="0" applyFont="1" applyFill="1" applyBorder="1" applyAlignment="1">
      <alignment horizontal="center" vertical="center" wrapText="1"/>
    </xf>
    <xf numFmtId="0" fontId="5" fillId="0" borderId="22" xfId="0" applyFont="1" applyFill="1" applyBorder="1" applyAlignment="1">
      <alignment horizontal="center" vertical="center" wrapText="1"/>
    </xf>
    <xf numFmtId="168" fontId="4" fillId="0" borderId="3" xfId="0" applyNumberFormat="1" applyFont="1" applyFill="1" applyBorder="1" applyAlignment="1">
      <alignment horizontal="right" vertical="center"/>
    </xf>
    <xf numFmtId="4" fontId="4" fillId="0" borderId="0" xfId="0" applyNumberFormat="1" applyFont="1" applyFill="1" applyAlignment="1">
      <alignment horizontal="right" vertical="center"/>
    </xf>
    <xf numFmtId="0" fontId="5" fillId="0" borderId="3" xfId="0" applyFont="1" applyFill="1" applyBorder="1"/>
    <xf numFmtId="0" fontId="4" fillId="0" borderId="15" xfId="4" applyFont="1" applyFill="1" applyBorder="1" applyAlignment="1">
      <alignment horizontal="center" vertical="center" wrapText="1"/>
    </xf>
    <xf numFmtId="0" fontId="5" fillId="0" borderId="3" xfId="4" applyFont="1" applyFill="1" applyBorder="1" applyAlignment="1">
      <alignment horizontal="center" vertical="center" wrapText="1"/>
    </xf>
    <xf numFmtId="0" fontId="4" fillId="0" borderId="3" xfId="4" applyFont="1" applyFill="1" applyBorder="1" applyAlignment="1">
      <alignment horizontal="justify" vertical="top" wrapText="1"/>
    </xf>
    <xf numFmtId="14" fontId="4" fillId="0" borderId="3" xfId="4" applyNumberFormat="1" applyFont="1" applyFill="1" applyBorder="1" applyAlignment="1">
      <alignment horizontal="center" vertical="center" wrapText="1"/>
    </xf>
    <xf numFmtId="4" fontId="4" fillId="0" borderId="1" xfId="0" applyNumberFormat="1" applyFont="1" applyFill="1" applyBorder="1" applyAlignment="1">
      <alignment vertical="center" wrapText="1"/>
    </xf>
    <xf numFmtId="166" fontId="5" fillId="0" borderId="18" xfId="0" applyNumberFormat="1" applyFont="1" applyFill="1" applyBorder="1" applyAlignment="1">
      <alignment vertical="center"/>
    </xf>
    <xf numFmtId="166" fontId="5" fillId="0" borderId="3" xfId="0" applyNumberFormat="1" applyFont="1" applyFill="1" applyBorder="1" applyAlignment="1">
      <alignment horizontal="center" vertical="center" wrapText="1"/>
    </xf>
    <xf numFmtId="0" fontId="4" fillId="0" borderId="3" xfId="0" applyFont="1" applyFill="1" applyBorder="1" applyAlignment="1">
      <alignment horizontal="left" wrapText="1"/>
    </xf>
    <xf numFmtId="14" fontId="5" fillId="0" borderId="3" xfId="0" applyNumberFormat="1" applyFont="1" applyFill="1" applyBorder="1" applyAlignment="1">
      <alignment horizontal="left" vertical="center" wrapText="1"/>
    </xf>
    <xf numFmtId="0" fontId="5" fillId="0" borderId="3" xfId="0" applyFont="1" applyFill="1" applyBorder="1" applyAlignment="1">
      <alignment horizontal="left" vertical="top" wrapText="1"/>
    </xf>
    <xf numFmtId="0" fontId="4" fillId="0" borderId="21"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5" fillId="0" borderId="6" xfId="0" applyFont="1" applyFill="1" applyBorder="1" applyAlignment="1">
      <alignment vertical="center" wrapText="1"/>
    </xf>
    <xf numFmtId="0" fontId="5" fillId="0" borderId="21" xfId="0" applyFont="1" applyFill="1" applyBorder="1" applyAlignment="1">
      <alignment horizontal="center" vertical="center" wrapText="1"/>
    </xf>
    <xf numFmtId="0" fontId="4" fillId="0" borderId="6" xfId="0" applyFont="1" applyFill="1" applyBorder="1" applyAlignment="1">
      <alignment horizontal="justify" vertical="top" wrapText="1"/>
    </xf>
    <xf numFmtId="14" fontId="4" fillId="0" borderId="6" xfId="0" applyNumberFormat="1"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0" borderId="6" xfId="0" applyFont="1" applyFill="1" applyBorder="1" applyAlignment="1">
      <alignment horizontal="center" vertical="center"/>
    </xf>
    <xf numFmtId="166" fontId="4" fillId="0" borderId="6" xfId="0" applyNumberFormat="1" applyFont="1" applyFill="1" applyBorder="1" applyAlignment="1">
      <alignment horizontal="right" vertical="center" wrapText="1"/>
    </xf>
    <xf numFmtId="14" fontId="5" fillId="0" borderId="6" xfId="0" applyNumberFormat="1" applyFont="1" applyFill="1" applyBorder="1" applyAlignment="1">
      <alignment horizontal="right" vertical="center" wrapText="1"/>
    </xf>
    <xf numFmtId="4" fontId="5" fillId="0" borderId="3" xfId="0" applyNumberFormat="1" applyFont="1" applyFill="1" applyBorder="1" applyAlignment="1">
      <alignment horizontal="right" vertical="center"/>
    </xf>
    <xf numFmtId="4" fontId="5" fillId="0" borderId="5" xfId="0" applyNumberFormat="1" applyFont="1" applyFill="1" applyBorder="1" applyAlignment="1">
      <alignment vertical="center"/>
    </xf>
    <xf numFmtId="0" fontId="5" fillId="0" borderId="15" xfId="0" applyFont="1" applyFill="1" applyBorder="1" applyAlignment="1">
      <alignment horizontal="left" vertical="center" wrapText="1"/>
    </xf>
    <xf numFmtId="14" fontId="5" fillId="0" borderId="5" xfId="0" applyNumberFormat="1" applyFont="1" applyFill="1" applyBorder="1" applyAlignment="1">
      <alignment horizontal="right" vertical="center" wrapText="1"/>
    </xf>
    <xf numFmtId="4" fontId="5" fillId="0" borderId="5" xfId="0" applyNumberFormat="1" applyFont="1" applyFill="1" applyBorder="1" applyAlignment="1">
      <alignment horizontal="right" vertical="center"/>
    </xf>
    <xf numFmtId="0" fontId="4" fillId="0" borderId="15" xfId="0" applyFont="1" applyFill="1" applyBorder="1" applyAlignment="1">
      <alignment horizontal="left" vertical="center" wrapText="1"/>
    </xf>
    <xf numFmtId="0" fontId="4" fillId="0" borderId="15" xfId="0" applyFont="1" applyFill="1" applyBorder="1" applyAlignment="1">
      <alignment horizontal="left" vertical="top" wrapText="1"/>
    </xf>
    <xf numFmtId="0" fontId="5" fillId="0" borderId="0" xfId="0" applyFont="1" applyFill="1"/>
    <xf numFmtId="0" fontId="4" fillId="0" borderId="0" xfId="0" applyFont="1" applyFill="1" applyAlignment="1">
      <alignment horizontal="center" vertical="center"/>
    </xf>
    <xf numFmtId="0" fontId="5" fillId="0" borderId="0" xfId="0" applyFont="1" applyFill="1" applyAlignment="1">
      <alignment horizontal="left" vertical="center"/>
    </xf>
    <xf numFmtId="4" fontId="5" fillId="0" borderId="0" xfId="0" applyNumberFormat="1" applyFont="1" applyFill="1"/>
    <xf numFmtId="4" fontId="5" fillId="0" borderId="0" xfId="0" applyNumberFormat="1" applyFont="1" applyFill="1" applyAlignment="1">
      <alignment horizontal="center" vertical="center" wrapText="1"/>
    </xf>
    <xf numFmtId="0" fontId="4" fillId="0" borderId="0" xfId="0" applyFont="1" applyFill="1" applyAlignment="1">
      <alignment horizontal="left" vertical="center"/>
    </xf>
    <xf numFmtId="0" fontId="12" fillId="0" borderId="0" xfId="0" applyFont="1" applyFill="1"/>
    <xf numFmtId="0" fontId="5" fillId="0" borderId="0" xfId="0" applyFont="1" applyFill="1" applyAlignment="1">
      <alignment horizontal="center" wrapText="1"/>
    </xf>
    <xf numFmtId="0" fontId="5" fillId="0" borderId="0" xfId="0" applyFont="1" applyFill="1" applyAlignment="1">
      <alignment horizontal="center"/>
    </xf>
    <xf numFmtId="168" fontId="5" fillId="0" borderId="0" xfId="0" applyNumberFormat="1" applyFont="1" applyFill="1"/>
    <xf numFmtId="0" fontId="4" fillId="2" borderId="23" xfId="0" applyFont="1" applyFill="1" applyBorder="1" applyAlignment="1">
      <alignment horizontal="center" vertical="center" wrapText="1"/>
    </xf>
    <xf numFmtId="0" fontId="4" fillId="2" borderId="17"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6" fillId="2" borderId="1" xfId="0" applyFont="1" applyFill="1" applyBorder="1" applyAlignment="1">
      <alignment horizontal="center" vertical="center" wrapText="1"/>
    </xf>
    <xf numFmtId="4" fontId="6" fillId="2" borderId="8" xfId="0" applyNumberFormat="1" applyFont="1" applyFill="1" applyBorder="1" applyAlignment="1">
      <alignment horizontal="center" vertical="center" wrapText="1"/>
    </xf>
    <xf numFmtId="4" fontId="6" fillId="2" borderId="12" xfId="0" applyNumberFormat="1" applyFont="1" applyFill="1" applyBorder="1" applyAlignment="1">
      <alignment horizontal="center" vertical="center" wrapText="1"/>
    </xf>
    <xf numFmtId="0" fontId="5" fillId="2" borderId="12" xfId="0" applyFont="1" applyFill="1" applyBorder="1" applyAlignment="1">
      <alignment horizontal="center" vertical="center" wrapText="1"/>
    </xf>
    <xf numFmtId="0" fontId="5" fillId="2" borderId="13" xfId="0" applyFont="1" applyFill="1" applyBorder="1" applyAlignment="1">
      <alignment horizontal="center" vertical="center" wrapText="1"/>
    </xf>
    <xf numFmtId="0" fontId="5" fillId="2" borderId="13" xfId="0" applyFont="1" applyFill="1" applyBorder="1" applyAlignment="1">
      <alignment horizontal="center" vertical="center" wrapText="1"/>
    </xf>
    <xf numFmtId="4" fontId="6" fillId="2" borderId="1" xfId="0" applyNumberFormat="1" applyFont="1" applyFill="1" applyBorder="1" applyAlignment="1">
      <alignment vertical="center" wrapText="1"/>
    </xf>
    <xf numFmtId="4" fontId="6" fillId="2" borderId="1" xfId="0" applyNumberFormat="1" applyFont="1" applyFill="1" applyBorder="1" applyAlignment="1">
      <alignment vertical="center" wrapText="1"/>
    </xf>
    <xf numFmtId="3" fontId="6" fillId="2" borderId="1" xfId="0" applyNumberFormat="1" applyFont="1" applyFill="1" applyBorder="1" applyAlignment="1">
      <alignment vertical="center" wrapText="1"/>
    </xf>
    <xf numFmtId="4" fontId="6" fillId="2" borderId="3" xfId="0" applyNumberFormat="1" applyFont="1" applyFill="1" applyBorder="1" applyAlignment="1">
      <alignment vertical="center" wrapText="1"/>
    </xf>
    <xf numFmtId="0" fontId="4" fillId="2" borderId="24"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6" fillId="2" borderId="3" xfId="0" applyFont="1" applyFill="1" applyBorder="1" applyAlignment="1">
      <alignment horizontal="center" vertical="center" wrapText="1"/>
    </xf>
    <xf numFmtId="4" fontId="6" fillId="2" borderId="9" xfId="0" applyNumberFormat="1" applyFont="1" applyFill="1" applyBorder="1" applyAlignment="1">
      <alignment horizontal="center" vertical="center" wrapText="1"/>
    </xf>
    <xf numFmtId="4" fontId="6" fillId="2" borderId="14" xfId="0" applyNumberFormat="1" applyFont="1" applyFill="1" applyBorder="1" applyAlignment="1">
      <alignment horizontal="center" vertical="center" wrapText="1"/>
    </xf>
    <xf numFmtId="0" fontId="5" fillId="2" borderId="14" xfId="0" applyFont="1" applyFill="1" applyBorder="1" applyAlignment="1">
      <alignment horizontal="center" vertical="center" wrapText="1"/>
    </xf>
    <xf numFmtId="0" fontId="5" fillId="2" borderId="15" xfId="0" applyFont="1" applyFill="1" applyBorder="1" applyAlignment="1">
      <alignment horizontal="center" vertical="center" wrapText="1"/>
    </xf>
    <xf numFmtId="4" fontId="6" fillId="2" borderId="3" xfId="0" applyNumberFormat="1" applyFont="1" applyFill="1" applyBorder="1" applyAlignment="1">
      <alignment vertical="center" wrapText="1"/>
    </xf>
    <xf numFmtId="4" fontId="6" fillId="2" borderId="6" xfId="0" applyNumberFormat="1" applyFont="1" applyFill="1" applyBorder="1" applyAlignment="1">
      <alignment vertical="center" wrapText="1"/>
    </xf>
    <xf numFmtId="3" fontId="6" fillId="2" borderId="3" xfId="0" applyNumberFormat="1" applyFont="1" applyFill="1" applyBorder="1" applyAlignment="1">
      <alignment vertical="center" wrapText="1"/>
    </xf>
    <xf numFmtId="0" fontId="4" fillId="2" borderId="16" xfId="0" applyFont="1" applyFill="1" applyBorder="1" applyAlignment="1">
      <alignment horizontal="center" vertical="center" wrapText="1"/>
    </xf>
    <xf numFmtId="0" fontId="4" fillId="2" borderId="20" xfId="0" applyFont="1" applyFill="1" applyBorder="1" applyAlignment="1">
      <alignment horizontal="center" vertical="center" wrapText="1"/>
    </xf>
    <xf numFmtId="0" fontId="4" fillId="2" borderId="5" xfId="0" applyFont="1" applyFill="1" applyBorder="1" applyAlignment="1">
      <alignment horizontal="center" vertical="center" wrapText="1"/>
    </xf>
    <xf numFmtId="168" fontId="6" fillId="2" borderId="3" xfId="0" applyNumberFormat="1" applyFont="1" applyFill="1" applyBorder="1" applyAlignment="1">
      <alignment vertical="center" wrapText="1"/>
    </xf>
    <xf numFmtId="4" fontId="6" fillId="2" borderId="20" xfId="0" applyNumberFormat="1" applyFont="1" applyFill="1" applyBorder="1" applyAlignment="1">
      <alignment vertical="center" wrapText="1"/>
    </xf>
  </cellXfs>
  <cellStyles count="17">
    <cellStyle name="Comma" xfId="1" builtinId="3"/>
    <cellStyle name="Comma 2" xfId="2" xr:uid="{00000000-0005-0000-0000-000001000000}"/>
    <cellStyle name="Comma 2 2" xfId="6" xr:uid="{00000000-0005-0000-0000-000002000000}"/>
    <cellStyle name="Comma 2 3" xfId="8" xr:uid="{00000000-0005-0000-0000-000003000000}"/>
    <cellStyle name="Comma 3" xfId="5" xr:uid="{00000000-0005-0000-0000-000004000000}"/>
    <cellStyle name="Comma 3 2" xfId="9" xr:uid="{00000000-0005-0000-0000-000005000000}"/>
    <cellStyle name="Comma 4" xfId="7" xr:uid="{00000000-0005-0000-0000-000006000000}"/>
    <cellStyle name="Normal" xfId="0" builtinId="0"/>
    <cellStyle name="Normal 2" xfId="4" xr:uid="{00000000-0005-0000-0000-000008000000}"/>
    <cellStyle name="Normal 2 2" xfId="11" xr:uid="{00000000-0005-0000-0000-000009000000}"/>
    <cellStyle name="Normal 2 3" xfId="12" xr:uid="{00000000-0005-0000-0000-00000A000000}"/>
    <cellStyle name="Normal 2 4" xfId="10" xr:uid="{00000000-0005-0000-0000-00000B000000}"/>
    <cellStyle name="Normal 3" xfId="3" xr:uid="{00000000-0005-0000-0000-00000C000000}"/>
    <cellStyle name="Normal 3 2" xfId="13" xr:uid="{00000000-0005-0000-0000-00000D000000}"/>
    <cellStyle name="Normal 4" xfId="14" xr:uid="{00000000-0005-0000-0000-00000E000000}"/>
    <cellStyle name="Normal 5" xfId="15" xr:uid="{00000000-0005-0000-0000-00000F000000}"/>
    <cellStyle name="Normal 6" xfId="16" xr:uid="{00000000-0005-0000-0000-000010000000}"/>
  </cellStyles>
  <dxfs count="0"/>
  <tableStyles count="0" defaultTableStyle="TableStyleMedium2" defaultPivotStyle="PivotStyleLight16"/>
  <colors>
    <mruColors>
      <color rgb="FFFF66CC"/>
      <color rgb="FFFFCCFF"/>
      <color rgb="FFCCFFCC"/>
      <color rgb="FFCCEC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18" Type="http://schemas.openxmlformats.org/officeDocument/2006/relationships/printerSettings" Target="../printerSettings/printerSettings18.bin"/><Relationship Id="rId26" Type="http://schemas.openxmlformats.org/officeDocument/2006/relationships/printerSettings" Target="../printerSettings/printerSettings26.bin"/><Relationship Id="rId3" Type="http://schemas.openxmlformats.org/officeDocument/2006/relationships/printerSettings" Target="../printerSettings/printerSettings3.bin"/><Relationship Id="rId21" Type="http://schemas.openxmlformats.org/officeDocument/2006/relationships/printerSettings" Target="../printerSettings/printerSettings21.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17" Type="http://schemas.openxmlformats.org/officeDocument/2006/relationships/printerSettings" Target="../printerSettings/printerSettings17.bin"/><Relationship Id="rId25" Type="http://schemas.openxmlformats.org/officeDocument/2006/relationships/printerSettings" Target="../printerSettings/printerSettings25.bin"/><Relationship Id="rId2" Type="http://schemas.openxmlformats.org/officeDocument/2006/relationships/printerSettings" Target="../printerSettings/printerSettings2.bin"/><Relationship Id="rId16" Type="http://schemas.openxmlformats.org/officeDocument/2006/relationships/printerSettings" Target="../printerSettings/printerSettings16.bin"/><Relationship Id="rId20" Type="http://schemas.openxmlformats.org/officeDocument/2006/relationships/printerSettings" Target="../printerSettings/printerSettings20.bin"/><Relationship Id="rId29" Type="http://schemas.openxmlformats.org/officeDocument/2006/relationships/printerSettings" Target="../printerSettings/printerSettings29.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24" Type="http://schemas.openxmlformats.org/officeDocument/2006/relationships/printerSettings" Target="../printerSettings/printerSettings24.bin"/><Relationship Id="rId5" Type="http://schemas.openxmlformats.org/officeDocument/2006/relationships/printerSettings" Target="../printerSettings/printerSettings5.bin"/><Relationship Id="rId15" Type="http://schemas.openxmlformats.org/officeDocument/2006/relationships/printerSettings" Target="../printerSettings/printerSettings15.bin"/><Relationship Id="rId23" Type="http://schemas.openxmlformats.org/officeDocument/2006/relationships/printerSettings" Target="../printerSettings/printerSettings23.bin"/><Relationship Id="rId28" Type="http://schemas.openxmlformats.org/officeDocument/2006/relationships/printerSettings" Target="../printerSettings/printerSettings28.bin"/><Relationship Id="rId10" Type="http://schemas.openxmlformats.org/officeDocument/2006/relationships/printerSettings" Target="../printerSettings/printerSettings10.bin"/><Relationship Id="rId19" Type="http://schemas.openxmlformats.org/officeDocument/2006/relationships/printerSettings" Target="../printerSettings/printerSettings19.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printerSettings" Target="../printerSettings/printerSettings14.bin"/><Relationship Id="rId22" Type="http://schemas.openxmlformats.org/officeDocument/2006/relationships/printerSettings" Target="../printerSettings/printerSettings22.bin"/><Relationship Id="rId27" Type="http://schemas.openxmlformats.org/officeDocument/2006/relationships/printerSettings" Target="../printerSettings/printerSettings27.bin"/><Relationship Id="rId30" Type="http://schemas.openxmlformats.org/officeDocument/2006/relationships/printerSettings" Target="../printerSettings/printerSettings3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B1075"/>
  <sheetViews>
    <sheetView tabSelected="1" zoomScale="70" zoomScaleNormal="70" workbookViewId="0">
      <pane ySplit="3" topLeftCell="A4" activePane="bottomLeft" state="frozen"/>
      <selection pane="bottomLeft" activeCell="H5" sqref="H5"/>
    </sheetView>
  </sheetViews>
  <sheetFormatPr defaultColWidth="9.42578125" defaultRowHeight="15.75" x14ac:dyDescent="0.25"/>
  <cols>
    <col min="1" max="1" width="7" style="179" customWidth="1"/>
    <col min="2" max="2" width="12.5703125" style="179" customWidth="1"/>
    <col min="3" max="3" width="13.42578125" style="179" customWidth="1"/>
    <col min="4" max="4" width="14.42578125" style="179" customWidth="1"/>
    <col min="5" max="5" width="18.5703125" style="179" customWidth="1"/>
    <col min="6" max="6" width="25.5703125" style="119" customWidth="1"/>
    <col min="7" max="7" width="26" style="119" customWidth="1"/>
    <col min="8" max="8" width="23.5703125" style="186" customWidth="1"/>
    <col min="9" max="9" width="135.5703125" style="179" customWidth="1"/>
    <col min="10" max="10" width="20.5703125" style="187" customWidth="1"/>
    <col min="11" max="11" width="20" style="187" customWidth="1"/>
    <col min="12" max="13" width="24.42578125" style="187" customWidth="1"/>
    <col min="14" max="14" width="31.5703125" style="187" customWidth="1"/>
    <col min="15" max="15" width="20.42578125" style="187" customWidth="1"/>
    <col min="16" max="16" width="17" style="187" customWidth="1"/>
    <col min="17" max="17" width="29.42578125" style="187" customWidth="1"/>
    <col min="18" max="18" width="26" style="179" customWidth="1"/>
    <col min="19" max="19" width="24.5703125" style="179" customWidth="1"/>
    <col min="20" max="20" width="21.5703125" style="179" customWidth="1"/>
    <col min="21" max="21" width="23.42578125" style="179" customWidth="1"/>
    <col min="22" max="22" width="24" style="188" customWidth="1"/>
    <col min="23" max="23" width="22.5703125" style="188" customWidth="1"/>
    <col min="24" max="24" width="25.42578125" style="179" customWidth="1"/>
    <col min="25" max="25" width="19.42578125" style="179" customWidth="1"/>
    <col min="26" max="27" width="19.5703125" style="179" customWidth="1"/>
    <col min="28" max="28" width="20" style="179" customWidth="1"/>
    <col min="29" max="29" width="16.7109375" style="179" customWidth="1"/>
    <col min="30" max="30" width="29" style="179" customWidth="1"/>
    <col min="31" max="31" width="18.5703125" style="179" customWidth="1"/>
    <col min="32" max="32" width="21.5703125" style="179" customWidth="1"/>
    <col min="33" max="33" width="27.5703125" style="179" customWidth="1"/>
    <col min="34" max="34" width="25" style="43" customWidth="1"/>
    <col min="35" max="35" width="23.42578125" style="179" customWidth="1"/>
    <col min="36" max="36" width="22.42578125" style="179" bestFit="1" customWidth="1"/>
    <col min="37" max="40" width="9.42578125" style="179"/>
    <col min="41" max="41" width="10" style="179" bestFit="1" customWidth="1"/>
    <col min="42" max="16384" width="9.42578125" style="179"/>
  </cols>
  <sheetData>
    <row r="1" spans="1:37 16382:16382" s="179" customFormat="1" ht="89.25" customHeight="1" x14ac:dyDescent="0.25">
      <c r="A1" s="189" t="s">
        <v>0</v>
      </c>
      <c r="B1" s="190" t="s">
        <v>364</v>
      </c>
      <c r="C1" s="191" t="s">
        <v>1186</v>
      </c>
      <c r="D1" s="191" t="s">
        <v>8</v>
      </c>
      <c r="E1" s="191" t="s">
        <v>142</v>
      </c>
      <c r="F1" s="191" t="s">
        <v>1</v>
      </c>
      <c r="G1" s="191" t="s">
        <v>14</v>
      </c>
      <c r="H1" s="190" t="s">
        <v>156</v>
      </c>
      <c r="I1" s="192" t="s">
        <v>16</v>
      </c>
      <c r="J1" s="192" t="s">
        <v>15</v>
      </c>
      <c r="K1" s="192" t="s">
        <v>17</v>
      </c>
      <c r="L1" s="192" t="s">
        <v>18</v>
      </c>
      <c r="M1" s="192" t="s">
        <v>2</v>
      </c>
      <c r="N1" s="192" t="s">
        <v>19</v>
      </c>
      <c r="O1" s="192" t="s">
        <v>3</v>
      </c>
      <c r="P1" s="192" t="s">
        <v>4</v>
      </c>
      <c r="Q1" s="192" t="s">
        <v>20</v>
      </c>
      <c r="R1" s="193" t="s">
        <v>9</v>
      </c>
      <c r="S1" s="194"/>
      <c r="T1" s="194"/>
      <c r="U1" s="194"/>
      <c r="V1" s="194"/>
      <c r="W1" s="194"/>
      <c r="X1" s="194"/>
      <c r="Y1" s="195"/>
      <c r="Z1" s="195"/>
      <c r="AA1" s="196"/>
      <c r="AB1" s="197" t="s">
        <v>4</v>
      </c>
      <c r="AC1" s="197"/>
      <c r="AD1" s="198" t="s">
        <v>139</v>
      </c>
      <c r="AE1" s="199"/>
      <c r="AF1" s="198" t="s">
        <v>5</v>
      </c>
      <c r="AG1" s="200" t="s">
        <v>13</v>
      </c>
      <c r="AH1" s="200" t="s">
        <v>6</v>
      </c>
      <c r="AI1" s="201" t="s">
        <v>22</v>
      </c>
      <c r="AJ1" s="201"/>
    </row>
    <row r="2" spans="1:37 16382:16382" s="179" customFormat="1" ht="15.75" customHeight="1" x14ac:dyDescent="0.25">
      <c r="A2" s="202"/>
      <c r="B2" s="203"/>
      <c r="C2" s="204"/>
      <c r="D2" s="204"/>
      <c r="E2" s="204"/>
      <c r="F2" s="204"/>
      <c r="G2" s="204"/>
      <c r="H2" s="203"/>
      <c r="I2" s="205"/>
      <c r="J2" s="205"/>
      <c r="K2" s="205"/>
      <c r="L2" s="205"/>
      <c r="M2" s="205"/>
      <c r="N2" s="205"/>
      <c r="O2" s="205"/>
      <c r="P2" s="205"/>
      <c r="Q2" s="205"/>
      <c r="R2" s="206" t="s">
        <v>10</v>
      </c>
      <c r="S2" s="207"/>
      <c r="T2" s="207"/>
      <c r="U2" s="207"/>
      <c r="V2" s="208"/>
      <c r="W2" s="209"/>
      <c r="X2" s="201" t="s">
        <v>12</v>
      </c>
      <c r="Y2" s="210"/>
      <c r="Z2" s="210"/>
      <c r="AA2" s="211" t="s">
        <v>21</v>
      </c>
      <c r="AB2" s="210"/>
      <c r="AC2" s="210"/>
      <c r="AD2" s="201"/>
      <c r="AE2" s="201" t="s">
        <v>1440</v>
      </c>
      <c r="AF2" s="201"/>
      <c r="AG2" s="212"/>
      <c r="AH2" s="212"/>
      <c r="AI2" s="201" t="s">
        <v>7</v>
      </c>
      <c r="AJ2" s="201" t="s">
        <v>23</v>
      </c>
    </row>
    <row r="3" spans="1:37 16382:16382" s="179" customFormat="1" ht="36.75" customHeight="1" thickBot="1" x14ac:dyDescent="0.3">
      <c r="A3" s="213"/>
      <c r="B3" s="214"/>
      <c r="C3" s="204"/>
      <c r="D3" s="204"/>
      <c r="E3" s="204"/>
      <c r="F3" s="204"/>
      <c r="G3" s="204"/>
      <c r="H3" s="215"/>
      <c r="I3" s="205"/>
      <c r="J3" s="205"/>
      <c r="K3" s="205"/>
      <c r="L3" s="205"/>
      <c r="M3" s="205"/>
      <c r="N3" s="205"/>
      <c r="O3" s="205"/>
      <c r="P3" s="205"/>
      <c r="Q3" s="205"/>
      <c r="R3" s="210" t="s">
        <v>7</v>
      </c>
      <c r="S3" s="210" t="s">
        <v>150</v>
      </c>
      <c r="T3" s="210" t="s">
        <v>149</v>
      </c>
      <c r="U3" s="210" t="s">
        <v>11</v>
      </c>
      <c r="V3" s="216" t="s">
        <v>150</v>
      </c>
      <c r="W3" s="216" t="s">
        <v>149</v>
      </c>
      <c r="X3" s="201"/>
      <c r="Y3" s="210" t="s">
        <v>150</v>
      </c>
      <c r="Z3" s="210" t="s">
        <v>149</v>
      </c>
      <c r="AA3" s="217"/>
      <c r="AB3" s="210" t="s">
        <v>150</v>
      </c>
      <c r="AC3" s="210" t="s">
        <v>149</v>
      </c>
      <c r="AD3" s="201"/>
      <c r="AE3" s="201"/>
      <c r="AF3" s="201"/>
      <c r="AG3" s="212"/>
      <c r="AH3" s="212"/>
      <c r="AI3" s="201"/>
      <c r="AJ3" s="201"/>
    </row>
    <row r="4" spans="1:37 16382:16382" s="179" customFormat="1" ht="178.5" customHeight="1" x14ac:dyDescent="0.25">
      <c r="A4" s="6">
        <v>1</v>
      </c>
      <c r="B4" s="7">
        <v>110755</v>
      </c>
      <c r="C4" s="8">
        <v>121</v>
      </c>
      <c r="D4" s="9" t="s">
        <v>1638</v>
      </c>
      <c r="E4" s="10" t="s">
        <v>277</v>
      </c>
      <c r="F4" s="11" t="s">
        <v>212</v>
      </c>
      <c r="G4" s="8" t="s">
        <v>213</v>
      </c>
      <c r="H4" s="8" t="s">
        <v>151</v>
      </c>
      <c r="I4" s="12" t="s">
        <v>2602</v>
      </c>
      <c r="J4" s="13">
        <v>43145</v>
      </c>
      <c r="K4" s="13">
        <v>43630</v>
      </c>
      <c r="L4" s="14">
        <f t="shared" ref="L4:L98" si="0">R4/AD4*100</f>
        <v>84.999999517641427</v>
      </c>
      <c r="M4" s="8">
        <v>7</v>
      </c>
      <c r="N4" s="8" t="s">
        <v>221</v>
      </c>
      <c r="O4" s="8" t="s">
        <v>216</v>
      </c>
      <c r="P4" s="15" t="s">
        <v>174</v>
      </c>
      <c r="Q4" s="11" t="s">
        <v>34</v>
      </c>
      <c r="R4" s="16">
        <f t="shared" ref="R4:R6" si="1">S4+T4</f>
        <v>352434.92</v>
      </c>
      <c r="S4" s="17">
        <v>352434.92</v>
      </c>
      <c r="T4" s="16">
        <v>0</v>
      </c>
      <c r="U4" s="18">
        <f t="shared" ref="U4:U96" si="2">V4+W4</f>
        <v>53844.59</v>
      </c>
      <c r="V4" s="19">
        <v>53844.59</v>
      </c>
      <c r="W4" s="20">
        <v>0</v>
      </c>
      <c r="X4" s="18">
        <f t="shared" ref="X4" si="3">Y4+Z4</f>
        <v>8349.81</v>
      </c>
      <c r="Y4" s="17">
        <v>8349.81</v>
      </c>
      <c r="Z4" s="18">
        <v>0</v>
      </c>
      <c r="AA4" s="16">
        <f>AB4+AC4</f>
        <v>0</v>
      </c>
      <c r="AB4" s="16">
        <v>0</v>
      </c>
      <c r="AC4" s="16">
        <v>0</v>
      </c>
      <c r="AD4" s="16">
        <f>R4+U4+X4+AA4</f>
        <v>414629.32</v>
      </c>
      <c r="AE4" s="16">
        <v>0</v>
      </c>
      <c r="AF4" s="16">
        <f t="shared" ref="AF4:AF53" si="4">AD4+AE4</f>
        <v>414629.32</v>
      </c>
      <c r="AG4" s="21" t="s">
        <v>857</v>
      </c>
      <c r="AH4" s="22" t="s">
        <v>151</v>
      </c>
      <c r="AI4" s="23">
        <v>327238.19</v>
      </c>
      <c r="AJ4" s="23">
        <v>49995.08</v>
      </c>
      <c r="AK4" s="119"/>
      <c r="XFB4" s="179">
        <f>SUM(A4:XFA4)</f>
        <v>2233494.5499995179</v>
      </c>
    </row>
    <row r="5" spans="1:37 16382:16382" s="179" customFormat="1" ht="164.25" customHeight="1" x14ac:dyDescent="0.25">
      <c r="A5" s="6">
        <v>2</v>
      </c>
      <c r="B5" s="11">
        <v>109854</v>
      </c>
      <c r="C5" s="11">
        <v>116</v>
      </c>
      <c r="D5" s="9" t="s">
        <v>1638</v>
      </c>
      <c r="E5" s="24" t="s">
        <v>277</v>
      </c>
      <c r="F5" s="11" t="s">
        <v>300</v>
      </c>
      <c r="G5" s="11" t="s">
        <v>1549</v>
      </c>
      <c r="H5" s="11" t="s">
        <v>1549</v>
      </c>
      <c r="I5" s="12" t="s">
        <v>1888</v>
      </c>
      <c r="J5" s="25">
        <v>43186</v>
      </c>
      <c r="K5" s="25">
        <v>43551</v>
      </c>
      <c r="L5" s="26">
        <f t="shared" si="0"/>
        <v>85.000000944809514</v>
      </c>
      <c r="M5" s="11">
        <v>7</v>
      </c>
      <c r="N5" s="11" t="s">
        <v>221</v>
      </c>
      <c r="O5" s="11" t="s">
        <v>301</v>
      </c>
      <c r="P5" s="27" t="s">
        <v>174</v>
      </c>
      <c r="Q5" s="11" t="s">
        <v>34</v>
      </c>
      <c r="R5" s="1">
        <f t="shared" si="1"/>
        <v>359860.9</v>
      </c>
      <c r="S5" s="2">
        <v>359860.9</v>
      </c>
      <c r="T5" s="2">
        <v>0</v>
      </c>
      <c r="U5" s="1">
        <f t="shared" si="2"/>
        <v>55037.54</v>
      </c>
      <c r="V5" s="28">
        <v>55037.54</v>
      </c>
      <c r="W5" s="28">
        <v>0</v>
      </c>
      <c r="X5" s="1">
        <f>Y5+Z5</f>
        <v>8467.32</v>
      </c>
      <c r="Y5" s="2">
        <v>8467.32</v>
      </c>
      <c r="Z5" s="2">
        <v>0</v>
      </c>
      <c r="AA5" s="2">
        <f t="shared" ref="AA5:AA11" si="5">AB5+AC5</f>
        <v>0</v>
      </c>
      <c r="AB5" s="2">
        <v>0</v>
      </c>
      <c r="AC5" s="2">
        <v>0</v>
      </c>
      <c r="AD5" s="16">
        <f t="shared" ref="AD5:AD68" si="6">R5+U5+X5+AA5</f>
        <v>423365.76</v>
      </c>
      <c r="AE5" s="2">
        <v>0</v>
      </c>
      <c r="AF5" s="2">
        <f t="shared" si="4"/>
        <v>423365.76</v>
      </c>
      <c r="AG5" s="21" t="s">
        <v>857</v>
      </c>
      <c r="AH5" s="29" t="s">
        <v>294</v>
      </c>
      <c r="AI5" s="30">
        <v>267801.62000000005</v>
      </c>
      <c r="AJ5" s="30">
        <v>40957.890000000007</v>
      </c>
    </row>
    <row r="6" spans="1:37 16382:16382" s="179" customFormat="1" ht="204.75" x14ac:dyDescent="0.25">
      <c r="A6" s="6">
        <v>3</v>
      </c>
      <c r="B6" s="31">
        <v>119560</v>
      </c>
      <c r="C6" s="11">
        <v>471</v>
      </c>
      <c r="D6" s="9" t="s">
        <v>1638</v>
      </c>
      <c r="E6" s="24" t="s">
        <v>457</v>
      </c>
      <c r="F6" s="11" t="s">
        <v>505</v>
      </c>
      <c r="G6" s="11" t="s">
        <v>504</v>
      </c>
      <c r="H6" s="11" t="s">
        <v>283</v>
      </c>
      <c r="I6" s="32" t="s">
        <v>2603</v>
      </c>
      <c r="J6" s="25">
        <v>43265</v>
      </c>
      <c r="K6" s="25">
        <v>43752</v>
      </c>
      <c r="L6" s="26">
        <f t="shared" si="0"/>
        <v>84.216178284166972</v>
      </c>
      <c r="M6" s="11">
        <v>7</v>
      </c>
      <c r="N6" s="11" t="s">
        <v>221</v>
      </c>
      <c r="O6" s="11" t="s">
        <v>506</v>
      </c>
      <c r="P6" s="27" t="s">
        <v>174</v>
      </c>
      <c r="Q6" s="11" t="s">
        <v>34</v>
      </c>
      <c r="R6" s="1">
        <f t="shared" si="1"/>
        <v>336316.07</v>
      </c>
      <c r="S6" s="2">
        <v>336316.07</v>
      </c>
      <c r="T6" s="2">
        <v>0</v>
      </c>
      <c r="U6" s="1">
        <f t="shared" si="2"/>
        <v>55045.45</v>
      </c>
      <c r="V6" s="28">
        <v>55045.45</v>
      </c>
      <c r="W6" s="28">
        <v>0</v>
      </c>
      <c r="X6" s="1">
        <f t="shared" ref="X6:X98" si="7">Y6+Z6</f>
        <v>7987.01</v>
      </c>
      <c r="Y6" s="2">
        <v>7987.01</v>
      </c>
      <c r="Z6" s="2">
        <v>0</v>
      </c>
      <c r="AA6" s="2">
        <f t="shared" si="5"/>
        <v>0</v>
      </c>
      <c r="AB6" s="2">
        <v>0</v>
      </c>
      <c r="AC6" s="2">
        <v>0</v>
      </c>
      <c r="AD6" s="16">
        <f t="shared" si="6"/>
        <v>399348.53</v>
      </c>
      <c r="AE6" s="2">
        <v>0</v>
      </c>
      <c r="AF6" s="2">
        <f t="shared" si="4"/>
        <v>399348.53</v>
      </c>
      <c r="AG6" s="21" t="s">
        <v>857</v>
      </c>
      <c r="AH6" s="29" t="s">
        <v>294</v>
      </c>
      <c r="AI6" s="30">
        <v>271156.57999999996</v>
      </c>
      <c r="AJ6" s="30">
        <v>44248.240000000005</v>
      </c>
    </row>
    <row r="7" spans="1:37 16382:16382" s="179" customFormat="1" ht="141.75" x14ac:dyDescent="0.25">
      <c r="A7" s="6">
        <v>4</v>
      </c>
      <c r="B7" s="31">
        <v>117934</v>
      </c>
      <c r="C7" s="11">
        <v>417</v>
      </c>
      <c r="D7" s="32" t="s">
        <v>1639</v>
      </c>
      <c r="E7" s="24" t="s">
        <v>507</v>
      </c>
      <c r="F7" s="11" t="s">
        <v>1889</v>
      </c>
      <c r="G7" s="11" t="s">
        <v>504</v>
      </c>
      <c r="H7" s="8" t="s">
        <v>151</v>
      </c>
      <c r="I7" s="33" t="s">
        <v>2604</v>
      </c>
      <c r="J7" s="25">
        <v>43278</v>
      </c>
      <c r="K7" s="25">
        <v>43765</v>
      </c>
      <c r="L7" s="26">
        <f t="shared" si="0"/>
        <v>84.999998780098935</v>
      </c>
      <c r="M7" s="11">
        <v>7</v>
      </c>
      <c r="N7" s="11" t="s">
        <v>221</v>
      </c>
      <c r="O7" s="11" t="s">
        <v>506</v>
      </c>
      <c r="P7" s="27" t="s">
        <v>174</v>
      </c>
      <c r="Q7" s="11" t="s">
        <v>34</v>
      </c>
      <c r="R7" s="1">
        <f>S7+T7</f>
        <v>243872.23</v>
      </c>
      <c r="S7" s="2">
        <v>243872.23</v>
      </c>
      <c r="T7" s="2">
        <v>0</v>
      </c>
      <c r="U7" s="1">
        <f t="shared" si="2"/>
        <v>37298.080000000002</v>
      </c>
      <c r="V7" s="28">
        <v>37298.080000000002</v>
      </c>
      <c r="W7" s="28">
        <v>0</v>
      </c>
      <c r="X7" s="1">
        <f t="shared" si="7"/>
        <v>5738.2</v>
      </c>
      <c r="Y7" s="2">
        <v>5738.2</v>
      </c>
      <c r="Z7" s="2">
        <v>0</v>
      </c>
      <c r="AA7" s="2">
        <f t="shared" si="5"/>
        <v>0</v>
      </c>
      <c r="AB7" s="34">
        <v>0</v>
      </c>
      <c r="AC7" s="34">
        <v>0</v>
      </c>
      <c r="AD7" s="16">
        <f t="shared" si="6"/>
        <v>286908.51</v>
      </c>
      <c r="AE7" s="2">
        <v>0</v>
      </c>
      <c r="AF7" s="2">
        <f t="shared" si="4"/>
        <v>286908.51</v>
      </c>
      <c r="AG7" s="21" t="s">
        <v>857</v>
      </c>
      <c r="AH7" s="35"/>
      <c r="AI7" s="30">
        <v>223752.58</v>
      </c>
      <c r="AJ7" s="30">
        <v>34220.97</v>
      </c>
    </row>
    <row r="8" spans="1:37 16382:16382" s="179" customFormat="1" ht="230.25" customHeight="1" x14ac:dyDescent="0.25">
      <c r="A8" s="6">
        <v>5</v>
      </c>
      <c r="B8" s="31">
        <v>118740</v>
      </c>
      <c r="C8" s="11">
        <v>436</v>
      </c>
      <c r="D8" s="32" t="s">
        <v>1639</v>
      </c>
      <c r="E8" s="24" t="s">
        <v>507</v>
      </c>
      <c r="F8" s="31" t="s">
        <v>729</v>
      </c>
      <c r="G8" s="11" t="s">
        <v>213</v>
      </c>
      <c r="H8" s="8" t="s">
        <v>151</v>
      </c>
      <c r="I8" s="32" t="s">
        <v>2605</v>
      </c>
      <c r="J8" s="25">
        <v>43321</v>
      </c>
      <c r="K8" s="25">
        <v>43808</v>
      </c>
      <c r="L8" s="26">
        <f t="shared" si="0"/>
        <v>85.000000362805537</v>
      </c>
      <c r="M8" s="11">
        <v>7</v>
      </c>
      <c r="N8" s="11" t="s">
        <v>221</v>
      </c>
      <c r="O8" s="11" t="s">
        <v>216</v>
      </c>
      <c r="P8" s="27" t="s">
        <v>174</v>
      </c>
      <c r="Q8" s="11" t="s">
        <v>34</v>
      </c>
      <c r="R8" s="1">
        <f t="shared" ref="R8:R10" si="8">S8+T8</f>
        <v>234285.28</v>
      </c>
      <c r="S8" s="2">
        <v>234285.28</v>
      </c>
      <c r="T8" s="2">
        <v>0</v>
      </c>
      <c r="U8" s="1">
        <f t="shared" si="2"/>
        <v>35831.870000000003</v>
      </c>
      <c r="V8" s="28">
        <v>35831.870000000003</v>
      </c>
      <c r="W8" s="28"/>
      <c r="X8" s="1">
        <f t="shared" si="7"/>
        <v>5512.59</v>
      </c>
      <c r="Y8" s="2">
        <v>5512.59</v>
      </c>
      <c r="Z8" s="2">
        <v>0</v>
      </c>
      <c r="AA8" s="2">
        <f t="shared" si="5"/>
        <v>0</v>
      </c>
      <c r="AB8" s="36">
        <v>0</v>
      </c>
      <c r="AC8" s="36">
        <v>0</v>
      </c>
      <c r="AD8" s="16">
        <f t="shared" si="6"/>
        <v>275629.74000000005</v>
      </c>
      <c r="AE8" s="2"/>
      <c r="AF8" s="2">
        <f t="shared" si="4"/>
        <v>275629.74000000005</v>
      </c>
      <c r="AG8" s="21" t="s">
        <v>857</v>
      </c>
      <c r="AH8" s="35"/>
      <c r="AI8" s="30">
        <v>204891.55</v>
      </c>
      <c r="AJ8" s="30">
        <v>31336.359999999997</v>
      </c>
    </row>
    <row r="9" spans="1:37 16382:16382" s="179" customFormat="1" ht="219.6" customHeight="1" x14ac:dyDescent="0.25">
      <c r="A9" s="6">
        <v>6</v>
      </c>
      <c r="B9" s="31">
        <v>119862</v>
      </c>
      <c r="C9" s="11">
        <v>483</v>
      </c>
      <c r="D9" s="9" t="s">
        <v>1638</v>
      </c>
      <c r="E9" s="11" t="s">
        <v>457</v>
      </c>
      <c r="F9" s="31" t="s">
        <v>749</v>
      </c>
      <c r="G9" s="11" t="s">
        <v>750</v>
      </c>
      <c r="H9" s="8" t="s">
        <v>151</v>
      </c>
      <c r="I9" s="32" t="s">
        <v>751</v>
      </c>
      <c r="J9" s="25">
        <v>43325</v>
      </c>
      <c r="K9" s="25">
        <v>43629</v>
      </c>
      <c r="L9" s="26">
        <f t="shared" si="0"/>
        <v>84.999998288155666</v>
      </c>
      <c r="M9" s="11">
        <v>7</v>
      </c>
      <c r="N9" s="11" t="s">
        <v>752</v>
      </c>
      <c r="O9" s="11" t="s">
        <v>753</v>
      </c>
      <c r="P9" s="27" t="s">
        <v>174</v>
      </c>
      <c r="Q9" s="11" t="s">
        <v>34</v>
      </c>
      <c r="R9" s="1">
        <f t="shared" si="8"/>
        <v>223443.21</v>
      </c>
      <c r="S9" s="2">
        <v>223443.21</v>
      </c>
      <c r="T9" s="2">
        <v>0</v>
      </c>
      <c r="U9" s="1">
        <f t="shared" si="2"/>
        <v>34173.67</v>
      </c>
      <c r="V9" s="28">
        <v>34173.67</v>
      </c>
      <c r="W9" s="28">
        <v>0</v>
      </c>
      <c r="X9" s="1">
        <f t="shared" si="7"/>
        <v>5257.4900000000007</v>
      </c>
      <c r="Y9" s="2">
        <v>5257.4900000000007</v>
      </c>
      <c r="Z9" s="2">
        <v>0</v>
      </c>
      <c r="AA9" s="2">
        <f t="shared" si="5"/>
        <v>0</v>
      </c>
      <c r="AB9" s="37">
        <v>0</v>
      </c>
      <c r="AC9" s="37">
        <v>0</v>
      </c>
      <c r="AD9" s="16">
        <f t="shared" si="6"/>
        <v>262874.37</v>
      </c>
      <c r="AE9" s="2"/>
      <c r="AF9" s="2">
        <f t="shared" si="4"/>
        <v>262874.37</v>
      </c>
      <c r="AG9" s="21" t="s">
        <v>857</v>
      </c>
      <c r="AH9" s="35"/>
      <c r="AI9" s="30">
        <v>197238.88999999998</v>
      </c>
      <c r="AJ9" s="30">
        <v>30165.95</v>
      </c>
      <c r="AK9" s="180"/>
    </row>
    <row r="10" spans="1:37 16382:16382" s="179" customFormat="1" ht="219.6" customHeight="1" x14ac:dyDescent="0.25">
      <c r="A10" s="6">
        <v>7</v>
      </c>
      <c r="B10" s="31">
        <v>126492</v>
      </c>
      <c r="C10" s="11">
        <v>568</v>
      </c>
      <c r="D10" s="9" t="s">
        <v>1638</v>
      </c>
      <c r="E10" s="11" t="s">
        <v>899</v>
      </c>
      <c r="F10" s="31" t="s">
        <v>950</v>
      </c>
      <c r="G10" s="11" t="s">
        <v>1549</v>
      </c>
      <c r="H10" s="8" t="s">
        <v>151</v>
      </c>
      <c r="I10" s="32" t="s">
        <v>1879</v>
      </c>
      <c r="J10" s="25">
        <v>43462</v>
      </c>
      <c r="K10" s="25">
        <v>44132</v>
      </c>
      <c r="L10" s="26">
        <f t="shared" si="0"/>
        <v>84.999999417414912</v>
      </c>
      <c r="M10" s="11">
        <v>7</v>
      </c>
      <c r="N10" s="11" t="s">
        <v>752</v>
      </c>
      <c r="O10" s="11" t="s">
        <v>301</v>
      </c>
      <c r="P10" s="27" t="s">
        <v>174</v>
      </c>
      <c r="Q10" s="11" t="s">
        <v>34</v>
      </c>
      <c r="R10" s="1">
        <f t="shared" si="8"/>
        <v>948359.35</v>
      </c>
      <c r="S10" s="2">
        <v>948359.35</v>
      </c>
      <c r="T10" s="2">
        <v>0</v>
      </c>
      <c r="U10" s="1">
        <f t="shared" si="2"/>
        <v>145043.20000000001</v>
      </c>
      <c r="V10" s="28">
        <v>145043.20000000001</v>
      </c>
      <c r="W10" s="28">
        <v>0</v>
      </c>
      <c r="X10" s="1">
        <f t="shared" si="7"/>
        <v>22314.34</v>
      </c>
      <c r="Y10" s="2">
        <v>22314.34</v>
      </c>
      <c r="Z10" s="2">
        <v>0</v>
      </c>
      <c r="AA10" s="2">
        <f t="shared" si="5"/>
        <v>0</v>
      </c>
      <c r="AB10" s="37">
        <v>0</v>
      </c>
      <c r="AC10" s="37">
        <v>0</v>
      </c>
      <c r="AD10" s="16">
        <f t="shared" si="6"/>
        <v>1115716.8900000001</v>
      </c>
      <c r="AE10" s="2"/>
      <c r="AF10" s="2">
        <f t="shared" si="4"/>
        <v>1115716.8900000001</v>
      </c>
      <c r="AG10" s="38" t="s">
        <v>857</v>
      </c>
      <c r="AH10" s="35" t="s">
        <v>1594</v>
      </c>
      <c r="AI10" s="30">
        <f>596988.87+37314.15+135631.95+85902.49</f>
        <v>855837.46</v>
      </c>
      <c r="AJ10" s="30">
        <f>91304.18+5706.87+20743.71+13138.03</f>
        <v>130892.78999999998</v>
      </c>
    </row>
    <row r="11" spans="1:37 16382:16382" s="179" customFormat="1" ht="294.75" customHeight="1" x14ac:dyDescent="0.25">
      <c r="A11" s="6">
        <v>8</v>
      </c>
      <c r="B11" s="31">
        <v>126520</v>
      </c>
      <c r="C11" s="11">
        <v>550</v>
      </c>
      <c r="D11" s="9" t="s">
        <v>1638</v>
      </c>
      <c r="E11" s="11" t="s">
        <v>899</v>
      </c>
      <c r="F11" s="31" t="s">
        <v>973</v>
      </c>
      <c r="G11" s="11" t="s">
        <v>750</v>
      </c>
      <c r="H11" s="8" t="s">
        <v>151</v>
      </c>
      <c r="I11" s="33" t="s">
        <v>974</v>
      </c>
      <c r="J11" s="25">
        <v>43504</v>
      </c>
      <c r="K11" s="25">
        <v>44294</v>
      </c>
      <c r="L11" s="26">
        <f t="shared" si="0"/>
        <v>84.999999104679475</v>
      </c>
      <c r="M11" s="11">
        <v>7</v>
      </c>
      <c r="N11" s="11" t="s">
        <v>752</v>
      </c>
      <c r="O11" s="11" t="s">
        <v>301</v>
      </c>
      <c r="P11" s="27" t="s">
        <v>174</v>
      </c>
      <c r="Q11" s="11" t="s">
        <v>34</v>
      </c>
      <c r="R11" s="1">
        <f t="shared" ref="R11:R14" si="9">S11+T11</f>
        <v>2231044.54</v>
      </c>
      <c r="S11" s="2">
        <v>2231044.54</v>
      </c>
      <c r="T11" s="2">
        <v>0</v>
      </c>
      <c r="U11" s="1">
        <f t="shared" si="2"/>
        <v>341218.6</v>
      </c>
      <c r="V11" s="28">
        <v>341218.6</v>
      </c>
      <c r="W11" s="28">
        <v>0</v>
      </c>
      <c r="X11" s="1">
        <f t="shared" si="7"/>
        <v>52495.17</v>
      </c>
      <c r="Y11" s="2">
        <v>52495.17</v>
      </c>
      <c r="Z11" s="2">
        <v>0</v>
      </c>
      <c r="AA11" s="2">
        <f t="shared" si="5"/>
        <v>0</v>
      </c>
      <c r="AB11" s="37">
        <v>0</v>
      </c>
      <c r="AC11" s="37">
        <v>0</v>
      </c>
      <c r="AD11" s="16">
        <f t="shared" si="6"/>
        <v>2624758.31</v>
      </c>
      <c r="AE11" s="2"/>
      <c r="AF11" s="2">
        <f t="shared" si="4"/>
        <v>2624758.31</v>
      </c>
      <c r="AG11" s="38" t="s">
        <v>857</v>
      </c>
      <c r="AH11" s="38" t="s">
        <v>1107</v>
      </c>
      <c r="AI11" s="30">
        <f>1036154.83+266876.43+120061.79+31991.73+36553.52</f>
        <v>1491638.3</v>
      </c>
      <c r="AJ11" s="30">
        <f>158470.74+40816.4+18362.4+4892.85+5590.54</f>
        <v>228132.93</v>
      </c>
    </row>
    <row r="12" spans="1:37 16382:16382" s="179" customFormat="1" ht="294.75" customHeight="1" x14ac:dyDescent="0.25">
      <c r="A12" s="6">
        <v>9</v>
      </c>
      <c r="B12" s="31">
        <v>126539</v>
      </c>
      <c r="C12" s="11">
        <v>574</v>
      </c>
      <c r="D12" s="9" t="s">
        <v>1638</v>
      </c>
      <c r="E12" s="11" t="s">
        <v>899</v>
      </c>
      <c r="F12" s="31" t="s">
        <v>1021</v>
      </c>
      <c r="G12" s="11" t="s">
        <v>213</v>
      </c>
      <c r="H12" s="8" t="s">
        <v>151</v>
      </c>
      <c r="I12" s="33" t="s">
        <v>2606</v>
      </c>
      <c r="J12" s="25">
        <v>43552</v>
      </c>
      <c r="K12" s="25">
        <v>44467</v>
      </c>
      <c r="L12" s="26">
        <f t="shared" si="0"/>
        <v>85.000000056453686</v>
      </c>
      <c r="M12" s="11">
        <v>7</v>
      </c>
      <c r="N12" s="11" t="s">
        <v>221</v>
      </c>
      <c r="O12" s="11" t="s">
        <v>216</v>
      </c>
      <c r="P12" s="27" t="s">
        <v>174</v>
      </c>
      <c r="Q12" s="11" t="s">
        <v>34</v>
      </c>
      <c r="R12" s="1">
        <f t="shared" si="9"/>
        <v>3011318.02</v>
      </c>
      <c r="S12" s="2">
        <v>3011318.02</v>
      </c>
      <c r="T12" s="2">
        <v>0</v>
      </c>
      <c r="U12" s="1">
        <f t="shared" si="2"/>
        <v>460554.52</v>
      </c>
      <c r="V12" s="28">
        <v>460554.52</v>
      </c>
      <c r="W12" s="28">
        <v>0</v>
      </c>
      <c r="X12" s="1">
        <f t="shared" si="7"/>
        <v>70854.539999999994</v>
      </c>
      <c r="Y12" s="2">
        <v>70854.539999999994</v>
      </c>
      <c r="Z12" s="2">
        <v>0</v>
      </c>
      <c r="AA12" s="2">
        <f>AB12+AC12</f>
        <v>0</v>
      </c>
      <c r="AB12" s="37">
        <v>0</v>
      </c>
      <c r="AC12" s="37">
        <v>0</v>
      </c>
      <c r="AD12" s="16">
        <f t="shared" si="6"/>
        <v>3542727.08</v>
      </c>
      <c r="AE12" s="2">
        <v>65688</v>
      </c>
      <c r="AF12" s="2">
        <f t="shared" si="4"/>
        <v>3608415.08</v>
      </c>
      <c r="AG12" s="38" t="s">
        <v>857</v>
      </c>
      <c r="AH12" s="38" t="s">
        <v>151</v>
      </c>
      <c r="AI12" s="30">
        <f>254185.09+31457.65+24031.2+22651.14+23082.6+834624.57+1453443.29</f>
        <v>2643475.54</v>
      </c>
      <c r="AJ12" s="30">
        <f>38875.36+4811.17+3675.36+3464.29+3530.28+127648.46+222291.34</f>
        <v>404296.26</v>
      </c>
    </row>
    <row r="13" spans="1:37 16382:16382" s="179" customFormat="1" ht="236.25" x14ac:dyDescent="0.25">
      <c r="A13" s="6">
        <v>10</v>
      </c>
      <c r="B13" s="31">
        <v>126063</v>
      </c>
      <c r="C13" s="11">
        <v>512</v>
      </c>
      <c r="D13" s="9" t="s">
        <v>1638</v>
      </c>
      <c r="E13" s="11" t="s">
        <v>899</v>
      </c>
      <c r="F13" s="31" t="s">
        <v>1027</v>
      </c>
      <c r="G13" s="11" t="s">
        <v>504</v>
      </c>
      <c r="H13" s="11" t="s">
        <v>636</v>
      </c>
      <c r="I13" s="33" t="s">
        <v>2607</v>
      </c>
      <c r="J13" s="25">
        <v>43552</v>
      </c>
      <c r="K13" s="25">
        <v>44740</v>
      </c>
      <c r="L13" s="26">
        <f t="shared" si="0"/>
        <v>84.460725488426988</v>
      </c>
      <c r="M13" s="11">
        <v>7</v>
      </c>
      <c r="N13" s="11" t="s">
        <v>221</v>
      </c>
      <c r="O13" s="11" t="s">
        <v>506</v>
      </c>
      <c r="P13" s="27" t="s">
        <v>174</v>
      </c>
      <c r="Q13" s="11" t="s">
        <v>34</v>
      </c>
      <c r="R13" s="1">
        <f t="shared" si="9"/>
        <v>2848176.35</v>
      </c>
      <c r="S13" s="2">
        <v>2848176.35</v>
      </c>
      <c r="T13" s="2">
        <v>0</v>
      </c>
      <c r="U13" s="1">
        <f t="shared" si="2"/>
        <v>456570.1</v>
      </c>
      <c r="V13" s="28">
        <v>456570.1</v>
      </c>
      <c r="W13" s="28">
        <v>0</v>
      </c>
      <c r="X13" s="1">
        <f t="shared" si="7"/>
        <v>46049.22</v>
      </c>
      <c r="Y13" s="2">
        <v>46049.22</v>
      </c>
      <c r="Z13" s="2">
        <v>0</v>
      </c>
      <c r="AA13" s="2">
        <f t="shared" ref="AA13:AA14" si="10">AB13+AC13</f>
        <v>21394.58</v>
      </c>
      <c r="AB13" s="37">
        <v>21394.58</v>
      </c>
      <c r="AC13" s="37">
        <v>0</v>
      </c>
      <c r="AD13" s="16">
        <f t="shared" si="6"/>
        <v>3372190.2500000005</v>
      </c>
      <c r="AE13" s="2">
        <v>0</v>
      </c>
      <c r="AF13" s="2">
        <f t="shared" si="4"/>
        <v>3372190.2500000005</v>
      </c>
      <c r="AG13" s="38" t="s">
        <v>857</v>
      </c>
      <c r="AH13" s="38" t="s">
        <v>1776</v>
      </c>
      <c r="AI13" s="30">
        <f>746401.81-6086.31+287473.55+59837.21+61023.45+435280.65+86771.92-15305.18+74534.23-304.29+54393.09+37331.36+698438.95-7111.45+26350.08+309147.28-64405.77</f>
        <v>2783770.5799999996</v>
      </c>
      <c r="AJ13" s="30">
        <f>86363.65+15926.41+11939.57+10559.52+29480.6+48234.8+15312.68+15305.18+11863.7+304.29+11488.85+9249.5+88842.51+7111.45+48493.25+35908.6</f>
        <v>446384.56</v>
      </c>
    </row>
    <row r="14" spans="1:37 16382:16382" s="179" customFormat="1" ht="141.75" x14ac:dyDescent="0.25">
      <c r="A14" s="6">
        <v>11</v>
      </c>
      <c r="B14" s="31">
        <v>128599</v>
      </c>
      <c r="C14" s="11">
        <v>637</v>
      </c>
      <c r="D14" s="9" t="s">
        <v>1638</v>
      </c>
      <c r="E14" s="11" t="s">
        <v>1071</v>
      </c>
      <c r="F14" s="31" t="s">
        <v>1110</v>
      </c>
      <c r="G14" s="11" t="s">
        <v>1549</v>
      </c>
      <c r="H14" s="8" t="s">
        <v>151</v>
      </c>
      <c r="I14" s="33" t="s">
        <v>1880</v>
      </c>
      <c r="J14" s="25">
        <v>43634</v>
      </c>
      <c r="K14" s="25">
        <v>44669</v>
      </c>
      <c r="L14" s="26">
        <f t="shared" si="0"/>
        <v>85</v>
      </c>
      <c r="M14" s="11">
        <v>7</v>
      </c>
      <c r="N14" s="11" t="s">
        <v>752</v>
      </c>
      <c r="O14" s="11" t="s">
        <v>301</v>
      </c>
      <c r="P14" s="27" t="s">
        <v>174</v>
      </c>
      <c r="Q14" s="11" t="s">
        <v>34</v>
      </c>
      <c r="R14" s="1">
        <f t="shared" si="9"/>
        <v>848667.88</v>
      </c>
      <c r="S14" s="2">
        <v>848667.88</v>
      </c>
      <c r="T14" s="2">
        <v>0</v>
      </c>
      <c r="U14" s="1">
        <f t="shared" si="2"/>
        <v>129796.26</v>
      </c>
      <c r="V14" s="28">
        <v>129796.26</v>
      </c>
      <c r="W14" s="28">
        <v>0</v>
      </c>
      <c r="X14" s="1">
        <f t="shared" si="7"/>
        <v>19968.66</v>
      </c>
      <c r="Y14" s="2">
        <v>19968.66</v>
      </c>
      <c r="Z14" s="2">
        <v>0</v>
      </c>
      <c r="AA14" s="2">
        <f t="shared" si="10"/>
        <v>0</v>
      </c>
      <c r="AB14" s="37">
        <v>0</v>
      </c>
      <c r="AC14" s="37">
        <v>0</v>
      </c>
      <c r="AD14" s="16">
        <f t="shared" si="6"/>
        <v>998432.8</v>
      </c>
      <c r="AE14" s="2">
        <v>0</v>
      </c>
      <c r="AF14" s="2">
        <f t="shared" si="4"/>
        <v>998432.8</v>
      </c>
      <c r="AG14" s="38" t="s">
        <v>857</v>
      </c>
      <c r="AH14" s="38" t="s">
        <v>1839</v>
      </c>
      <c r="AI14" s="30">
        <f>81051.49+105245.93+35474.75+122545.35+82881.8+82103.2+44512.8+45398.5+225652.73</f>
        <v>824866.55</v>
      </c>
      <c r="AJ14" s="30">
        <f>8948.51+19544.04+5425.55+18742.23+12676.04+12556.96+6807.84+6943.3+34511.59</f>
        <v>126156.06</v>
      </c>
    </row>
    <row r="15" spans="1:37 16382:16382" s="179" customFormat="1" ht="409.5" x14ac:dyDescent="0.25">
      <c r="A15" s="6">
        <v>12</v>
      </c>
      <c r="B15" s="31">
        <v>135372</v>
      </c>
      <c r="C15" s="11">
        <v>802</v>
      </c>
      <c r="D15" s="9" t="s">
        <v>1638</v>
      </c>
      <c r="E15" s="24" t="s">
        <v>1441</v>
      </c>
      <c r="F15" s="31" t="s">
        <v>1442</v>
      </c>
      <c r="G15" s="11" t="s">
        <v>750</v>
      </c>
      <c r="H15" s="8" t="s">
        <v>151</v>
      </c>
      <c r="I15" s="12" t="s">
        <v>1881</v>
      </c>
      <c r="J15" s="25">
        <v>43949</v>
      </c>
      <c r="K15" s="25">
        <v>45044</v>
      </c>
      <c r="L15" s="26">
        <f t="shared" si="0"/>
        <v>84.99999988061586</v>
      </c>
      <c r="M15" s="11">
        <v>7</v>
      </c>
      <c r="N15" s="11" t="s">
        <v>752</v>
      </c>
      <c r="O15" s="11" t="s">
        <v>750</v>
      </c>
      <c r="P15" s="27" t="s">
        <v>174</v>
      </c>
      <c r="Q15" s="11" t="s">
        <v>34</v>
      </c>
      <c r="R15" s="2">
        <f>S15+T15</f>
        <v>2847949.34</v>
      </c>
      <c r="S15" s="2">
        <v>2847949.34</v>
      </c>
      <c r="T15" s="2">
        <v>0</v>
      </c>
      <c r="U15" s="1">
        <f t="shared" si="2"/>
        <v>435568.73</v>
      </c>
      <c r="V15" s="28">
        <v>435568.73</v>
      </c>
      <c r="W15" s="28">
        <v>0</v>
      </c>
      <c r="X15" s="1">
        <f t="shared" si="7"/>
        <v>67010.570000000007</v>
      </c>
      <c r="Y15" s="2">
        <v>67010.570000000007</v>
      </c>
      <c r="Z15" s="2">
        <v>0</v>
      </c>
      <c r="AA15" s="2">
        <f>AB15+AC15</f>
        <v>0</v>
      </c>
      <c r="AB15" s="2">
        <v>0</v>
      </c>
      <c r="AC15" s="2">
        <v>0</v>
      </c>
      <c r="AD15" s="16">
        <f t="shared" si="6"/>
        <v>3350528.6399999997</v>
      </c>
      <c r="AE15" s="2">
        <v>76569.36</v>
      </c>
      <c r="AF15" s="2">
        <f t="shared" si="4"/>
        <v>3427097.9999999995</v>
      </c>
      <c r="AG15" s="38" t="s">
        <v>486</v>
      </c>
      <c r="AH15" s="38" t="s">
        <v>2348</v>
      </c>
      <c r="AI15" s="30">
        <f>17501.5+29868.15+334717.81-23634.13+656644.35+379213.57+161193.15+10857.05+111277.9+303475.92-9225.81+94123.65</f>
        <v>2066013.1099999996</v>
      </c>
      <c r="AJ15" s="30">
        <f>2676.7+4568.07+23634.13+124371.34+57997.36+24653.07+1660.49+17018.98+31524.08+9225.81+18648.44</f>
        <v>315978.46999999997</v>
      </c>
    </row>
    <row r="16" spans="1:37 16382:16382" s="179" customFormat="1" ht="236.25" x14ac:dyDescent="0.25">
      <c r="A16" s="6">
        <v>13</v>
      </c>
      <c r="B16" s="31">
        <v>136003</v>
      </c>
      <c r="C16" s="11">
        <v>773</v>
      </c>
      <c r="D16" s="9" t="s">
        <v>1638</v>
      </c>
      <c r="E16" s="24" t="s">
        <v>1441</v>
      </c>
      <c r="F16" s="31" t="s">
        <v>1543</v>
      </c>
      <c r="G16" s="11" t="s">
        <v>504</v>
      </c>
      <c r="H16" s="8" t="s">
        <v>151</v>
      </c>
      <c r="I16" s="12" t="s">
        <v>2608</v>
      </c>
      <c r="J16" s="25">
        <v>44001</v>
      </c>
      <c r="K16" s="25">
        <v>44823</v>
      </c>
      <c r="L16" s="26">
        <f t="shared" si="0"/>
        <v>84.999999794981022</v>
      </c>
      <c r="M16" s="11">
        <v>7</v>
      </c>
      <c r="N16" s="11" t="s">
        <v>752</v>
      </c>
      <c r="O16" s="11" t="s">
        <v>504</v>
      </c>
      <c r="P16" s="27" t="s">
        <v>174</v>
      </c>
      <c r="Q16" s="11" t="s">
        <v>34</v>
      </c>
      <c r="R16" s="2">
        <f>S16+T16</f>
        <v>2280276.66</v>
      </c>
      <c r="S16" s="2">
        <v>2280276.66</v>
      </c>
      <c r="T16" s="2">
        <v>0</v>
      </c>
      <c r="U16" s="1">
        <f t="shared" si="2"/>
        <v>348748.2</v>
      </c>
      <c r="V16" s="28">
        <v>348748.2</v>
      </c>
      <c r="W16" s="28">
        <v>0</v>
      </c>
      <c r="X16" s="1">
        <f t="shared" si="7"/>
        <v>53653.57</v>
      </c>
      <c r="Y16" s="2">
        <v>53653.57</v>
      </c>
      <c r="Z16" s="2">
        <v>0</v>
      </c>
      <c r="AA16" s="2">
        <f>AB16+AC16</f>
        <v>0</v>
      </c>
      <c r="AB16" s="2">
        <v>0</v>
      </c>
      <c r="AC16" s="2">
        <v>0</v>
      </c>
      <c r="AD16" s="16">
        <f t="shared" si="6"/>
        <v>2682678.4300000002</v>
      </c>
      <c r="AE16" s="2">
        <v>0</v>
      </c>
      <c r="AF16" s="2">
        <f t="shared" si="4"/>
        <v>2682678.4300000002</v>
      </c>
      <c r="AG16" s="38" t="s">
        <v>857</v>
      </c>
      <c r="AH16" s="38" t="s">
        <v>1920</v>
      </c>
      <c r="AI16" s="30">
        <f>138492.45+0+43604.62+35902.3+1476161.93</f>
        <v>1694161.2999999998</v>
      </c>
      <c r="AJ16" s="30">
        <f>21181.2+0+6668.94+5490.94+225765.95</f>
        <v>259107.03000000003</v>
      </c>
    </row>
    <row r="17" spans="1:36" s="179" customFormat="1" ht="141.75" x14ac:dyDescent="0.25">
      <c r="A17" s="6">
        <v>14</v>
      </c>
      <c r="B17" s="31">
        <v>136237</v>
      </c>
      <c r="C17" s="11">
        <v>810</v>
      </c>
      <c r="D17" s="9" t="s">
        <v>1638</v>
      </c>
      <c r="E17" s="24" t="s">
        <v>1441</v>
      </c>
      <c r="F17" s="31" t="s">
        <v>1890</v>
      </c>
      <c r="G17" s="11" t="s">
        <v>1549</v>
      </c>
      <c r="H17" s="8" t="s">
        <v>151</v>
      </c>
      <c r="I17" s="12" t="s">
        <v>1550</v>
      </c>
      <c r="J17" s="25">
        <v>43998</v>
      </c>
      <c r="K17" s="25">
        <v>44608</v>
      </c>
      <c r="L17" s="26">
        <f t="shared" si="0"/>
        <v>85</v>
      </c>
      <c r="M17" s="11">
        <v>7</v>
      </c>
      <c r="N17" s="11" t="s">
        <v>752</v>
      </c>
      <c r="O17" s="11" t="s">
        <v>1549</v>
      </c>
      <c r="P17" s="27" t="s">
        <v>174</v>
      </c>
      <c r="Q17" s="11" t="s">
        <v>34</v>
      </c>
      <c r="R17" s="2">
        <f>S17+T17</f>
        <v>834599.19</v>
      </c>
      <c r="S17" s="2">
        <v>834599.19</v>
      </c>
      <c r="T17" s="2">
        <v>0</v>
      </c>
      <c r="U17" s="1">
        <f t="shared" si="2"/>
        <v>127644.59</v>
      </c>
      <c r="V17" s="28">
        <v>127644.59</v>
      </c>
      <c r="W17" s="28">
        <v>0</v>
      </c>
      <c r="X17" s="1">
        <f t="shared" si="7"/>
        <v>19637.62</v>
      </c>
      <c r="Y17" s="2">
        <v>19637.62</v>
      </c>
      <c r="Z17" s="2">
        <v>0</v>
      </c>
      <c r="AA17" s="2">
        <f>AB17+AC17</f>
        <v>0</v>
      </c>
      <c r="AB17" s="2">
        <v>0</v>
      </c>
      <c r="AC17" s="2">
        <v>0</v>
      </c>
      <c r="AD17" s="16">
        <f t="shared" si="6"/>
        <v>981881.39999999991</v>
      </c>
      <c r="AE17" s="2">
        <v>0</v>
      </c>
      <c r="AF17" s="2">
        <f t="shared" si="4"/>
        <v>981881.39999999991</v>
      </c>
      <c r="AG17" s="38" t="s">
        <v>857</v>
      </c>
      <c r="AH17" s="38" t="s">
        <v>1913</v>
      </c>
      <c r="AI17" s="30">
        <f>62006.65+123779-12443.6-3551.15+123779-12163.84+142914.24-7333.3+345870.45+57117.49</f>
        <v>819974.94</v>
      </c>
      <c r="AJ17" s="30">
        <f>9483.37+12443.6+4041.05+12163.84+7833.28+7333.3+44442.97+27666.53</f>
        <v>125407.94</v>
      </c>
    </row>
    <row r="18" spans="1:36" s="179" customFormat="1" ht="141.75" x14ac:dyDescent="0.25">
      <c r="A18" s="6">
        <v>15</v>
      </c>
      <c r="B18" s="31">
        <v>136017</v>
      </c>
      <c r="C18" s="11">
        <v>855</v>
      </c>
      <c r="D18" s="9" t="s">
        <v>1638</v>
      </c>
      <c r="E18" s="24" t="s">
        <v>1441</v>
      </c>
      <c r="F18" s="31" t="s">
        <v>1581</v>
      </c>
      <c r="G18" s="11" t="s">
        <v>213</v>
      </c>
      <c r="H18" s="8" t="s">
        <v>151</v>
      </c>
      <c r="I18" s="12" t="s">
        <v>1582</v>
      </c>
      <c r="J18" s="25">
        <v>44021</v>
      </c>
      <c r="K18" s="25">
        <v>45116</v>
      </c>
      <c r="L18" s="26">
        <f t="shared" si="0"/>
        <v>85.000000121607897</v>
      </c>
      <c r="M18" s="11">
        <v>7</v>
      </c>
      <c r="N18" s="11" t="s">
        <v>752</v>
      </c>
      <c r="O18" s="11" t="s">
        <v>216</v>
      </c>
      <c r="P18" s="27" t="s">
        <v>174</v>
      </c>
      <c r="Q18" s="11" t="s">
        <v>34</v>
      </c>
      <c r="R18" s="2">
        <f>S18+T18</f>
        <v>2096903.27</v>
      </c>
      <c r="S18" s="2">
        <v>2096903.27</v>
      </c>
      <c r="T18" s="2">
        <v>0</v>
      </c>
      <c r="U18" s="1">
        <f t="shared" si="2"/>
        <v>320702.84999999998</v>
      </c>
      <c r="V18" s="28">
        <v>320702.84999999998</v>
      </c>
      <c r="W18" s="28">
        <v>0</v>
      </c>
      <c r="X18" s="1">
        <f t="shared" si="7"/>
        <v>49338.9</v>
      </c>
      <c r="Y18" s="2">
        <v>49338.9</v>
      </c>
      <c r="Z18" s="2">
        <v>0</v>
      </c>
      <c r="AA18" s="2">
        <f>AB18+AC18</f>
        <v>0</v>
      </c>
      <c r="AB18" s="2">
        <v>0</v>
      </c>
      <c r="AC18" s="2">
        <v>0</v>
      </c>
      <c r="AD18" s="16">
        <f t="shared" si="6"/>
        <v>2466945.02</v>
      </c>
      <c r="AE18" s="2">
        <v>0</v>
      </c>
      <c r="AF18" s="2">
        <f t="shared" si="4"/>
        <v>2466945.02</v>
      </c>
      <c r="AG18" s="38" t="s">
        <v>486</v>
      </c>
      <c r="AH18" s="38" t="s">
        <v>2547</v>
      </c>
      <c r="AI18" s="30">
        <f>23885+52537.57+46083.6+77627.1+46472.05+31201.8+35294.55</f>
        <v>313101.67</v>
      </c>
      <c r="AJ18" s="30">
        <f>3653+8035.15+7048.08+11872.38+7107.49+4772.04+5397.99</f>
        <v>47886.13</v>
      </c>
    </row>
    <row r="19" spans="1:36" s="179" customFormat="1" ht="189" x14ac:dyDescent="0.25">
      <c r="A19" s="6">
        <v>16</v>
      </c>
      <c r="B19" s="31">
        <v>152084</v>
      </c>
      <c r="C19" s="11">
        <v>1130</v>
      </c>
      <c r="D19" s="9" t="s">
        <v>1639</v>
      </c>
      <c r="E19" s="24" t="s">
        <v>1801</v>
      </c>
      <c r="F19" s="31" t="s">
        <v>1933</v>
      </c>
      <c r="G19" s="11" t="s">
        <v>1549</v>
      </c>
      <c r="H19" s="11" t="s">
        <v>1934</v>
      </c>
      <c r="I19" s="12" t="s">
        <v>2609</v>
      </c>
      <c r="J19" s="25">
        <v>44543</v>
      </c>
      <c r="K19" s="25">
        <v>45029</v>
      </c>
      <c r="L19" s="26">
        <f t="shared" si="0"/>
        <v>85.000001326025981</v>
      </c>
      <c r="M19" s="11">
        <v>7</v>
      </c>
      <c r="N19" s="11" t="s">
        <v>752</v>
      </c>
      <c r="O19" s="11" t="s">
        <v>301</v>
      </c>
      <c r="P19" s="27" t="s">
        <v>174</v>
      </c>
      <c r="Q19" s="11" t="s">
        <v>34</v>
      </c>
      <c r="R19" s="2">
        <f>S19+T19</f>
        <v>352557.2</v>
      </c>
      <c r="S19" s="2">
        <v>352557.2</v>
      </c>
      <c r="T19" s="2">
        <v>0</v>
      </c>
      <c r="U19" s="1">
        <f t="shared" si="2"/>
        <v>43500.86</v>
      </c>
      <c r="V19" s="28">
        <v>43500.86</v>
      </c>
      <c r="W19" s="28">
        <v>0</v>
      </c>
      <c r="X19" s="1">
        <f t="shared" si="7"/>
        <v>18715.11</v>
      </c>
      <c r="Y19" s="2">
        <v>18715.11</v>
      </c>
      <c r="Z19" s="2">
        <v>0</v>
      </c>
      <c r="AA19" s="2">
        <f>AB19+AC19</f>
        <v>0</v>
      </c>
      <c r="AB19" s="2">
        <v>0</v>
      </c>
      <c r="AC19" s="2">
        <v>0</v>
      </c>
      <c r="AD19" s="16">
        <f t="shared" si="6"/>
        <v>414773.17</v>
      </c>
      <c r="AE19" s="2">
        <v>0</v>
      </c>
      <c r="AF19" s="2">
        <f t="shared" si="4"/>
        <v>414773.17</v>
      </c>
      <c r="AG19" s="38" t="s">
        <v>486</v>
      </c>
      <c r="AH19" s="35"/>
      <c r="AI19" s="30">
        <f>47624.85</f>
        <v>47624.85</v>
      </c>
      <c r="AJ19" s="30">
        <f>5671.15</f>
        <v>5671.15</v>
      </c>
    </row>
    <row r="20" spans="1:36" s="179" customFormat="1" ht="141.75" x14ac:dyDescent="0.25">
      <c r="A20" s="6">
        <v>17</v>
      </c>
      <c r="B20" s="31">
        <v>120637</v>
      </c>
      <c r="C20" s="11">
        <v>86</v>
      </c>
      <c r="D20" s="9" t="s">
        <v>1638</v>
      </c>
      <c r="E20" s="24" t="s">
        <v>277</v>
      </c>
      <c r="F20" s="11" t="s">
        <v>228</v>
      </c>
      <c r="G20" s="11" t="s">
        <v>229</v>
      </c>
      <c r="H20" s="8" t="s">
        <v>151</v>
      </c>
      <c r="I20" s="12" t="s">
        <v>2610</v>
      </c>
      <c r="J20" s="25">
        <v>43145</v>
      </c>
      <c r="K20" s="25">
        <v>43510</v>
      </c>
      <c r="L20" s="26">
        <f t="shared" si="0"/>
        <v>85.000001183738732</v>
      </c>
      <c r="M20" s="11">
        <v>5</v>
      </c>
      <c r="N20" s="11" t="s">
        <v>230</v>
      </c>
      <c r="O20" s="11" t="s">
        <v>230</v>
      </c>
      <c r="P20" s="27" t="s">
        <v>174</v>
      </c>
      <c r="Q20" s="11" t="s">
        <v>34</v>
      </c>
      <c r="R20" s="2">
        <f t="shared" ref="R20:R22" si="11">S20+T20</f>
        <v>359031.93</v>
      </c>
      <c r="S20" s="39">
        <v>359031.93</v>
      </c>
      <c r="T20" s="2">
        <v>0</v>
      </c>
      <c r="U20" s="1">
        <f t="shared" si="2"/>
        <v>54910.76</v>
      </c>
      <c r="V20" s="28">
        <v>54910.76</v>
      </c>
      <c r="W20" s="28">
        <v>0</v>
      </c>
      <c r="X20" s="1">
        <f t="shared" si="7"/>
        <v>8447.81</v>
      </c>
      <c r="Y20" s="2">
        <v>8447.81</v>
      </c>
      <c r="Z20" s="2">
        <v>0</v>
      </c>
      <c r="AA20" s="2">
        <f>AB20+AC20</f>
        <v>0</v>
      </c>
      <c r="AB20" s="2">
        <v>0</v>
      </c>
      <c r="AC20" s="2">
        <v>0</v>
      </c>
      <c r="AD20" s="16">
        <f t="shared" si="6"/>
        <v>422390.5</v>
      </c>
      <c r="AE20" s="2">
        <v>0</v>
      </c>
      <c r="AF20" s="2">
        <f t="shared" si="4"/>
        <v>422390.5</v>
      </c>
      <c r="AG20" s="21" t="s">
        <v>857</v>
      </c>
      <c r="AH20" s="29" t="s">
        <v>151</v>
      </c>
      <c r="AI20" s="30">
        <v>282511.96000000002</v>
      </c>
      <c r="AJ20" s="30">
        <v>43207.69</v>
      </c>
    </row>
    <row r="21" spans="1:36" s="179" customFormat="1" ht="141.75" x14ac:dyDescent="0.25">
      <c r="A21" s="6">
        <v>18</v>
      </c>
      <c r="B21" s="31">
        <v>119520</v>
      </c>
      <c r="C21" s="31">
        <v>465</v>
      </c>
      <c r="D21" s="9" t="s">
        <v>1638</v>
      </c>
      <c r="E21" s="32" t="s">
        <v>457</v>
      </c>
      <c r="F21" s="11" t="s">
        <v>619</v>
      </c>
      <c r="G21" s="11" t="s">
        <v>620</v>
      </c>
      <c r="H21" s="8" t="s">
        <v>151</v>
      </c>
      <c r="I21" s="32" t="s">
        <v>1882</v>
      </c>
      <c r="J21" s="25">
        <v>43292</v>
      </c>
      <c r="K21" s="25">
        <v>44176</v>
      </c>
      <c r="L21" s="26">
        <f t="shared" si="0"/>
        <v>85.000019787644845</v>
      </c>
      <c r="M21" s="40">
        <v>5</v>
      </c>
      <c r="N21" s="11" t="s">
        <v>230</v>
      </c>
      <c r="O21" s="11" t="s">
        <v>230</v>
      </c>
      <c r="P21" s="40" t="s">
        <v>174</v>
      </c>
      <c r="Q21" s="11" t="s">
        <v>34</v>
      </c>
      <c r="R21" s="2">
        <f t="shared" si="11"/>
        <v>231962.98</v>
      </c>
      <c r="S21" s="30">
        <v>231962.98</v>
      </c>
      <c r="T21" s="41">
        <v>0</v>
      </c>
      <c r="U21" s="1">
        <f t="shared" si="2"/>
        <v>35476.620000000003</v>
      </c>
      <c r="V21" s="42">
        <v>35476.620000000003</v>
      </c>
      <c r="W21" s="42">
        <v>0</v>
      </c>
      <c r="X21" s="1">
        <f t="shared" si="7"/>
        <v>5457.96</v>
      </c>
      <c r="Y21" s="30">
        <v>5457.96</v>
      </c>
      <c r="Z21" s="30">
        <v>0</v>
      </c>
      <c r="AA21" s="2">
        <f t="shared" ref="AA21:AA22" si="12">AB21+AC21</f>
        <v>0</v>
      </c>
      <c r="AB21" s="37">
        <v>0</v>
      </c>
      <c r="AC21" s="37">
        <v>0</v>
      </c>
      <c r="AD21" s="16">
        <f t="shared" si="6"/>
        <v>272897.56000000006</v>
      </c>
      <c r="AE21" s="35">
        <v>0</v>
      </c>
      <c r="AF21" s="2">
        <f t="shared" si="4"/>
        <v>272897.56000000006</v>
      </c>
      <c r="AG21" s="38" t="s">
        <v>857</v>
      </c>
      <c r="AH21" s="38" t="s">
        <v>1347</v>
      </c>
      <c r="AI21" s="30">
        <f>152403.68+22268.18</f>
        <v>174671.86</v>
      </c>
      <c r="AJ21" s="30">
        <f>23308.79+3405.71</f>
        <v>26714.5</v>
      </c>
    </row>
    <row r="22" spans="1:36" s="179" customFormat="1" ht="141.75" x14ac:dyDescent="0.25">
      <c r="A22" s="6">
        <v>19</v>
      </c>
      <c r="B22" s="31">
        <v>116692</v>
      </c>
      <c r="C22" s="11">
        <v>408</v>
      </c>
      <c r="D22" s="32" t="s">
        <v>1639</v>
      </c>
      <c r="E22" s="32" t="s">
        <v>507</v>
      </c>
      <c r="F22" s="11" t="s">
        <v>730</v>
      </c>
      <c r="G22" s="11" t="s">
        <v>620</v>
      </c>
      <c r="H22" s="8" t="s">
        <v>151</v>
      </c>
      <c r="I22" s="43" t="s">
        <v>731</v>
      </c>
      <c r="J22" s="25">
        <v>43321</v>
      </c>
      <c r="K22" s="25">
        <v>43899</v>
      </c>
      <c r="L22" s="26">
        <f t="shared" si="0"/>
        <v>85.000000534892237</v>
      </c>
      <c r="M22" s="11">
        <v>5</v>
      </c>
      <c r="N22" s="11" t="s">
        <v>230</v>
      </c>
      <c r="O22" s="11" t="s">
        <v>230</v>
      </c>
      <c r="P22" s="40" t="s">
        <v>174</v>
      </c>
      <c r="Q22" s="11" t="s">
        <v>34</v>
      </c>
      <c r="R22" s="2">
        <f t="shared" si="11"/>
        <v>317821.02</v>
      </c>
      <c r="S22" s="30">
        <v>317821.02</v>
      </c>
      <c r="T22" s="41">
        <v>0</v>
      </c>
      <c r="U22" s="1">
        <f t="shared" si="2"/>
        <v>48607.91</v>
      </c>
      <c r="V22" s="42">
        <v>48607.91</v>
      </c>
      <c r="W22" s="42">
        <v>0</v>
      </c>
      <c r="X22" s="1">
        <f t="shared" si="7"/>
        <v>7478.15</v>
      </c>
      <c r="Y22" s="30">
        <v>7478.15</v>
      </c>
      <c r="Z22" s="30">
        <v>0</v>
      </c>
      <c r="AA22" s="2">
        <f t="shared" si="12"/>
        <v>0</v>
      </c>
      <c r="AB22" s="37">
        <v>0</v>
      </c>
      <c r="AC22" s="37">
        <v>0</v>
      </c>
      <c r="AD22" s="16">
        <f t="shared" si="6"/>
        <v>373907.08000000007</v>
      </c>
      <c r="AE22" s="38">
        <v>0</v>
      </c>
      <c r="AF22" s="2">
        <f t="shared" si="4"/>
        <v>373907.08000000007</v>
      </c>
      <c r="AG22" s="38" t="s">
        <v>857</v>
      </c>
      <c r="AH22" s="38" t="s">
        <v>1381</v>
      </c>
      <c r="AI22" s="30">
        <v>181528.22</v>
      </c>
      <c r="AJ22" s="30">
        <v>27763.119999999999</v>
      </c>
    </row>
    <row r="23" spans="1:36" s="179" customFormat="1" ht="267.75" x14ac:dyDescent="0.25">
      <c r="A23" s="6">
        <v>20</v>
      </c>
      <c r="B23" s="31">
        <v>126495</v>
      </c>
      <c r="C23" s="11">
        <v>558</v>
      </c>
      <c r="D23" s="9" t="s">
        <v>1638</v>
      </c>
      <c r="E23" s="32" t="s">
        <v>899</v>
      </c>
      <c r="F23" s="11" t="s">
        <v>1044</v>
      </c>
      <c r="G23" s="11" t="s">
        <v>229</v>
      </c>
      <c r="H23" s="8" t="s">
        <v>151</v>
      </c>
      <c r="I23" s="44" t="s">
        <v>2611</v>
      </c>
      <c r="J23" s="25">
        <v>43570</v>
      </c>
      <c r="K23" s="25">
        <v>44607</v>
      </c>
      <c r="L23" s="26">
        <f t="shared" si="0"/>
        <v>85</v>
      </c>
      <c r="M23" s="11">
        <v>5</v>
      </c>
      <c r="N23" s="11" t="s">
        <v>230</v>
      </c>
      <c r="O23" s="11" t="s">
        <v>230</v>
      </c>
      <c r="P23" s="40" t="s">
        <v>174</v>
      </c>
      <c r="Q23" s="11" t="s">
        <v>34</v>
      </c>
      <c r="R23" s="2">
        <f t="shared" ref="R23" si="13">S23+T23</f>
        <v>3025356.04</v>
      </c>
      <c r="S23" s="30">
        <v>3025356.04</v>
      </c>
      <c r="T23" s="41">
        <v>0</v>
      </c>
      <c r="U23" s="1">
        <f t="shared" si="2"/>
        <v>462701.51</v>
      </c>
      <c r="V23" s="42">
        <v>462701.51</v>
      </c>
      <c r="W23" s="42">
        <v>0</v>
      </c>
      <c r="X23" s="1">
        <f t="shared" si="7"/>
        <v>71184.850000000006</v>
      </c>
      <c r="Y23" s="30">
        <v>71184.850000000006</v>
      </c>
      <c r="Z23" s="30">
        <v>0</v>
      </c>
      <c r="AA23" s="2">
        <f>AB23+AC23</f>
        <v>0</v>
      </c>
      <c r="AB23" s="2">
        <v>0</v>
      </c>
      <c r="AC23" s="2">
        <v>0</v>
      </c>
      <c r="AD23" s="16">
        <f t="shared" si="6"/>
        <v>3559242.4</v>
      </c>
      <c r="AE23" s="38">
        <v>0</v>
      </c>
      <c r="AF23" s="2">
        <f t="shared" si="4"/>
        <v>3559242.4</v>
      </c>
      <c r="AG23" s="38" t="s">
        <v>857</v>
      </c>
      <c r="AH23" s="38" t="s">
        <v>1630</v>
      </c>
      <c r="AI23" s="30">
        <f>82686.68+124620.54+166745.78+1978538.51</f>
        <v>2352591.5099999998</v>
      </c>
      <c r="AJ23" s="30">
        <f>12646.21+19059.61+25502.29+302600</f>
        <v>359808.11</v>
      </c>
    </row>
    <row r="24" spans="1:36" s="179" customFormat="1" ht="141.75" x14ac:dyDescent="0.25">
      <c r="A24" s="6">
        <v>21</v>
      </c>
      <c r="B24" s="31">
        <v>129702</v>
      </c>
      <c r="C24" s="11">
        <v>676</v>
      </c>
      <c r="D24" s="9" t="s">
        <v>1638</v>
      </c>
      <c r="E24" s="32" t="s">
        <v>1071</v>
      </c>
      <c r="F24" s="11" t="s">
        <v>1271</v>
      </c>
      <c r="G24" s="11" t="s">
        <v>620</v>
      </c>
      <c r="H24" s="8" t="s">
        <v>151</v>
      </c>
      <c r="I24" s="45" t="s">
        <v>2612</v>
      </c>
      <c r="J24" s="25">
        <v>43717</v>
      </c>
      <c r="K24" s="25">
        <v>44874</v>
      </c>
      <c r="L24" s="26">
        <f t="shared" si="0"/>
        <v>85</v>
      </c>
      <c r="M24" s="11">
        <v>5</v>
      </c>
      <c r="N24" s="11" t="s">
        <v>230</v>
      </c>
      <c r="O24" s="11" t="s">
        <v>230</v>
      </c>
      <c r="P24" s="40" t="s">
        <v>174</v>
      </c>
      <c r="Q24" s="11" t="s">
        <v>34</v>
      </c>
      <c r="R24" s="2">
        <f>S24+T24</f>
        <v>396508</v>
      </c>
      <c r="S24" s="30">
        <v>396508</v>
      </c>
      <c r="T24" s="41">
        <v>0</v>
      </c>
      <c r="U24" s="1">
        <f t="shared" si="2"/>
        <v>60642.400000000001</v>
      </c>
      <c r="V24" s="42">
        <v>60642.400000000001</v>
      </c>
      <c r="W24" s="42">
        <v>0</v>
      </c>
      <c r="X24" s="1">
        <f t="shared" si="7"/>
        <v>9329.6</v>
      </c>
      <c r="Y24" s="30">
        <v>9329.6</v>
      </c>
      <c r="Z24" s="30">
        <v>0</v>
      </c>
      <c r="AA24" s="2">
        <f>AB24+AC24</f>
        <v>0</v>
      </c>
      <c r="AB24" s="37">
        <v>0</v>
      </c>
      <c r="AC24" s="37">
        <v>0</v>
      </c>
      <c r="AD24" s="16">
        <f t="shared" si="6"/>
        <v>466480</v>
      </c>
      <c r="AE24" s="38">
        <v>0</v>
      </c>
      <c r="AF24" s="2">
        <f t="shared" si="4"/>
        <v>466480</v>
      </c>
      <c r="AG24" s="38" t="s">
        <v>486</v>
      </c>
      <c r="AH24" s="38" t="s">
        <v>2463</v>
      </c>
      <c r="AI24" s="30">
        <v>1112.6500000000001</v>
      </c>
      <c r="AJ24" s="30">
        <v>170.17</v>
      </c>
    </row>
    <row r="25" spans="1:36" s="179" customFormat="1" ht="173.25" x14ac:dyDescent="0.25">
      <c r="A25" s="6">
        <v>22</v>
      </c>
      <c r="B25" s="31">
        <v>152186</v>
      </c>
      <c r="C25" s="11">
        <v>1139</v>
      </c>
      <c r="D25" s="9" t="s">
        <v>1639</v>
      </c>
      <c r="E25" s="24" t="s">
        <v>1801</v>
      </c>
      <c r="F25" s="31" t="s">
        <v>1935</v>
      </c>
      <c r="G25" s="11" t="s">
        <v>229</v>
      </c>
      <c r="H25" s="8" t="s">
        <v>151</v>
      </c>
      <c r="I25" s="44" t="s">
        <v>1936</v>
      </c>
      <c r="J25" s="25">
        <v>44544</v>
      </c>
      <c r="K25" s="25">
        <v>45030</v>
      </c>
      <c r="L25" s="26">
        <f t="shared" si="0"/>
        <v>85</v>
      </c>
      <c r="M25" s="11">
        <v>5</v>
      </c>
      <c r="N25" s="11" t="s">
        <v>230</v>
      </c>
      <c r="O25" s="11" t="s">
        <v>230</v>
      </c>
      <c r="P25" s="40" t="s">
        <v>174</v>
      </c>
      <c r="Q25" s="11" t="s">
        <v>34</v>
      </c>
      <c r="R25" s="2">
        <f>S25+T25</f>
        <v>256921</v>
      </c>
      <c r="S25" s="30">
        <v>256921</v>
      </c>
      <c r="T25" s="41">
        <v>0</v>
      </c>
      <c r="U25" s="1">
        <f t="shared" si="2"/>
        <v>39293.800000000003</v>
      </c>
      <c r="V25" s="42">
        <v>39293.800000000003</v>
      </c>
      <c r="W25" s="42">
        <v>0</v>
      </c>
      <c r="X25" s="1">
        <f t="shared" si="7"/>
        <v>6045.2</v>
      </c>
      <c r="Y25" s="30">
        <v>6045.2</v>
      </c>
      <c r="Z25" s="30">
        <v>0</v>
      </c>
      <c r="AA25" s="2">
        <f>AB25+AC25</f>
        <v>0</v>
      </c>
      <c r="AB25" s="37">
        <v>0</v>
      </c>
      <c r="AC25" s="37">
        <v>0</v>
      </c>
      <c r="AD25" s="16">
        <f t="shared" si="6"/>
        <v>302260</v>
      </c>
      <c r="AE25" s="38">
        <v>0</v>
      </c>
      <c r="AF25" s="2">
        <f t="shared" si="4"/>
        <v>302260</v>
      </c>
      <c r="AG25" s="38" t="s">
        <v>486</v>
      </c>
      <c r="AH25" s="38"/>
      <c r="AI25" s="30">
        <v>1264.3800000000001</v>
      </c>
      <c r="AJ25" s="30">
        <v>193.38</v>
      </c>
    </row>
    <row r="26" spans="1:36" s="179" customFormat="1" ht="141.75" x14ac:dyDescent="0.25">
      <c r="A26" s="6">
        <v>23</v>
      </c>
      <c r="B26" s="31">
        <v>155162</v>
      </c>
      <c r="C26" s="11">
        <v>1216</v>
      </c>
      <c r="D26" s="9" t="s">
        <v>1638</v>
      </c>
      <c r="E26" s="24" t="s">
        <v>2014</v>
      </c>
      <c r="F26" s="31" t="s">
        <v>2128</v>
      </c>
      <c r="G26" s="11" t="s">
        <v>229</v>
      </c>
      <c r="H26" s="8" t="s">
        <v>151</v>
      </c>
      <c r="I26" s="44" t="s">
        <v>2613</v>
      </c>
      <c r="J26" s="25">
        <v>44663</v>
      </c>
      <c r="K26" s="25">
        <v>45150</v>
      </c>
      <c r="L26" s="26">
        <f t="shared" si="0"/>
        <v>85.000000479151623</v>
      </c>
      <c r="M26" s="11">
        <v>5</v>
      </c>
      <c r="N26" s="11" t="s">
        <v>230</v>
      </c>
      <c r="O26" s="11" t="s">
        <v>230</v>
      </c>
      <c r="P26" s="40" t="s">
        <v>174</v>
      </c>
      <c r="Q26" s="11" t="s">
        <v>34</v>
      </c>
      <c r="R26" s="2">
        <f>S26+T26</f>
        <v>1773968.71</v>
      </c>
      <c r="S26" s="30">
        <v>1773968.71</v>
      </c>
      <c r="T26" s="41">
        <v>0</v>
      </c>
      <c r="U26" s="1">
        <f t="shared" si="2"/>
        <v>271312.84999999998</v>
      </c>
      <c r="V26" s="42">
        <v>271312.84999999998</v>
      </c>
      <c r="W26" s="42">
        <v>0</v>
      </c>
      <c r="X26" s="1">
        <f t="shared" si="7"/>
        <v>41740.44</v>
      </c>
      <c r="Y26" s="30">
        <v>41740.44</v>
      </c>
      <c r="Z26" s="30">
        <v>0</v>
      </c>
      <c r="AA26" s="2">
        <f>AB26+AC26</f>
        <v>0</v>
      </c>
      <c r="AB26" s="37">
        <v>0</v>
      </c>
      <c r="AC26" s="37">
        <v>0</v>
      </c>
      <c r="AD26" s="16">
        <f t="shared" si="6"/>
        <v>2087022</v>
      </c>
      <c r="AE26" s="38">
        <v>0</v>
      </c>
      <c r="AF26" s="2">
        <f t="shared" si="4"/>
        <v>2087022</v>
      </c>
      <c r="AG26" s="38" t="s">
        <v>486</v>
      </c>
      <c r="AH26" s="38"/>
      <c r="AI26" s="30">
        <v>1264.3800000000001</v>
      </c>
      <c r="AJ26" s="30">
        <v>193.38</v>
      </c>
    </row>
    <row r="27" spans="1:36" s="179" customFormat="1" ht="141.75" x14ac:dyDescent="0.25">
      <c r="A27" s="6">
        <v>24</v>
      </c>
      <c r="B27" s="31">
        <v>120652</v>
      </c>
      <c r="C27" s="11">
        <v>91</v>
      </c>
      <c r="D27" s="9" t="s">
        <v>1638</v>
      </c>
      <c r="E27" s="24" t="s">
        <v>277</v>
      </c>
      <c r="F27" s="11" t="s">
        <v>198</v>
      </c>
      <c r="G27" s="11" t="s">
        <v>575</v>
      </c>
      <c r="H27" s="8" t="s">
        <v>151</v>
      </c>
      <c r="I27" s="46" t="s">
        <v>203</v>
      </c>
      <c r="J27" s="25">
        <v>43145</v>
      </c>
      <c r="K27" s="25">
        <v>43510</v>
      </c>
      <c r="L27" s="26">
        <f t="shared" si="0"/>
        <v>84.999999389755786</v>
      </c>
      <c r="M27" s="11">
        <v>3</v>
      </c>
      <c r="N27" s="11" t="s">
        <v>200</v>
      </c>
      <c r="O27" s="11" t="s">
        <v>202</v>
      </c>
      <c r="P27" s="27" t="s">
        <v>174</v>
      </c>
      <c r="Q27" s="11" t="s">
        <v>34</v>
      </c>
      <c r="R27" s="2">
        <f t="shared" ref="R27" si="14">S27+T27</f>
        <v>348221.24</v>
      </c>
      <c r="S27" s="2">
        <v>348221.24</v>
      </c>
      <c r="T27" s="2">
        <v>0</v>
      </c>
      <c r="U27" s="1">
        <f t="shared" si="2"/>
        <v>53257.37</v>
      </c>
      <c r="V27" s="28">
        <v>53257.37</v>
      </c>
      <c r="W27" s="28">
        <v>0</v>
      </c>
      <c r="X27" s="1">
        <f t="shared" si="7"/>
        <v>8193.44</v>
      </c>
      <c r="Y27" s="2">
        <v>8193.44</v>
      </c>
      <c r="Z27" s="2">
        <v>0</v>
      </c>
      <c r="AA27" s="2">
        <f>AB27+AC27</f>
        <v>0</v>
      </c>
      <c r="AB27" s="2">
        <v>0</v>
      </c>
      <c r="AC27" s="2">
        <v>0</v>
      </c>
      <c r="AD27" s="16">
        <f t="shared" si="6"/>
        <v>409672.05</v>
      </c>
      <c r="AE27" s="2">
        <v>0</v>
      </c>
      <c r="AF27" s="2">
        <f t="shared" si="4"/>
        <v>409672.05</v>
      </c>
      <c r="AG27" s="21" t="s">
        <v>857</v>
      </c>
      <c r="AH27" s="29" t="s">
        <v>892</v>
      </c>
      <c r="AI27" s="30">
        <v>334492.68000000005</v>
      </c>
      <c r="AJ27" s="30">
        <v>51157.71</v>
      </c>
    </row>
    <row r="28" spans="1:36" s="179" customFormat="1" ht="141.75" x14ac:dyDescent="0.25">
      <c r="A28" s="6">
        <v>25</v>
      </c>
      <c r="B28" s="31">
        <v>118191</v>
      </c>
      <c r="C28" s="47">
        <v>423</v>
      </c>
      <c r="D28" s="32" t="s">
        <v>1639</v>
      </c>
      <c r="E28" s="24" t="s">
        <v>507</v>
      </c>
      <c r="F28" s="11" t="s">
        <v>574</v>
      </c>
      <c r="G28" s="11" t="s">
        <v>575</v>
      </c>
      <c r="H28" s="8" t="s">
        <v>151</v>
      </c>
      <c r="I28" s="12" t="s">
        <v>576</v>
      </c>
      <c r="J28" s="25">
        <v>43284</v>
      </c>
      <c r="K28" s="25">
        <v>43649</v>
      </c>
      <c r="L28" s="26">
        <f t="shared" si="0"/>
        <v>85.000001358659858</v>
      </c>
      <c r="M28" s="11">
        <v>3</v>
      </c>
      <c r="N28" s="11" t="s">
        <v>200</v>
      </c>
      <c r="O28" s="11" t="s">
        <v>202</v>
      </c>
      <c r="P28" s="27" t="s">
        <v>174</v>
      </c>
      <c r="Q28" s="11" t="s">
        <v>34</v>
      </c>
      <c r="R28" s="48">
        <v>250246.6</v>
      </c>
      <c r="S28" s="30">
        <v>250246.6</v>
      </c>
      <c r="T28" s="2">
        <v>0</v>
      </c>
      <c r="U28" s="1">
        <f t="shared" si="2"/>
        <v>38273</v>
      </c>
      <c r="V28" s="49">
        <v>38273</v>
      </c>
      <c r="W28" s="28">
        <v>0</v>
      </c>
      <c r="X28" s="1">
        <f t="shared" si="7"/>
        <v>5888.16</v>
      </c>
      <c r="Y28" s="2">
        <v>5888.16</v>
      </c>
      <c r="Z28" s="2">
        <v>0</v>
      </c>
      <c r="AA28" s="2">
        <f t="shared" ref="AA28:AA47" si="15">AB28+AC28</f>
        <v>0</v>
      </c>
      <c r="AB28" s="2">
        <v>0</v>
      </c>
      <c r="AC28" s="2">
        <v>0</v>
      </c>
      <c r="AD28" s="16">
        <f t="shared" si="6"/>
        <v>294407.75999999995</v>
      </c>
      <c r="AE28" s="2"/>
      <c r="AF28" s="2">
        <f t="shared" si="4"/>
        <v>294407.75999999995</v>
      </c>
      <c r="AG28" s="21" t="s">
        <v>857</v>
      </c>
      <c r="AH28" s="29" t="s">
        <v>151</v>
      </c>
      <c r="AI28" s="30">
        <v>234372.19999999998</v>
      </c>
      <c r="AJ28" s="30">
        <v>35845.47</v>
      </c>
    </row>
    <row r="29" spans="1:36" s="179" customFormat="1" ht="141.75" x14ac:dyDescent="0.25">
      <c r="A29" s="6">
        <v>26</v>
      </c>
      <c r="B29" s="31">
        <v>118741</v>
      </c>
      <c r="C29" s="11">
        <v>459</v>
      </c>
      <c r="D29" s="9" t="s">
        <v>1638</v>
      </c>
      <c r="E29" s="32" t="s">
        <v>457</v>
      </c>
      <c r="F29" s="11" t="s">
        <v>597</v>
      </c>
      <c r="G29" s="11" t="s">
        <v>598</v>
      </c>
      <c r="H29" s="8" t="s">
        <v>151</v>
      </c>
      <c r="I29" s="32" t="s">
        <v>2614</v>
      </c>
      <c r="J29" s="25">
        <v>43290</v>
      </c>
      <c r="K29" s="25">
        <v>43778</v>
      </c>
      <c r="L29" s="26">
        <f t="shared" si="0"/>
        <v>85.00000356420064</v>
      </c>
      <c r="M29" s="11">
        <v>3</v>
      </c>
      <c r="N29" s="25" t="s">
        <v>200</v>
      </c>
      <c r="O29" s="25" t="s">
        <v>202</v>
      </c>
      <c r="P29" s="25" t="s">
        <v>174</v>
      </c>
      <c r="Q29" s="11" t="s">
        <v>34</v>
      </c>
      <c r="R29" s="1">
        <v>512737.71</v>
      </c>
      <c r="S29" s="2">
        <v>512737.71</v>
      </c>
      <c r="T29" s="2">
        <v>0</v>
      </c>
      <c r="U29" s="1">
        <f t="shared" si="2"/>
        <v>78418.69</v>
      </c>
      <c r="V29" s="28">
        <v>78418.69</v>
      </c>
      <c r="W29" s="28">
        <v>0</v>
      </c>
      <c r="X29" s="1">
        <f t="shared" si="7"/>
        <v>12064.41</v>
      </c>
      <c r="Y29" s="2">
        <v>12064.41</v>
      </c>
      <c r="Z29" s="2">
        <v>0</v>
      </c>
      <c r="AA29" s="2">
        <f t="shared" si="15"/>
        <v>0</v>
      </c>
      <c r="AB29" s="2">
        <v>0</v>
      </c>
      <c r="AC29" s="2">
        <v>0</v>
      </c>
      <c r="AD29" s="16">
        <f t="shared" si="6"/>
        <v>603220.81000000006</v>
      </c>
      <c r="AE29" s="35"/>
      <c r="AF29" s="2">
        <f t="shared" si="4"/>
        <v>603220.81000000006</v>
      </c>
      <c r="AG29" s="21" t="s">
        <v>857</v>
      </c>
      <c r="AH29" s="35"/>
      <c r="AI29" s="30">
        <f>329928.18</f>
        <v>329928.18</v>
      </c>
      <c r="AJ29" s="30">
        <v>50459.58</v>
      </c>
    </row>
    <row r="30" spans="1:36" s="179" customFormat="1" ht="141.75" x14ac:dyDescent="0.25">
      <c r="A30" s="6">
        <v>27</v>
      </c>
      <c r="B30" s="31">
        <v>126349</v>
      </c>
      <c r="C30" s="11">
        <v>566</v>
      </c>
      <c r="D30" s="9" t="s">
        <v>1638</v>
      </c>
      <c r="E30" s="32" t="s">
        <v>899</v>
      </c>
      <c r="F30" s="11" t="s">
        <v>961</v>
      </c>
      <c r="G30" s="11" t="s">
        <v>575</v>
      </c>
      <c r="H30" s="8" t="s">
        <v>151</v>
      </c>
      <c r="I30" s="32" t="s">
        <v>962</v>
      </c>
      <c r="J30" s="25">
        <v>43482</v>
      </c>
      <c r="K30" s="25">
        <v>44547</v>
      </c>
      <c r="L30" s="26">
        <f t="shared" si="0"/>
        <v>85.000000750761799</v>
      </c>
      <c r="M30" s="11">
        <v>3</v>
      </c>
      <c r="N30" s="25" t="s">
        <v>200</v>
      </c>
      <c r="O30" s="25" t="s">
        <v>202</v>
      </c>
      <c r="P30" s="25" t="s">
        <v>174</v>
      </c>
      <c r="Q30" s="11" t="s">
        <v>34</v>
      </c>
      <c r="R30" s="1">
        <f>S30+T30</f>
        <v>3396550.05</v>
      </c>
      <c r="S30" s="2">
        <v>3396550.05</v>
      </c>
      <c r="T30" s="2">
        <v>0</v>
      </c>
      <c r="U30" s="1">
        <f t="shared" si="2"/>
        <v>519472.32</v>
      </c>
      <c r="V30" s="28">
        <v>519472.32</v>
      </c>
      <c r="W30" s="28">
        <v>0</v>
      </c>
      <c r="X30" s="1">
        <f t="shared" si="7"/>
        <v>79918.83</v>
      </c>
      <c r="Y30" s="2">
        <v>79918.83</v>
      </c>
      <c r="Z30" s="2">
        <v>0</v>
      </c>
      <c r="AA30" s="2">
        <f>AB30+AC30</f>
        <v>0</v>
      </c>
      <c r="AB30" s="2">
        <v>0</v>
      </c>
      <c r="AC30" s="2">
        <v>0</v>
      </c>
      <c r="AD30" s="16">
        <f t="shared" si="6"/>
        <v>3995941.1999999997</v>
      </c>
      <c r="AE30" s="35">
        <v>0</v>
      </c>
      <c r="AF30" s="2">
        <f t="shared" si="4"/>
        <v>3995941.1999999997</v>
      </c>
      <c r="AG30" s="38" t="s">
        <v>857</v>
      </c>
      <c r="AH30" s="38" t="s">
        <v>1794</v>
      </c>
      <c r="AI30" s="30">
        <f>571396.75+311875.46+135188.65+671264.55+7347.4+9570.15+1140863.71+14280+112308.8+26117.67</f>
        <v>3000213.1399999997</v>
      </c>
      <c r="AJ30" s="30">
        <f>87390.09+47698.6+20675.91+102663.99+1123.72+1463.67+174485.04+2184+17176.64+3994.46</f>
        <v>458856.12000000005</v>
      </c>
    </row>
    <row r="31" spans="1:36" s="179" customFormat="1" ht="141.75" x14ac:dyDescent="0.25">
      <c r="A31" s="6">
        <v>28</v>
      </c>
      <c r="B31" s="31">
        <v>128987</v>
      </c>
      <c r="C31" s="11">
        <v>649</v>
      </c>
      <c r="D31" s="9" t="s">
        <v>1638</v>
      </c>
      <c r="E31" s="50" t="s">
        <v>1071</v>
      </c>
      <c r="F31" s="31" t="s">
        <v>1097</v>
      </c>
      <c r="G31" s="11" t="s">
        <v>598</v>
      </c>
      <c r="H31" s="8" t="s">
        <v>151</v>
      </c>
      <c r="I31" s="32" t="s">
        <v>2615</v>
      </c>
      <c r="J31" s="25">
        <v>43626</v>
      </c>
      <c r="K31" s="25">
        <v>44814</v>
      </c>
      <c r="L31" s="26">
        <f t="shared" si="0"/>
        <v>85.000000101931988</v>
      </c>
      <c r="M31" s="11">
        <v>3</v>
      </c>
      <c r="N31" s="25" t="s">
        <v>200</v>
      </c>
      <c r="O31" s="25" t="s">
        <v>202</v>
      </c>
      <c r="P31" s="25" t="s">
        <v>174</v>
      </c>
      <c r="Q31" s="11" t="s">
        <v>34</v>
      </c>
      <c r="R31" s="1">
        <f>S31+T31</f>
        <v>2501668.17</v>
      </c>
      <c r="S31" s="2">
        <v>2501668.17</v>
      </c>
      <c r="T31" s="2">
        <v>0</v>
      </c>
      <c r="U31" s="1">
        <f t="shared" si="2"/>
        <v>382608.07</v>
      </c>
      <c r="V31" s="28">
        <v>382608.07</v>
      </c>
      <c r="W31" s="28">
        <v>0</v>
      </c>
      <c r="X31" s="1">
        <f t="shared" si="7"/>
        <v>58862.78</v>
      </c>
      <c r="Y31" s="2">
        <v>58862.78</v>
      </c>
      <c r="Z31" s="2">
        <v>0</v>
      </c>
      <c r="AA31" s="2">
        <f>AB31+AC31</f>
        <v>0</v>
      </c>
      <c r="AB31" s="2">
        <v>0</v>
      </c>
      <c r="AC31" s="2">
        <v>0</v>
      </c>
      <c r="AD31" s="16">
        <f t="shared" si="6"/>
        <v>2943139.0199999996</v>
      </c>
      <c r="AE31" s="51">
        <v>0</v>
      </c>
      <c r="AF31" s="2">
        <f t="shared" si="4"/>
        <v>2943139.0199999996</v>
      </c>
      <c r="AG31" s="38" t="s">
        <v>857</v>
      </c>
      <c r="AH31" s="38" t="s">
        <v>3094</v>
      </c>
      <c r="AI31" s="30">
        <f>172108.45+69321.51+212559.13+207716.59+176610.66+97419.49+160542.85+209481.3+68912.47</f>
        <v>1374672.4500000002</v>
      </c>
      <c r="AJ31" s="30">
        <f>26322.47+10602.12+32509.04+31768.42+27011.04+14899.45+24553.61+32038.33+10539.55</f>
        <v>210244.03000000003</v>
      </c>
    </row>
    <row r="32" spans="1:36" s="179" customFormat="1" ht="141.75" x14ac:dyDescent="0.25">
      <c r="A32" s="6">
        <v>29</v>
      </c>
      <c r="B32" s="31">
        <v>135776</v>
      </c>
      <c r="C32" s="11">
        <v>799</v>
      </c>
      <c r="D32" s="9" t="s">
        <v>1638</v>
      </c>
      <c r="E32" s="24" t="s">
        <v>1441</v>
      </c>
      <c r="F32" s="31" t="s">
        <v>1891</v>
      </c>
      <c r="G32" s="11" t="s">
        <v>575</v>
      </c>
      <c r="H32" s="8" t="s">
        <v>151</v>
      </c>
      <c r="I32" s="32" t="s">
        <v>1498</v>
      </c>
      <c r="J32" s="25">
        <v>43969</v>
      </c>
      <c r="K32" s="25">
        <v>44913</v>
      </c>
      <c r="L32" s="26">
        <f t="shared" si="0"/>
        <v>85.000000325618146</v>
      </c>
      <c r="M32" s="11">
        <v>3</v>
      </c>
      <c r="N32" s="25" t="s">
        <v>200</v>
      </c>
      <c r="O32" s="25" t="s">
        <v>202</v>
      </c>
      <c r="P32" s="25" t="s">
        <v>174</v>
      </c>
      <c r="Q32" s="11" t="s">
        <v>34</v>
      </c>
      <c r="R32" s="1">
        <f>S32+T32</f>
        <v>783125.93</v>
      </c>
      <c r="S32" s="2">
        <v>783125.93</v>
      </c>
      <c r="T32" s="2">
        <v>0</v>
      </c>
      <c r="U32" s="1">
        <f t="shared" si="2"/>
        <v>119772.2</v>
      </c>
      <c r="V32" s="28">
        <v>119772.2</v>
      </c>
      <c r="W32" s="28">
        <v>0</v>
      </c>
      <c r="X32" s="1">
        <f t="shared" si="7"/>
        <v>18426.490000000002</v>
      </c>
      <c r="Y32" s="2">
        <v>18426.490000000002</v>
      </c>
      <c r="Z32" s="2">
        <v>0</v>
      </c>
      <c r="AA32" s="2">
        <f>AB32+AC32</f>
        <v>0</v>
      </c>
      <c r="AB32" s="2">
        <v>0</v>
      </c>
      <c r="AC32" s="2">
        <v>0</v>
      </c>
      <c r="AD32" s="16">
        <f t="shared" si="6"/>
        <v>921324.62</v>
      </c>
      <c r="AE32" s="51">
        <v>0</v>
      </c>
      <c r="AF32" s="2">
        <f t="shared" si="4"/>
        <v>921324.62</v>
      </c>
      <c r="AG32" s="38" t="s">
        <v>486</v>
      </c>
      <c r="AH32" s="38" t="s">
        <v>1805</v>
      </c>
      <c r="AI32" s="30">
        <f>27777.15+74882.45+3759.55+6011.2+5931.3</f>
        <v>118361.65000000001</v>
      </c>
      <c r="AJ32" s="30">
        <f>4248.27+11452.61+574.99+919.36+907.14</f>
        <v>18102.37</v>
      </c>
    </row>
    <row r="33" spans="1:36" s="179" customFormat="1" ht="189" x14ac:dyDescent="0.25">
      <c r="A33" s="6">
        <v>30</v>
      </c>
      <c r="B33" s="31">
        <v>154877</v>
      </c>
      <c r="C33" s="11">
        <v>1241</v>
      </c>
      <c r="D33" s="9" t="s">
        <v>1638</v>
      </c>
      <c r="E33" s="24" t="s">
        <v>2014</v>
      </c>
      <c r="F33" s="31" t="s">
        <v>2195</v>
      </c>
      <c r="G33" s="11" t="s">
        <v>2194</v>
      </c>
      <c r="H33" s="8" t="s">
        <v>151</v>
      </c>
      <c r="I33" s="32" t="s">
        <v>2616</v>
      </c>
      <c r="J33" s="25">
        <v>44691</v>
      </c>
      <c r="K33" s="25">
        <v>45179</v>
      </c>
      <c r="L33" s="26">
        <f t="shared" si="0"/>
        <v>84.999999965049</v>
      </c>
      <c r="M33" s="11">
        <v>3</v>
      </c>
      <c r="N33" s="25" t="s">
        <v>200</v>
      </c>
      <c r="O33" s="25" t="s">
        <v>2196</v>
      </c>
      <c r="P33" s="25" t="s">
        <v>174</v>
      </c>
      <c r="Q33" s="11" t="s">
        <v>34</v>
      </c>
      <c r="R33" s="1">
        <f>S33+T33</f>
        <v>3647964.03</v>
      </c>
      <c r="S33" s="2">
        <v>3647964.03</v>
      </c>
      <c r="T33" s="2">
        <v>0</v>
      </c>
      <c r="U33" s="1">
        <f t="shared" si="2"/>
        <v>557923.91</v>
      </c>
      <c r="V33" s="28">
        <v>557923.91</v>
      </c>
      <c r="W33" s="28">
        <v>0</v>
      </c>
      <c r="X33" s="1">
        <f t="shared" si="7"/>
        <v>85834.45</v>
      </c>
      <c r="Y33" s="2">
        <v>85834.45</v>
      </c>
      <c r="Z33" s="2">
        <v>0</v>
      </c>
      <c r="AA33" s="2">
        <f>AB33+AC33</f>
        <v>0</v>
      </c>
      <c r="AB33" s="2">
        <v>0</v>
      </c>
      <c r="AC33" s="2">
        <v>0</v>
      </c>
      <c r="AD33" s="16">
        <f t="shared" si="6"/>
        <v>4291722.3899999997</v>
      </c>
      <c r="AE33" s="51">
        <v>0</v>
      </c>
      <c r="AF33" s="2">
        <f t="shared" si="4"/>
        <v>4291722.3899999997</v>
      </c>
      <c r="AG33" s="38" t="s">
        <v>486</v>
      </c>
      <c r="AH33" s="38"/>
      <c r="AI33" s="30">
        <v>429000</v>
      </c>
      <c r="AJ33" s="30">
        <v>0</v>
      </c>
    </row>
    <row r="34" spans="1:36" s="179" customFormat="1" ht="141.75" x14ac:dyDescent="0.25">
      <c r="A34" s="6">
        <v>31</v>
      </c>
      <c r="B34" s="31">
        <v>119613</v>
      </c>
      <c r="C34" s="11">
        <v>461</v>
      </c>
      <c r="D34" s="9" t="s">
        <v>1638</v>
      </c>
      <c r="E34" s="32" t="s">
        <v>457</v>
      </c>
      <c r="F34" s="11" t="s">
        <v>1892</v>
      </c>
      <c r="G34" s="11" t="s">
        <v>726</v>
      </c>
      <c r="H34" s="8" t="s">
        <v>151</v>
      </c>
      <c r="I34" s="32" t="s">
        <v>2617</v>
      </c>
      <c r="J34" s="25">
        <v>43320</v>
      </c>
      <c r="K34" s="25">
        <v>43646</v>
      </c>
      <c r="L34" s="26">
        <f t="shared" si="0"/>
        <v>85.00000179686964</v>
      </c>
      <c r="M34" s="11">
        <v>1</v>
      </c>
      <c r="N34" s="11" t="s">
        <v>290</v>
      </c>
      <c r="O34" s="11" t="s">
        <v>290</v>
      </c>
      <c r="P34" s="25" t="s">
        <v>174</v>
      </c>
      <c r="Q34" s="11" t="s">
        <v>34</v>
      </c>
      <c r="R34" s="2">
        <f t="shared" ref="R34" si="16">S34+T34</f>
        <v>236522.45</v>
      </c>
      <c r="S34" s="2">
        <v>236522.45</v>
      </c>
      <c r="T34" s="2">
        <v>0</v>
      </c>
      <c r="U34" s="1">
        <f t="shared" si="2"/>
        <v>36174.019999999997</v>
      </c>
      <c r="V34" s="52">
        <v>36174.019999999997</v>
      </c>
      <c r="W34" s="53">
        <v>0</v>
      </c>
      <c r="X34" s="1">
        <f t="shared" si="7"/>
        <v>5565.23</v>
      </c>
      <c r="Y34" s="39">
        <v>5565.23</v>
      </c>
      <c r="Z34" s="54">
        <v>0</v>
      </c>
      <c r="AA34" s="2">
        <v>0</v>
      </c>
      <c r="AB34" s="2">
        <v>0</v>
      </c>
      <c r="AC34" s="2">
        <v>0</v>
      </c>
      <c r="AD34" s="16">
        <f t="shared" si="6"/>
        <v>278261.7</v>
      </c>
      <c r="AE34" s="2">
        <v>37449.300000000003</v>
      </c>
      <c r="AF34" s="2">
        <f t="shared" si="4"/>
        <v>315711</v>
      </c>
      <c r="AG34" s="21" t="s">
        <v>857</v>
      </c>
      <c r="AH34" s="29" t="s">
        <v>1079</v>
      </c>
      <c r="AI34" s="30">
        <v>227036.25</v>
      </c>
      <c r="AJ34" s="30">
        <v>34723.18</v>
      </c>
    </row>
    <row r="35" spans="1:36" s="179" customFormat="1" ht="283.5" x14ac:dyDescent="0.25">
      <c r="A35" s="6">
        <v>32</v>
      </c>
      <c r="B35" s="31">
        <v>118515</v>
      </c>
      <c r="C35" s="11">
        <v>429</v>
      </c>
      <c r="D35" s="32" t="s">
        <v>1639</v>
      </c>
      <c r="E35" s="32" t="s">
        <v>507</v>
      </c>
      <c r="F35" s="11" t="s">
        <v>768</v>
      </c>
      <c r="G35" s="11" t="s">
        <v>726</v>
      </c>
      <c r="H35" s="8" t="s">
        <v>151</v>
      </c>
      <c r="I35" s="32" t="s">
        <v>769</v>
      </c>
      <c r="J35" s="25">
        <v>43333</v>
      </c>
      <c r="K35" s="25">
        <v>43820</v>
      </c>
      <c r="L35" s="26">
        <f t="shared" si="0"/>
        <v>85</v>
      </c>
      <c r="M35" s="11">
        <v>1</v>
      </c>
      <c r="N35" s="11" t="s">
        <v>290</v>
      </c>
      <c r="O35" s="11" t="s">
        <v>290</v>
      </c>
      <c r="P35" s="25" t="s">
        <v>174</v>
      </c>
      <c r="Q35" s="11" t="s">
        <v>34</v>
      </c>
      <c r="R35" s="2">
        <f t="shared" ref="R35:R36" si="17">S35+T35</f>
        <v>339452.6</v>
      </c>
      <c r="S35" s="30">
        <v>339452.6</v>
      </c>
      <c r="T35" s="30">
        <v>0</v>
      </c>
      <c r="U35" s="1">
        <f t="shared" si="2"/>
        <v>51916.28</v>
      </c>
      <c r="V35" s="42">
        <v>51916.28</v>
      </c>
      <c r="W35" s="55">
        <v>0</v>
      </c>
      <c r="X35" s="1">
        <f t="shared" si="7"/>
        <v>7987.12</v>
      </c>
      <c r="Y35" s="30">
        <v>7987.12</v>
      </c>
      <c r="Z35" s="30">
        <v>0</v>
      </c>
      <c r="AA35" s="2">
        <f t="shared" si="15"/>
        <v>0</v>
      </c>
      <c r="AB35" s="2">
        <v>0</v>
      </c>
      <c r="AC35" s="2">
        <v>0</v>
      </c>
      <c r="AD35" s="16">
        <f t="shared" si="6"/>
        <v>399356</v>
      </c>
      <c r="AE35" s="2">
        <v>58024.99</v>
      </c>
      <c r="AF35" s="2">
        <f t="shared" si="4"/>
        <v>457380.99</v>
      </c>
      <c r="AG35" s="38" t="s">
        <v>857</v>
      </c>
      <c r="AH35" s="29" t="s">
        <v>151</v>
      </c>
      <c r="AI35" s="30">
        <v>321570.08</v>
      </c>
      <c r="AJ35" s="30">
        <v>49181.31</v>
      </c>
    </row>
    <row r="36" spans="1:36" s="179" customFormat="1" ht="157.5" x14ac:dyDescent="0.25">
      <c r="A36" s="6">
        <v>33</v>
      </c>
      <c r="B36" s="31">
        <v>126161</v>
      </c>
      <c r="C36" s="11">
        <v>571</v>
      </c>
      <c r="D36" s="9" t="s">
        <v>1638</v>
      </c>
      <c r="E36" s="32" t="s">
        <v>899</v>
      </c>
      <c r="F36" s="11" t="s">
        <v>920</v>
      </c>
      <c r="G36" s="11" t="s">
        <v>287</v>
      </c>
      <c r="H36" s="8" t="s">
        <v>151</v>
      </c>
      <c r="I36" s="32" t="s">
        <v>921</v>
      </c>
      <c r="J36" s="25">
        <v>43444</v>
      </c>
      <c r="K36" s="25">
        <v>44691</v>
      </c>
      <c r="L36" s="26">
        <f t="shared" si="0"/>
        <v>84.999999835393808</v>
      </c>
      <c r="M36" s="11">
        <v>1</v>
      </c>
      <c r="N36" s="11" t="s">
        <v>290</v>
      </c>
      <c r="O36" s="11" t="s">
        <v>290</v>
      </c>
      <c r="P36" s="25" t="s">
        <v>174</v>
      </c>
      <c r="Q36" s="11" t="s">
        <v>34</v>
      </c>
      <c r="R36" s="2">
        <f t="shared" si="17"/>
        <v>2323727.9300000002</v>
      </c>
      <c r="S36" s="30">
        <v>2323727.9300000002</v>
      </c>
      <c r="T36" s="30">
        <v>0</v>
      </c>
      <c r="U36" s="1">
        <f t="shared" si="2"/>
        <v>355393.68</v>
      </c>
      <c r="V36" s="42">
        <v>355393.68</v>
      </c>
      <c r="W36" s="55">
        <v>0</v>
      </c>
      <c r="X36" s="1">
        <f t="shared" si="7"/>
        <v>54675.96</v>
      </c>
      <c r="Y36" s="30">
        <v>54675.96</v>
      </c>
      <c r="Z36" s="30">
        <v>0</v>
      </c>
      <c r="AA36" s="2">
        <f t="shared" si="15"/>
        <v>0</v>
      </c>
      <c r="AB36" s="2">
        <v>0</v>
      </c>
      <c r="AC36" s="2">
        <v>0</v>
      </c>
      <c r="AD36" s="16">
        <f t="shared" si="6"/>
        <v>2733797.5700000003</v>
      </c>
      <c r="AE36" s="2">
        <v>80920</v>
      </c>
      <c r="AF36" s="2">
        <f t="shared" si="4"/>
        <v>2814717.5700000003</v>
      </c>
      <c r="AG36" s="38" t="s">
        <v>857</v>
      </c>
      <c r="AH36" s="29" t="s">
        <v>1811</v>
      </c>
      <c r="AI36" s="30">
        <f>250763.77+23449.8+19694.5+1046062.95+19963.1+59091.83+236490.4+39448.5+58262.4+14191.35+86759.48+263614.85</f>
        <v>2117792.9300000002</v>
      </c>
      <c r="AJ36" s="30">
        <f>38352.11+3586.44+3012.1+159986.1+3053.18+9037.57+36169.12+6033.3+8910.72+2170.43+13269.1+40317.57</f>
        <v>323897.73999999993</v>
      </c>
    </row>
    <row r="37" spans="1:36" s="179" customFormat="1" ht="141.75" x14ac:dyDescent="0.25">
      <c r="A37" s="6">
        <v>34</v>
      </c>
      <c r="B37" s="31">
        <v>128880</v>
      </c>
      <c r="C37" s="11">
        <v>652</v>
      </c>
      <c r="D37" s="9" t="s">
        <v>1638</v>
      </c>
      <c r="E37" s="32" t="s">
        <v>1071</v>
      </c>
      <c r="F37" s="11" t="s">
        <v>1131</v>
      </c>
      <c r="G37" s="11" t="s">
        <v>726</v>
      </c>
      <c r="H37" s="8" t="s">
        <v>151</v>
      </c>
      <c r="I37" s="32" t="s">
        <v>1132</v>
      </c>
      <c r="J37" s="25">
        <v>43643</v>
      </c>
      <c r="K37" s="25">
        <v>44557</v>
      </c>
      <c r="L37" s="26">
        <f t="shared" si="0"/>
        <v>85</v>
      </c>
      <c r="M37" s="11">
        <v>1</v>
      </c>
      <c r="N37" s="11" t="s">
        <v>290</v>
      </c>
      <c r="O37" s="11" t="s">
        <v>290</v>
      </c>
      <c r="P37" s="25" t="s">
        <v>174</v>
      </c>
      <c r="Q37" s="11" t="s">
        <v>34</v>
      </c>
      <c r="R37" s="2">
        <f>S37+T37</f>
        <v>2545487.35</v>
      </c>
      <c r="S37" s="30">
        <v>2545487.35</v>
      </c>
      <c r="T37" s="30">
        <v>0</v>
      </c>
      <c r="U37" s="1">
        <f t="shared" si="2"/>
        <v>389309.83</v>
      </c>
      <c r="V37" s="42">
        <v>389309.83</v>
      </c>
      <c r="W37" s="42">
        <v>0</v>
      </c>
      <c r="X37" s="1">
        <f t="shared" si="7"/>
        <v>59893.82</v>
      </c>
      <c r="Y37" s="30">
        <v>59893.82</v>
      </c>
      <c r="Z37" s="30">
        <v>0</v>
      </c>
      <c r="AA37" s="2">
        <f>AB37+AC37</f>
        <v>0</v>
      </c>
      <c r="AB37" s="1">
        <v>0</v>
      </c>
      <c r="AC37" s="1">
        <v>0</v>
      </c>
      <c r="AD37" s="16">
        <f t="shared" si="6"/>
        <v>2994691</v>
      </c>
      <c r="AE37" s="2">
        <v>0</v>
      </c>
      <c r="AF37" s="2">
        <f t="shared" si="4"/>
        <v>2994691</v>
      </c>
      <c r="AG37" s="38" t="s">
        <v>857</v>
      </c>
      <c r="AH37" s="29" t="s">
        <v>1688</v>
      </c>
      <c r="AI37" s="30">
        <f>1923767.25+34464.05+214238.9+30679.2+21241.5+23456.06</f>
        <v>2247846.9600000004</v>
      </c>
      <c r="AJ37" s="30">
        <f>294223.22+5270.97+32765.95+4692.12+3248.7+3587.4</f>
        <v>343788.36</v>
      </c>
    </row>
    <row r="38" spans="1:36" s="179" customFormat="1" ht="141.75" x14ac:dyDescent="0.25">
      <c r="A38" s="6">
        <v>35</v>
      </c>
      <c r="B38" s="31">
        <v>120769</v>
      </c>
      <c r="C38" s="11">
        <v>96</v>
      </c>
      <c r="D38" s="9" t="s">
        <v>1638</v>
      </c>
      <c r="E38" s="24" t="s">
        <v>277</v>
      </c>
      <c r="F38" s="11" t="s">
        <v>1893</v>
      </c>
      <c r="G38" s="11" t="s">
        <v>287</v>
      </c>
      <c r="H38" s="11" t="s">
        <v>288</v>
      </c>
      <c r="I38" s="45" t="s">
        <v>289</v>
      </c>
      <c r="J38" s="25">
        <v>43186</v>
      </c>
      <c r="K38" s="25">
        <v>43673</v>
      </c>
      <c r="L38" s="26">
        <f t="shared" si="0"/>
        <v>84.154097257132506</v>
      </c>
      <c r="M38" s="11">
        <v>1</v>
      </c>
      <c r="N38" s="11" t="s">
        <v>290</v>
      </c>
      <c r="O38" s="11" t="s">
        <v>290</v>
      </c>
      <c r="P38" s="27" t="s">
        <v>174</v>
      </c>
      <c r="Q38" s="11" t="s">
        <v>34</v>
      </c>
      <c r="R38" s="2">
        <f t="shared" ref="R38:R45" si="18">S38+T38</f>
        <v>357519.4</v>
      </c>
      <c r="S38" s="2">
        <v>357519.4</v>
      </c>
      <c r="T38" s="2">
        <v>0</v>
      </c>
      <c r="U38" s="1">
        <f t="shared" si="2"/>
        <v>58822.79</v>
      </c>
      <c r="V38" s="28">
        <v>58822.79</v>
      </c>
      <c r="W38" s="28">
        <v>0</v>
      </c>
      <c r="X38" s="1">
        <f t="shared" si="7"/>
        <v>8496.7800000000007</v>
      </c>
      <c r="Y38" s="2">
        <v>8496.7800000000007</v>
      </c>
      <c r="Z38" s="2">
        <v>0</v>
      </c>
      <c r="AA38" s="2">
        <f t="shared" ref="AA38" si="19">AB38+AC38</f>
        <v>0</v>
      </c>
      <c r="AB38" s="2">
        <v>0</v>
      </c>
      <c r="AC38" s="2">
        <v>0</v>
      </c>
      <c r="AD38" s="16">
        <f t="shared" si="6"/>
        <v>424838.97000000003</v>
      </c>
      <c r="AE38" s="2">
        <v>0</v>
      </c>
      <c r="AF38" s="2">
        <f t="shared" si="4"/>
        <v>424838.97000000003</v>
      </c>
      <c r="AG38" s="38" t="s">
        <v>857</v>
      </c>
      <c r="AH38" s="29" t="s">
        <v>151</v>
      </c>
      <c r="AI38" s="30">
        <v>328987.4200000001</v>
      </c>
      <c r="AJ38" s="30">
        <v>54146.78</v>
      </c>
    </row>
    <row r="39" spans="1:36" s="179" customFormat="1" ht="267.75" x14ac:dyDescent="0.25">
      <c r="A39" s="6">
        <v>36</v>
      </c>
      <c r="B39" s="31">
        <v>128863</v>
      </c>
      <c r="C39" s="11">
        <v>638</v>
      </c>
      <c r="D39" s="9" t="s">
        <v>1638</v>
      </c>
      <c r="E39" s="24" t="s">
        <v>1071</v>
      </c>
      <c r="F39" s="11" t="s">
        <v>1195</v>
      </c>
      <c r="G39" s="11" t="s">
        <v>1196</v>
      </c>
      <c r="H39" s="8" t="s">
        <v>151</v>
      </c>
      <c r="I39" s="45" t="s">
        <v>2618</v>
      </c>
      <c r="J39" s="25">
        <v>43679</v>
      </c>
      <c r="K39" s="25">
        <v>44471</v>
      </c>
      <c r="L39" s="26">
        <f t="shared" si="0"/>
        <v>84.99999967540424</v>
      </c>
      <c r="M39" s="11">
        <v>1</v>
      </c>
      <c r="N39" s="11" t="s">
        <v>290</v>
      </c>
      <c r="O39" s="11" t="s">
        <v>1197</v>
      </c>
      <c r="P39" s="27" t="s">
        <v>174</v>
      </c>
      <c r="Q39" s="11" t="s">
        <v>34</v>
      </c>
      <c r="R39" s="2">
        <f t="shared" si="18"/>
        <v>2356777.4300000002</v>
      </c>
      <c r="S39" s="2">
        <v>2356777.4300000002</v>
      </c>
      <c r="T39" s="2">
        <v>0</v>
      </c>
      <c r="U39" s="1">
        <f t="shared" si="2"/>
        <v>360448.32</v>
      </c>
      <c r="V39" s="28">
        <v>360448.32</v>
      </c>
      <c r="W39" s="28">
        <v>0</v>
      </c>
      <c r="X39" s="1">
        <f t="shared" si="7"/>
        <v>55453.59</v>
      </c>
      <c r="Y39" s="2">
        <v>55453.59</v>
      </c>
      <c r="Z39" s="2">
        <v>0</v>
      </c>
      <c r="AA39" s="2">
        <v>0</v>
      </c>
      <c r="AB39" s="2">
        <v>0</v>
      </c>
      <c r="AC39" s="2">
        <v>0</v>
      </c>
      <c r="AD39" s="16">
        <f t="shared" si="6"/>
        <v>2772679.34</v>
      </c>
      <c r="AE39" s="2">
        <v>0</v>
      </c>
      <c r="AF39" s="2">
        <f t="shared" si="4"/>
        <v>2772679.34</v>
      </c>
      <c r="AG39" s="38" t="s">
        <v>857</v>
      </c>
      <c r="AH39" s="29" t="s">
        <v>1732</v>
      </c>
      <c r="AI39" s="30">
        <f>2811.97+97537.5+36969.05+997291.46+249334.75+469958.2+472269.35+4652.9</f>
        <v>2330825.1799999997</v>
      </c>
      <c r="AJ39" s="30">
        <f>430.07+14917.5+5654.09+152526.93+38133.55+71875.96+72229.43+711.62</f>
        <v>356479.15</v>
      </c>
    </row>
    <row r="40" spans="1:36" s="179" customFormat="1" ht="267.75" x14ac:dyDescent="0.25">
      <c r="A40" s="6">
        <v>37</v>
      </c>
      <c r="B40" s="31">
        <v>135485</v>
      </c>
      <c r="C40" s="11">
        <v>790</v>
      </c>
      <c r="D40" s="9" t="s">
        <v>1638</v>
      </c>
      <c r="E40" s="24" t="s">
        <v>1441</v>
      </c>
      <c r="F40" s="11" t="s">
        <v>1449</v>
      </c>
      <c r="G40" s="11" t="s">
        <v>1196</v>
      </c>
      <c r="H40" s="8" t="s">
        <v>151</v>
      </c>
      <c r="I40" s="12" t="s">
        <v>2619</v>
      </c>
      <c r="J40" s="25">
        <v>43949</v>
      </c>
      <c r="K40" s="25">
        <v>44954</v>
      </c>
      <c r="L40" s="26">
        <f t="shared" si="0"/>
        <v>85.000000553699934</v>
      </c>
      <c r="M40" s="11">
        <v>1</v>
      </c>
      <c r="N40" s="11" t="s">
        <v>290</v>
      </c>
      <c r="O40" s="11" t="s">
        <v>1197</v>
      </c>
      <c r="P40" s="27" t="s">
        <v>174</v>
      </c>
      <c r="Q40" s="11" t="s">
        <v>1450</v>
      </c>
      <c r="R40" s="2">
        <f t="shared" si="18"/>
        <v>2302691.2400000002</v>
      </c>
      <c r="S40" s="2">
        <v>2302691.2400000002</v>
      </c>
      <c r="T40" s="2">
        <v>0</v>
      </c>
      <c r="U40" s="1">
        <f t="shared" si="2"/>
        <v>352176.29</v>
      </c>
      <c r="V40" s="28">
        <v>352176.29</v>
      </c>
      <c r="W40" s="28">
        <v>0</v>
      </c>
      <c r="X40" s="1">
        <f t="shared" si="7"/>
        <v>54180.969999999994</v>
      </c>
      <c r="Y40" s="2">
        <v>54180.969999999994</v>
      </c>
      <c r="Z40" s="2">
        <v>0</v>
      </c>
      <c r="AA40" s="2">
        <v>0</v>
      </c>
      <c r="AB40" s="2">
        <v>0</v>
      </c>
      <c r="AC40" s="2">
        <v>0</v>
      </c>
      <c r="AD40" s="16">
        <f t="shared" si="6"/>
        <v>2709048.5000000005</v>
      </c>
      <c r="AE40" s="2">
        <v>0</v>
      </c>
      <c r="AF40" s="2">
        <f t="shared" si="4"/>
        <v>2709048.5000000005</v>
      </c>
      <c r="AG40" s="38" t="s">
        <v>486</v>
      </c>
      <c r="AH40" s="29" t="s">
        <v>3286</v>
      </c>
      <c r="AI40" s="30">
        <f>24515.7+74707.79+52395.7+50365.26+13233.65+1052263.46+19737</f>
        <v>1287218.56</v>
      </c>
      <c r="AJ40" s="30">
        <f>3749.46+11425.9+8013.46+7702.92+2023.97+160934.4+3018.6</f>
        <v>196868.71</v>
      </c>
    </row>
    <row r="41" spans="1:36" s="179" customFormat="1" ht="267.75" x14ac:dyDescent="0.25">
      <c r="A41" s="6">
        <v>38</v>
      </c>
      <c r="B41" s="31">
        <v>136322</v>
      </c>
      <c r="C41" s="11">
        <v>833</v>
      </c>
      <c r="D41" s="9" t="s">
        <v>1638</v>
      </c>
      <c r="E41" s="24" t="s">
        <v>1441</v>
      </c>
      <c r="F41" s="11" t="s">
        <v>1452</v>
      </c>
      <c r="G41" s="11" t="s">
        <v>287</v>
      </c>
      <c r="H41" s="8" t="s">
        <v>151</v>
      </c>
      <c r="I41" s="12" t="s">
        <v>2620</v>
      </c>
      <c r="J41" s="25">
        <v>43957</v>
      </c>
      <c r="K41" s="25">
        <v>44687</v>
      </c>
      <c r="L41" s="26">
        <f t="shared" si="0"/>
        <v>85</v>
      </c>
      <c r="M41" s="11">
        <v>1</v>
      </c>
      <c r="N41" s="11" t="s">
        <v>290</v>
      </c>
      <c r="O41" s="11" t="s">
        <v>290</v>
      </c>
      <c r="P41" s="27" t="s">
        <v>174</v>
      </c>
      <c r="Q41" s="11" t="s">
        <v>1450</v>
      </c>
      <c r="R41" s="2">
        <f t="shared" si="18"/>
        <v>813366.19</v>
      </c>
      <c r="S41" s="2">
        <v>813366.19</v>
      </c>
      <c r="T41" s="2">
        <v>0</v>
      </c>
      <c r="U41" s="1">
        <f t="shared" si="2"/>
        <v>124397.18</v>
      </c>
      <c r="V41" s="28">
        <v>124397.18</v>
      </c>
      <c r="W41" s="28">
        <v>0</v>
      </c>
      <c r="X41" s="1">
        <f t="shared" si="7"/>
        <v>19138.03</v>
      </c>
      <c r="Y41" s="2">
        <v>19138.03</v>
      </c>
      <c r="Z41" s="2">
        <v>0</v>
      </c>
      <c r="AA41" s="2">
        <v>0</v>
      </c>
      <c r="AB41" s="2">
        <v>0</v>
      </c>
      <c r="AC41" s="2">
        <v>0</v>
      </c>
      <c r="AD41" s="16">
        <f t="shared" si="6"/>
        <v>956901.39999999991</v>
      </c>
      <c r="AE41" s="2">
        <v>0</v>
      </c>
      <c r="AF41" s="2">
        <f t="shared" si="4"/>
        <v>956901.39999999991</v>
      </c>
      <c r="AG41" s="38" t="s">
        <v>857</v>
      </c>
      <c r="AH41" s="29" t="s">
        <v>1964</v>
      </c>
      <c r="AI41" s="30">
        <f>35884.37+50135.18+9778.4+63310.55+10298.6+24197.63+118421.46+225302.7+8545.05+12423.6+97068.92</f>
        <v>655366.46000000008</v>
      </c>
      <c r="AJ41" s="30">
        <f>5488.19+7667.73+1495.52+9682.79+1575.08+3700.81+18111.52+34458.06+1306.89+1900.08+14845.84</f>
        <v>100232.51</v>
      </c>
    </row>
    <row r="42" spans="1:36" s="179" customFormat="1" ht="267.75" x14ac:dyDescent="0.25">
      <c r="A42" s="6">
        <v>39</v>
      </c>
      <c r="B42" s="31">
        <v>136013</v>
      </c>
      <c r="C42" s="11">
        <v>808</v>
      </c>
      <c r="D42" s="9" t="s">
        <v>1638</v>
      </c>
      <c r="E42" s="24" t="s">
        <v>1441</v>
      </c>
      <c r="F42" s="11" t="s">
        <v>1554</v>
      </c>
      <c r="G42" s="11" t="s">
        <v>726</v>
      </c>
      <c r="H42" s="8" t="s">
        <v>151</v>
      </c>
      <c r="I42" s="12" t="s">
        <v>2621</v>
      </c>
      <c r="J42" s="25">
        <v>44011</v>
      </c>
      <c r="K42" s="25">
        <v>44924</v>
      </c>
      <c r="L42" s="26">
        <f t="shared" si="0"/>
        <v>85.000000296794198</v>
      </c>
      <c r="M42" s="11">
        <v>1</v>
      </c>
      <c r="N42" s="11" t="s">
        <v>290</v>
      </c>
      <c r="O42" s="11" t="s">
        <v>290</v>
      </c>
      <c r="P42" s="27" t="s">
        <v>174</v>
      </c>
      <c r="Q42" s="11" t="s">
        <v>1450</v>
      </c>
      <c r="R42" s="2">
        <f t="shared" si="18"/>
        <v>2863937.31</v>
      </c>
      <c r="S42" s="2">
        <v>2863937.31</v>
      </c>
      <c r="T42" s="2">
        <v>0</v>
      </c>
      <c r="U42" s="1">
        <f t="shared" si="2"/>
        <v>438012.95</v>
      </c>
      <c r="V42" s="28">
        <v>438012.95</v>
      </c>
      <c r="W42" s="28">
        <v>0</v>
      </c>
      <c r="X42" s="1">
        <f t="shared" si="7"/>
        <v>67387.740000000005</v>
      </c>
      <c r="Y42" s="2">
        <v>67387.740000000005</v>
      </c>
      <c r="Z42" s="2">
        <v>0</v>
      </c>
      <c r="AA42" s="2">
        <v>0</v>
      </c>
      <c r="AB42" s="2">
        <v>0</v>
      </c>
      <c r="AC42" s="2">
        <v>0</v>
      </c>
      <c r="AD42" s="16">
        <f t="shared" si="6"/>
        <v>3369338.0000000005</v>
      </c>
      <c r="AE42" s="2">
        <v>0</v>
      </c>
      <c r="AF42" s="2">
        <f t="shared" si="4"/>
        <v>3369338.0000000005</v>
      </c>
      <c r="AG42" s="38" t="s">
        <v>486</v>
      </c>
      <c r="AH42" s="29" t="s">
        <v>1964</v>
      </c>
      <c r="AI42" s="30">
        <f>164751.47+35609.9+75630.45+54146.7+50044.6+202300+182176.21+47423.2+690084.4+8889.3+44517.05+351213.03</f>
        <v>1906786.31</v>
      </c>
      <c r="AJ42" s="30">
        <f>25196.79+5446.22+11567.01+8281.26+38593.88+27862.24+7252.96+105542.32+1359.54+6808.49+53714.93</f>
        <v>291625.64</v>
      </c>
    </row>
    <row r="43" spans="1:36" s="179" customFormat="1" ht="267.75" x14ac:dyDescent="0.25">
      <c r="A43" s="6">
        <v>40</v>
      </c>
      <c r="B43" s="31">
        <v>152175</v>
      </c>
      <c r="C43" s="11">
        <v>1120</v>
      </c>
      <c r="D43" s="9" t="s">
        <v>1639</v>
      </c>
      <c r="E43" s="24" t="s">
        <v>1801</v>
      </c>
      <c r="F43" s="11" t="s">
        <v>1848</v>
      </c>
      <c r="G43" s="11" t="s">
        <v>1196</v>
      </c>
      <c r="H43" s="8" t="s">
        <v>151</v>
      </c>
      <c r="I43" s="12" t="s">
        <v>2622</v>
      </c>
      <c r="J43" s="25">
        <v>44498</v>
      </c>
      <c r="K43" s="25">
        <v>44863</v>
      </c>
      <c r="L43" s="26">
        <f t="shared" si="0"/>
        <v>85.000000000000014</v>
      </c>
      <c r="M43" s="11">
        <v>1</v>
      </c>
      <c r="N43" s="11" t="s">
        <v>290</v>
      </c>
      <c r="O43" s="11" t="s">
        <v>1197</v>
      </c>
      <c r="P43" s="27" t="s">
        <v>174</v>
      </c>
      <c r="Q43" s="11" t="s">
        <v>1450</v>
      </c>
      <c r="R43" s="2">
        <f t="shared" si="18"/>
        <v>352183.9</v>
      </c>
      <c r="S43" s="2">
        <v>352183.9</v>
      </c>
      <c r="T43" s="2">
        <v>0</v>
      </c>
      <c r="U43" s="1">
        <f t="shared" si="2"/>
        <v>53863.42</v>
      </c>
      <c r="V43" s="28">
        <v>53863.42</v>
      </c>
      <c r="W43" s="28">
        <v>0</v>
      </c>
      <c r="X43" s="1">
        <f t="shared" si="7"/>
        <v>8286.68</v>
      </c>
      <c r="Y43" s="2">
        <v>8286.68</v>
      </c>
      <c r="Z43" s="2">
        <v>0</v>
      </c>
      <c r="AA43" s="2">
        <v>0</v>
      </c>
      <c r="AB43" s="2">
        <v>0</v>
      </c>
      <c r="AC43" s="2">
        <v>0</v>
      </c>
      <c r="AD43" s="16">
        <f t="shared" si="6"/>
        <v>414334</v>
      </c>
      <c r="AE43" s="2">
        <v>0</v>
      </c>
      <c r="AF43" s="2">
        <f t="shared" si="4"/>
        <v>414334</v>
      </c>
      <c r="AG43" s="38" t="s">
        <v>486</v>
      </c>
      <c r="AH43" s="29" t="s">
        <v>151</v>
      </c>
      <c r="AI43" s="30">
        <f>111265+35188.09</f>
        <v>146453.09</v>
      </c>
      <c r="AJ43" s="30">
        <f>17017+5381.7</f>
        <v>22398.7</v>
      </c>
    </row>
    <row r="44" spans="1:36" s="179" customFormat="1" ht="267.75" x14ac:dyDescent="0.25">
      <c r="A44" s="6">
        <v>41</v>
      </c>
      <c r="B44" s="31">
        <v>155130</v>
      </c>
      <c r="C44" s="11">
        <v>1190</v>
      </c>
      <c r="D44" s="9" t="s">
        <v>1638</v>
      </c>
      <c r="E44" s="24" t="s">
        <v>2014</v>
      </c>
      <c r="F44" s="11" t="s">
        <v>2208</v>
      </c>
      <c r="G44" s="11" t="s">
        <v>1196</v>
      </c>
      <c r="H44" s="8" t="s">
        <v>151</v>
      </c>
      <c r="I44" s="12" t="s">
        <v>2623</v>
      </c>
      <c r="J44" s="25">
        <v>44697</v>
      </c>
      <c r="K44" s="25">
        <v>45123</v>
      </c>
      <c r="L44" s="26">
        <f t="shared" si="0"/>
        <v>85.000000000000014</v>
      </c>
      <c r="M44" s="11">
        <v>1</v>
      </c>
      <c r="N44" s="11" t="s">
        <v>290</v>
      </c>
      <c r="O44" s="11" t="s">
        <v>1197</v>
      </c>
      <c r="P44" s="27" t="s">
        <v>174</v>
      </c>
      <c r="Q44" s="11" t="s">
        <v>1450</v>
      </c>
      <c r="R44" s="2">
        <f t="shared" si="18"/>
        <v>1186552.3999999999</v>
      </c>
      <c r="S44" s="2">
        <v>1186552.3999999999</v>
      </c>
      <c r="T44" s="2">
        <v>0</v>
      </c>
      <c r="U44" s="1">
        <f t="shared" si="2"/>
        <v>181472.72</v>
      </c>
      <c r="V44" s="28">
        <v>181472.72</v>
      </c>
      <c r="W44" s="28">
        <v>0</v>
      </c>
      <c r="X44" s="1">
        <f t="shared" si="7"/>
        <v>27918.880000000001</v>
      </c>
      <c r="Y44" s="2">
        <v>27918.880000000001</v>
      </c>
      <c r="Z44" s="2">
        <v>0</v>
      </c>
      <c r="AA44" s="2">
        <v>0</v>
      </c>
      <c r="AB44" s="2">
        <v>0</v>
      </c>
      <c r="AC44" s="2">
        <v>0</v>
      </c>
      <c r="AD44" s="16">
        <f t="shared" si="6"/>
        <v>1395943.9999999998</v>
      </c>
      <c r="AE44" s="2">
        <v>0</v>
      </c>
      <c r="AF44" s="2">
        <f t="shared" si="4"/>
        <v>1395943.9999999998</v>
      </c>
      <c r="AG44" s="38" t="s">
        <v>486</v>
      </c>
      <c r="AH44" s="29" t="s">
        <v>151</v>
      </c>
      <c r="AI44" s="30">
        <v>0</v>
      </c>
      <c r="AJ44" s="30">
        <v>0</v>
      </c>
    </row>
    <row r="45" spans="1:36" s="179" customFormat="1" ht="252" x14ac:dyDescent="0.25">
      <c r="A45" s="6">
        <v>42</v>
      </c>
      <c r="B45" s="31">
        <v>155105</v>
      </c>
      <c r="C45" s="11">
        <v>1247</v>
      </c>
      <c r="D45" s="9" t="s">
        <v>1638</v>
      </c>
      <c r="E45" s="24" t="s">
        <v>2014</v>
      </c>
      <c r="F45" s="11" t="s">
        <v>2222</v>
      </c>
      <c r="G45" s="11" t="s">
        <v>287</v>
      </c>
      <c r="H45" s="8" t="s">
        <v>151</v>
      </c>
      <c r="I45" s="12" t="s">
        <v>2624</v>
      </c>
      <c r="J45" s="25">
        <v>44707</v>
      </c>
      <c r="K45" s="25">
        <v>45195</v>
      </c>
      <c r="L45" s="26">
        <f t="shared" si="0"/>
        <v>85</v>
      </c>
      <c r="M45" s="11">
        <v>1</v>
      </c>
      <c r="N45" s="11" t="s">
        <v>290</v>
      </c>
      <c r="O45" s="11" t="s">
        <v>290</v>
      </c>
      <c r="P45" s="27" t="s">
        <v>174</v>
      </c>
      <c r="Q45" s="11" t="s">
        <v>34</v>
      </c>
      <c r="R45" s="2">
        <f t="shared" si="18"/>
        <v>2529859.9300000002</v>
      </c>
      <c r="S45" s="2">
        <v>2529859.9300000002</v>
      </c>
      <c r="T45" s="2">
        <v>0</v>
      </c>
      <c r="U45" s="1">
        <f t="shared" si="2"/>
        <v>386919.75</v>
      </c>
      <c r="V45" s="28">
        <v>386919.75</v>
      </c>
      <c r="W45" s="28">
        <v>0</v>
      </c>
      <c r="X45" s="1">
        <f t="shared" si="7"/>
        <v>59526.12</v>
      </c>
      <c r="Y45" s="2">
        <v>59526.12</v>
      </c>
      <c r="Z45" s="2">
        <v>0</v>
      </c>
      <c r="AA45" s="2">
        <v>0</v>
      </c>
      <c r="AB45" s="2">
        <v>0</v>
      </c>
      <c r="AC45" s="2">
        <v>0</v>
      </c>
      <c r="AD45" s="16">
        <f t="shared" si="6"/>
        <v>2976305.8000000003</v>
      </c>
      <c r="AE45" s="2">
        <v>0</v>
      </c>
      <c r="AF45" s="2">
        <f t="shared" si="4"/>
        <v>2976305.8000000003</v>
      </c>
      <c r="AG45" s="38" t="s">
        <v>486</v>
      </c>
      <c r="AH45" s="29" t="s">
        <v>151</v>
      </c>
      <c r="AI45" s="30">
        <v>0</v>
      </c>
      <c r="AJ45" s="30">
        <v>0</v>
      </c>
    </row>
    <row r="46" spans="1:36" s="179" customFormat="1" ht="186" customHeight="1" x14ac:dyDescent="0.25">
      <c r="A46" s="6">
        <v>43</v>
      </c>
      <c r="B46" s="31">
        <v>122823</v>
      </c>
      <c r="C46" s="11">
        <v>71</v>
      </c>
      <c r="D46" s="9" t="s">
        <v>1638</v>
      </c>
      <c r="E46" s="24" t="s">
        <v>277</v>
      </c>
      <c r="F46" s="27" t="s">
        <v>420</v>
      </c>
      <c r="G46" s="11" t="s">
        <v>418</v>
      </c>
      <c r="H46" s="8" t="s">
        <v>151</v>
      </c>
      <c r="I46" s="12" t="s">
        <v>419</v>
      </c>
      <c r="J46" s="25">
        <v>43244</v>
      </c>
      <c r="K46" s="25">
        <v>43823</v>
      </c>
      <c r="L46" s="26">
        <f t="shared" si="0"/>
        <v>85.000001791562255</v>
      </c>
      <c r="M46" s="11">
        <v>6</v>
      </c>
      <c r="N46" s="11" t="s">
        <v>416</v>
      </c>
      <c r="O46" s="11" t="s">
        <v>417</v>
      </c>
      <c r="P46" s="56" t="s">
        <v>174</v>
      </c>
      <c r="Q46" s="32" t="s">
        <v>34</v>
      </c>
      <c r="R46" s="2">
        <f t="shared" ref="R46:R53" si="20">S46+T46</f>
        <v>355834.7</v>
      </c>
      <c r="S46" s="30">
        <v>355834.7</v>
      </c>
      <c r="T46" s="2">
        <v>0</v>
      </c>
      <c r="U46" s="1">
        <f t="shared" si="2"/>
        <v>54421.769999999982</v>
      </c>
      <c r="V46" s="42">
        <v>54421.769999999982</v>
      </c>
      <c r="W46" s="53">
        <v>0</v>
      </c>
      <c r="X46" s="1">
        <f t="shared" si="7"/>
        <v>8372.58</v>
      </c>
      <c r="Y46" s="39">
        <v>8372.58</v>
      </c>
      <c r="Z46" s="54">
        <v>0</v>
      </c>
      <c r="AA46" s="2">
        <v>0</v>
      </c>
      <c r="AB46" s="2">
        <v>0</v>
      </c>
      <c r="AC46" s="2">
        <v>0</v>
      </c>
      <c r="AD46" s="16">
        <f t="shared" si="6"/>
        <v>418629.05</v>
      </c>
      <c r="AE46" s="2">
        <v>0</v>
      </c>
      <c r="AF46" s="2">
        <f t="shared" si="4"/>
        <v>418629.05</v>
      </c>
      <c r="AG46" s="38" t="s">
        <v>857</v>
      </c>
      <c r="AH46" s="29" t="s">
        <v>1214</v>
      </c>
      <c r="AI46" s="30">
        <v>317160.34000000008</v>
      </c>
      <c r="AJ46" s="30">
        <f>32329.21+5317.87+5421.22+5438.54</f>
        <v>48506.840000000004</v>
      </c>
    </row>
    <row r="47" spans="1:36" s="179" customFormat="1" ht="141.75" x14ac:dyDescent="0.25">
      <c r="A47" s="6">
        <v>44</v>
      </c>
      <c r="B47" s="24">
        <v>119767</v>
      </c>
      <c r="C47" s="24">
        <v>475</v>
      </c>
      <c r="D47" s="9" t="s">
        <v>1638</v>
      </c>
      <c r="E47" s="32" t="s">
        <v>457</v>
      </c>
      <c r="F47" s="27" t="s">
        <v>676</v>
      </c>
      <c r="G47" s="27" t="s">
        <v>677</v>
      </c>
      <c r="H47" s="8" t="s">
        <v>151</v>
      </c>
      <c r="I47" s="12" t="s">
        <v>2625</v>
      </c>
      <c r="J47" s="25">
        <v>43306</v>
      </c>
      <c r="K47" s="25">
        <v>43976</v>
      </c>
      <c r="L47" s="26">
        <f t="shared" si="0"/>
        <v>85.000000000000014</v>
      </c>
      <c r="M47" s="11">
        <v>6</v>
      </c>
      <c r="N47" s="25" t="s">
        <v>416</v>
      </c>
      <c r="O47" s="25" t="s">
        <v>678</v>
      </c>
      <c r="P47" s="25" t="s">
        <v>174</v>
      </c>
      <c r="Q47" s="11" t="s">
        <v>34</v>
      </c>
      <c r="R47" s="2">
        <f t="shared" si="20"/>
        <v>518392.9</v>
      </c>
      <c r="S47" s="2">
        <v>518392.9</v>
      </c>
      <c r="T47" s="2">
        <v>0</v>
      </c>
      <c r="U47" s="1">
        <f t="shared" si="2"/>
        <v>79283.62</v>
      </c>
      <c r="V47" s="42">
        <v>79283.62</v>
      </c>
      <c r="W47" s="53">
        <v>0</v>
      </c>
      <c r="X47" s="1">
        <f t="shared" si="7"/>
        <v>12197.48</v>
      </c>
      <c r="Y47" s="57">
        <v>12197.48</v>
      </c>
      <c r="Z47" s="54">
        <v>0</v>
      </c>
      <c r="AA47" s="2">
        <f t="shared" si="15"/>
        <v>0</v>
      </c>
      <c r="AB47" s="2">
        <v>0</v>
      </c>
      <c r="AC47" s="2">
        <v>0</v>
      </c>
      <c r="AD47" s="16">
        <f t="shared" si="6"/>
        <v>609874</v>
      </c>
      <c r="AE47" s="2">
        <v>0</v>
      </c>
      <c r="AF47" s="2">
        <f t="shared" si="4"/>
        <v>609874</v>
      </c>
      <c r="AG47" s="38" t="s">
        <v>857</v>
      </c>
      <c r="AH47" s="29" t="s">
        <v>1291</v>
      </c>
      <c r="AI47" s="30">
        <f>446121.14+44941.37</f>
        <v>491062.51</v>
      </c>
      <c r="AJ47" s="30">
        <f>68230.29+6873.39</f>
        <v>75103.679999999993</v>
      </c>
    </row>
    <row r="48" spans="1:36" s="179" customFormat="1" ht="269.25" customHeight="1" x14ac:dyDescent="0.25">
      <c r="A48" s="6">
        <v>45</v>
      </c>
      <c r="B48" s="24">
        <v>129383</v>
      </c>
      <c r="C48" s="24">
        <v>685</v>
      </c>
      <c r="D48" s="9" t="s">
        <v>1638</v>
      </c>
      <c r="E48" s="32" t="s">
        <v>1071</v>
      </c>
      <c r="F48" s="27" t="s">
        <v>1156</v>
      </c>
      <c r="G48" s="27" t="s">
        <v>1279</v>
      </c>
      <c r="H48" s="8" t="s">
        <v>151</v>
      </c>
      <c r="I48" s="12" t="s">
        <v>2626</v>
      </c>
      <c r="J48" s="25">
        <v>43657</v>
      </c>
      <c r="K48" s="25">
        <v>44845</v>
      </c>
      <c r="L48" s="26">
        <f t="shared" si="0"/>
        <v>85.000000150473397</v>
      </c>
      <c r="M48" s="11">
        <v>6</v>
      </c>
      <c r="N48" s="25" t="s">
        <v>416</v>
      </c>
      <c r="O48" s="25" t="s">
        <v>1155</v>
      </c>
      <c r="P48" s="25" t="s">
        <v>174</v>
      </c>
      <c r="Q48" s="11" t="s">
        <v>34</v>
      </c>
      <c r="R48" s="2">
        <f t="shared" si="20"/>
        <v>2541977.39</v>
      </c>
      <c r="S48" s="2">
        <v>2541977.39</v>
      </c>
      <c r="T48" s="2">
        <v>0</v>
      </c>
      <c r="U48" s="1">
        <f t="shared" si="2"/>
        <v>388773.02</v>
      </c>
      <c r="V48" s="42">
        <v>388773.02</v>
      </c>
      <c r="W48" s="53">
        <v>0</v>
      </c>
      <c r="X48" s="1">
        <f t="shared" si="7"/>
        <v>59811.22</v>
      </c>
      <c r="Y48" s="57">
        <v>59811.22</v>
      </c>
      <c r="Z48" s="54">
        <v>0</v>
      </c>
      <c r="AA48" s="2">
        <v>0</v>
      </c>
      <c r="AB48" s="2">
        <v>0</v>
      </c>
      <c r="AC48" s="2">
        <v>0</v>
      </c>
      <c r="AD48" s="16">
        <f t="shared" si="6"/>
        <v>2990561.6300000004</v>
      </c>
      <c r="AE48" s="2">
        <v>0</v>
      </c>
      <c r="AF48" s="2">
        <f t="shared" si="4"/>
        <v>2990561.6300000004</v>
      </c>
      <c r="AG48" s="38" t="s">
        <v>486</v>
      </c>
      <c r="AH48" s="29" t="s">
        <v>2349</v>
      </c>
      <c r="AI48" s="30">
        <f>130989.25+2398.77+240645.96</f>
        <v>374033.98</v>
      </c>
      <c r="AJ48" s="30">
        <f>20033.65+366.87+36804.69</f>
        <v>57205.210000000006</v>
      </c>
    </row>
    <row r="49" spans="1:36" s="179" customFormat="1" ht="269.25" customHeight="1" x14ac:dyDescent="0.25">
      <c r="A49" s="6">
        <v>46</v>
      </c>
      <c r="B49" s="24">
        <v>129525</v>
      </c>
      <c r="C49" s="24">
        <v>678</v>
      </c>
      <c r="D49" s="9" t="s">
        <v>1638</v>
      </c>
      <c r="E49" s="24" t="s">
        <v>1071</v>
      </c>
      <c r="F49" s="27" t="s">
        <v>1278</v>
      </c>
      <c r="G49" s="27" t="s">
        <v>677</v>
      </c>
      <c r="H49" s="8" t="s">
        <v>151</v>
      </c>
      <c r="I49" s="12" t="s">
        <v>2627</v>
      </c>
      <c r="J49" s="25">
        <v>43724</v>
      </c>
      <c r="K49" s="25">
        <v>44911</v>
      </c>
      <c r="L49" s="26">
        <f t="shared" si="0"/>
        <v>85.000000715914808</v>
      </c>
      <c r="M49" s="11">
        <v>6</v>
      </c>
      <c r="N49" s="25" t="s">
        <v>416</v>
      </c>
      <c r="O49" s="25" t="s">
        <v>1155</v>
      </c>
      <c r="P49" s="25" t="s">
        <v>174</v>
      </c>
      <c r="Q49" s="11" t="s">
        <v>34</v>
      </c>
      <c r="R49" s="2">
        <f t="shared" si="20"/>
        <v>2255855.02</v>
      </c>
      <c r="S49" s="2">
        <v>2255855.02</v>
      </c>
      <c r="T49" s="2">
        <v>0</v>
      </c>
      <c r="U49" s="1">
        <f t="shared" si="2"/>
        <v>345013.09</v>
      </c>
      <c r="V49" s="42">
        <v>345013.09</v>
      </c>
      <c r="W49" s="53">
        <v>0</v>
      </c>
      <c r="X49" s="1">
        <f t="shared" si="7"/>
        <v>53078.95</v>
      </c>
      <c r="Y49" s="57">
        <v>53078.95</v>
      </c>
      <c r="Z49" s="54">
        <v>0</v>
      </c>
      <c r="AA49" s="2">
        <v>0</v>
      </c>
      <c r="AB49" s="2">
        <v>0</v>
      </c>
      <c r="AC49" s="2">
        <v>0</v>
      </c>
      <c r="AD49" s="16">
        <f t="shared" si="6"/>
        <v>2653947.06</v>
      </c>
      <c r="AE49" s="2">
        <v>0</v>
      </c>
      <c r="AF49" s="2">
        <f t="shared" si="4"/>
        <v>2653947.06</v>
      </c>
      <c r="AG49" s="38" t="s">
        <v>486</v>
      </c>
      <c r="AH49" s="29" t="s">
        <v>2007</v>
      </c>
      <c r="AI49" s="30">
        <f>210000-16810.94-18.2+12969.09+32363.75</f>
        <v>238503.69999999998</v>
      </c>
      <c r="AJ49" s="30">
        <f>16810.94+18.2+14698.15+4949.75</f>
        <v>36477.040000000001</v>
      </c>
    </row>
    <row r="50" spans="1:36" s="179" customFormat="1" ht="267.75" x14ac:dyDescent="0.25">
      <c r="A50" s="6">
        <v>47</v>
      </c>
      <c r="B50" s="58">
        <v>135923</v>
      </c>
      <c r="C50" s="59">
        <v>789</v>
      </c>
      <c r="D50" s="9" t="s">
        <v>1638</v>
      </c>
      <c r="E50" s="60" t="s">
        <v>1441</v>
      </c>
      <c r="F50" s="59" t="s">
        <v>1474</v>
      </c>
      <c r="G50" s="59" t="s">
        <v>1475</v>
      </c>
      <c r="H50" s="8" t="s">
        <v>151</v>
      </c>
      <c r="I50" s="61" t="s">
        <v>1476</v>
      </c>
      <c r="J50" s="62">
        <v>43969</v>
      </c>
      <c r="K50" s="62">
        <v>44548</v>
      </c>
      <c r="L50" s="26">
        <f t="shared" si="0"/>
        <v>85.000001598813043</v>
      </c>
      <c r="M50" s="59">
        <v>6</v>
      </c>
      <c r="N50" s="59" t="s">
        <v>416</v>
      </c>
      <c r="O50" s="59" t="s">
        <v>1477</v>
      </c>
      <c r="P50" s="63" t="s">
        <v>174</v>
      </c>
      <c r="Q50" s="64" t="s">
        <v>1450</v>
      </c>
      <c r="R50" s="2">
        <f t="shared" si="20"/>
        <v>531644.41</v>
      </c>
      <c r="S50" s="65">
        <v>531644.41</v>
      </c>
      <c r="T50" s="65">
        <v>0</v>
      </c>
      <c r="U50" s="1">
        <f t="shared" si="2"/>
        <v>81310.31</v>
      </c>
      <c r="V50" s="66">
        <v>81310.31</v>
      </c>
      <c r="W50" s="66">
        <v>0</v>
      </c>
      <c r="X50" s="1">
        <f t="shared" si="7"/>
        <v>12509.28</v>
      </c>
      <c r="Y50" s="65">
        <v>12509.28</v>
      </c>
      <c r="Z50" s="65">
        <v>0</v>
      </c>
      <c r="AA50" s="2">
        <v>0</v>
      </c>
      <c r="AB50" s="2">
        <v>0</v>
      </c>
      <c r="AC50" s="2">
        <v>0</v>
      </c>
      <c r="AD50" s="16">
        <f t="shared" si="6"/>
        <v>625464</v>
      </c>
      <c r="AE50" s="2">
        <v>0</v>
      </c>
      <c r="AF50" s="2">
        <f t="shared" si="4"/>
        <v>625464</v>
      </c>
      <c r="AG50" s="38" t="s">
        <v>857</v>
      </c>
      <c r="AH50" s="29" t="s">
        <v>1749</v>
      </c>
      <c r="AI50" s="30">
        <f>12749.15+312173.15+131747.89</f>
        <v>456670.19000000006</v>
      </c>
      <c r="AJ50" s="30">
        <f>1949.87+47744.13+20149.67</f>
        <v>69843.67</v>
      </c>
    </row>
    <row r="51" spans="1:36" s="179" customFormat="1" ht="267.75" x14ac:dyDescent="0.25">
      <c r="A51" s="6">
        <v>48</v>
      </c>
      <c r="B51" s="58">
        <v>135973</v>
      </c>
      <c r="C51" s="59">
        <v>820</v>
      </c>
      <c r="D51" s="9" t="s">
        <v>1638</v>
      </c>
      <c r="E51" s="60" t="s">
        <v>1441</v>
      </c>
      <c r="F51" s="59" t="s">
        <v>1545</v>
      </c>
      <c r="G51" s="59" t="s">
        <v>1279</v>
      </c>
      <c r="H51" s="8" t="s">
        <v>151</v>
      </c>
      <c r="I51" s="61" t="s">
        <v>1546</v>
      </c>
      <c r="J51" s="62">
        <v>44001</v>
      </c>
      <c r="K51" s="62">
        <v>45279</v>
      </c>
      <c r="L51" s="26">
        <f t="shared" si="0"/>
        <v>84.999999931221893</v>
      </c>
      <c r="M51" s="59">
        <v>6</v>
      </c>
      <c r="N51" s="59" t="s">
        <v>416</v>
      </c>
      <c r="O51" s="59" t="s">
        <v>1279</v>
      </c>
      <c r="P51" s="63" t="s">
        <v>174</v>
      </c>
      <c r="Q51" s="64" t="s">
        <v>1450</v>
      </c>
      <c r="R51" s="2">
        <f t="shared" si="20"/>
        <v>3089646.17</v>
      </c>
      <c r="S51" s="65">
        <v>3089646.17</v>
      </c>
      <c r="T51" s="65">
        <v>0</v>
      </c>
      <c r="U51" s="1">
        <f t="shared" si="2"/>
        <v>472534.12</v>
      </c>
      <c r="V51" s="66">
        <v>472534.12</v>
      </c>
      <c r="W51" s="66">
        <v>0</v>
      </c>
      <c r="X51" s="1">
        <f t="shared" si="7"/>
        <v>72697.56</v>
      </c>
      <c r="Y51" s="65">
        <v>72697.56</v>
      </c>
      <c r="Z51" s="65">
        <v>0</v>
      </c>
      <c r="AA51" s="2">
        <v>0</v>
      </c>
      <c r="AB51" s="2">
        <v>0</v>
      </c>
      <c r="AC51" s="2">
        <v>0</v>
      </c>
      <c r="AD51" s="16">
        <f t="shared" si="6"/>
        <v>3634877.85</v>
      </c>
      <c r="AE51" s="2">
        <v>0</v>
      </c>
      <c r="AF51" s="2">
        <f t="shared" si="4"/>
        <v>3634877.85</v>
      </c>
      <c r="AG51" s="38" t="s">
        <v>486</v>
      </c>
      <c r="AH51" s="29" t="s">
        <v>3278</v>
      </c>
      <c r="AI51" s="30">
        <f>2528.75+617217.3</f>
        <v>619746.05000000005</v>
      </c>
      <c r="AJ51" s="30">
        <f>386.75+94397.94</f>
        <v>94784.69</v>
      </c>
    </row>
    <row r="52" spans="1:36" s="179" customFormat="1" ht="267.75" x14ac:dyDescent="0.25">
      <c r="A52" s="6">
        <v>49</v>
      </c>
      <c r="B52" s="58">
        <v>152205</v>
      </c>
      <c r="C52" s="59">
        <v>1143</v>
      </c>
      <c r="D52" s="9" t="s">
        <v>1639</v>
      </c>
      <c r="E52" s="24" t="s">
        <v>1801</v>
      </c>
      <c r="F52" s="59" t="s">
        <v>1940</v>
      </c>
      <c r="G52" s="59" t="s">
        <v>1475</v>
      </c>
      <c r="H52" s="8" t="s">
        <v>151</v>
      </c>
      <c r="I52" s="61" t="s">
        <v>2628</v>
      </c>
      <c r="J52" s="62">
        <v>44546</v>
      </c>
      <c r="K52" s="62">
        <v>44911</v>
      </c>
      <c r="L52" s="26">
        <f t="shared" si="0"/>
        <v>85.000001206367202</v>
      </c>
      <c r="M52" s="59">
        <v>6</v>
      </c>
      <c r="N52" s="59" t="s">
        <v>416</v>
      </c>
      <c r="O52" s="59" t="s">
        <v>1477</v>
      </c>
      <c r="P52" s="63" t="s">
        <v>174</v>
      </c>
      <c r="Q52" s="64" t="s">
        <v>1450</v>
      </c>
      <c r="R52" s="2">
        <f t="shared" si="20"/>
        <v>352297.38</v>
      </c>
      <c r="S52" s="65">
        <v>352297.38</v>
      </c>
      <c r="T52" s="65">
        <v>0</v>
      </c>
      <c r="U52" s="1">
        <f t="shared" si="2"/>
        <v>53880.77</v>
      </c>
      <c r="V52" s="66">
        <v>53880.77</v>
      </c>
      <c r="W52" s="66">
        <v>0</v>
      </c>
      <c r="X52" s="1">
        <f t="shared" si="7"/>
        <v>8289.35</v>
      </c>
      <c r="Y52" s="65">
        <v>8289.35</v>
      </c>
      <c r="Z52" s="65">
        <v>0</v>
      </c>
      <c r="AA52" s="2">
        <v>0</v>
      </c>
      <c r="AB52" s="2">
        <v>0</v>
      </c>
      <c r="AC52" s="2">
        <v>0</v>
      </c>
      <c r="AD52" s="16">
        <f t="shared" si="6"/>
        <v>414467.5</v>
      </c>
      <c r="AE52" s="2">
        <v>0</v>
      </c>
      <c r="AF52" s="2">
        <f t="shared" si="4"/>
        <v>414467.5</v>
      </c>
      <c r="AG52" s="38" t="s">
        <v>486</v>
      </c>
      <c r="AH52" s="29"/>
      <c r="AI52" s="30">
        <v>0</v>
      </c>
      <c r="AJ52" s="30">
        <v>0</v>
      </c>
    </row>
    <row r="53" spans="1:36" s="179" customFormat="1" ht="267.75" x14ac:dyDescent="0.25">
      <c r="A53" s="6">
        <v>50</v>
      </c>
      <c r="B53" s="58">
        <v>155163</v>
      </c>
      <c r="C53" s="59">
        <v>1204</v>
      </c>
      <c r="D53" s="9" t="s">
        <v>1638</v>
      </c>
      <c r="E53" s="24" t="s">
        <v>2014</v>
      </c>
      <c r="F53" s="59" t="s">
        <v>2139</v>
      </c>
      <c r="G53" s="59" t="s">
        <v>418</v>
      </c>
      <c r="H53" s="8" t="s">
        <v>151</v>
      </c>
      <c r="I53" s="61" t="s">
        <v>2629</v>
      </c>
      <c r="J53" s="62">
        <v>44665</v>
      </c>
      <c r="K53" s="62">
        <v>45152</v>
      </c>
      <c r="L53" s="26">
        <f t="shared" si="0"/>
        <v>85.000000266827954</v>
      </c>
      <c r="M53" s="59">
        <v>6</v>
      </c>
      <c r="N53" s="59" t="s">
        <v>416</v>
      </c>
      <c r="O53" s="59" t="s">
        <v>417</v>
      </c>
      <c r="P53" s="63" t="s">
        <v>174</v>
      </c>
      <c r="Q53" s="64" t="s">
        <v>1450</v>
      </c>
      <c r="R53" s="2">
        <f t="shared" si="20"/>
        <v>1592786.7</v>
      </c>
      <c r="S53" s="65">
        <v>1592786.7</v>
      </c>
      <c r="T53" s="65">
        <v>0</v>
      </c>
      <c r="U53" s="1">
        <f t="shared" si="2"/>
        <v>243602.67</v>
      </c>
      <c r="V53" s="66">
        <v>243602.67</v>
      </c>
      <c r="W53" s="66">
        <v>0</v>
      </c>
      <c r="X53" s="1">
        <f t="shared" si="7"/>
        <v>37477.33</v>
      </c>
      <c r="Y53" s="65">
        <v>37477.33</v>
      </c>
      <c r="Z53" s="65">
        <v>0</v>
      </c>
      <c r="AA53" s="2">
        <v>0</v>
      </c>
      <c r="AB53" s="2">
        <v>0</v>
      </c>
      <c r="AC53" s="2">
        <v>0</v>
      </c>
      <c r="AD53" s="16">
        <f t="shared" si="6"/>
        <v>1873866.7</v>
      </c>
      <c r="AE53" s="2">
        <v>0</v>
      </c>
      <c r="AF53" s="2">
        <f t="shared" si="4"/>
        <v>1873866.7</v>
      </c>
      <c r="AG53" s="38" t="s">
        <v>486</v>
      </c>
      <c r="AH53" s="29"/>
      <c r="AI53" s="30">
        <v>180000</v>
      </c>
      <c r="AJ53" s="30">
        <v>0</v>
      </c>
    </row>
    <row r="54" spans="1:36" s="181" customFormat="1" ht="141.75" x14ac:dyDescent="0.25">
      <c r="A54" s="6">
        <v>51</v>
      </c>
      <c r="B54" s="31">
        <v>120599</v>
      </c>
      <c r="C54" s="11">
        <v>75</v>
      </c>
      <c r="D54" s="9" t="s">
        <v>1638</v>
      </c>
      <c r="E54" s="24" t="s">
        <v>277</v>
      </c>
      <c r="F54" s="27" t="s">
        <v>204</v>
      </c>
      <c r="G54" s="11" t="s">
        <v>205</v>
      </c>
      <c r="H54" s="8" t="s">
        <v>151</v>
      </c>
      <c r="I54" s="56" t="s">
        <v>679</v>
      </c>
      <c r="J54" s="25">
        <v>43145</v>
      </c>
      <c r="K54" s="25">
        <v>43813</v>
      </c>
      <c r="L54" s="26">
        <f t="shared" si="0"/>
        <v>84.999998786570643</v>
      </c>
      <c r="M54" s="11">
        <v>6</v>
      </c>
      <c r="N54" s="11" t="s">
        <v>218</v>
      </c>
      <c r="O54" s="11" t="s">
        <v>1501</v>
      </c>
      <c r="P54" s="27" t="s">
        <v>174</v>
      </c>
      <c r="Q54" s="32" t="s">
        <v>34</v>
      </c>
      <c r="R54" s="2">
        <f t="shared" ref="R54:R63" si="21">S54+T54</f>
        <v>350247</v>
      </c>
      <c r="S54" s="2">
        <v>350247</v>
      </c>
      <c r="T54" s="2">
        <v>0</v>
      </c>
      <c r="U54" s="1">
        <f t="shared" si="2"/>
        <v>53567.19</v>
      </c>
      <c r="V54" s="42">
        <v>53567.19</v>
      </c>
      <c r="W54" s="53">
        <v>0</v>
      </c>
      <c r="X54" s="1">
        <f t="shared" si="7"/>
        <v>8241.11</v>
      </c>
      <c r="Y54" s="57">
        <v>8241.11</v>
      </c>
      <c r="Z54" s="1">
        <v>0</v>
      </c>
      <c r="AA54" s="2">
        <v>0</v>
      </c>
      <c r="AB54" s="2">
        <v>0</v>
      </c>
      <c r="AC54" s="2">
        <v>0</v>
      </c>
      <c r="AD54" s="16">
        <f t="shared" si="6"/>
        <v>412055.3</v>
      </c>
      <c r="AE54" s="2">
        <v>0</v>
      </c>
      <c r="AF54" s="2">
        <f t="shared" ref="AF54:AF61" si="22">AD54+AE54</f>
        <v>412055.3</v>
      </c>
      <c r="AG54" s="21" t="s">
        <v>857</v>
      </c>
      <c r="AH54" s="29" t="s">
        <v>1106</v>
      </c>
      <c r="AI54" s="30">
        <v>299284.74</v>
      </c>
      <c r="AJ54" s="30">
        <v>45772.95</v>
      </c>
    </row>
    <row r="55" spans="1:36" s="181" customFormat="1" ht="141.75" x14ac:dyDescent="0.25">
      <c r="A55" s="6">
        <v>52</v>
      </c>
      <c r="B55" s="31">
        <v>128636</v>
      </c>
      <c r="C55" s="11">
        <v>687</v>
      </c>
      <c r="D55" s="9" t="s">
        <v>1638</v>
      </c>
      <c r="E55" s="24" t="s">
        <v>1071</v>
      </c>
      <c r="F55" s="67" t="s">
        <v>1303</v>
      </c>
      <c r="G55" s="11" t="s">
        <v>205</v>
      </c>
      <c r="H55" s="8" t="s">
        <v>151</v>
      </c>
      <c r="I55" s="56" t="s">
        <v>1304</v>
      </c>
      <c r="J55" s="25">
        <v>43739</v>
      </c>
      <c r="K55" s="25">
        <v>44287</v>
      </c>
      <c r="L55" s="26">
        <f t="shared" si="0"/>
        <v>85</v>
      </c>
      <c r="M55" s="11">
        <v>6</v>
      </c>
      <c r="N55" s="11" t="s">
        <v>218</v>
      </c>
      <c r="O55" s="11" t="s">
        <v>1501</v>
      </c>
      <c r="P55" s="27" t="s">
        <v>174</v>
      </c>
      <c r="Q55" s="32" t="s">
        <v>34</v>
      </c>
      <c r="R55" s="2">
        <f t="shared" si="21"/>
        <v>1364282.3</v>
      </c>
      <c r="S55" s="2">
        <v>1364282.3</v>
      </c>
      <c r="T55" s="2">
        <v>0</v>
      </c>
      <c r="U55" s="1">
        <f t="shared" si="2"/>
        <v>208654.94</v>
      </c>
      <c r="V55" s="42">
        <v>208654.94</v>
      </c>
      <c r="W55" s="53">
        <v>0</v>
      </c>
      <c r="X55" s="1">
        <f t="shared" si="7"/>
        <v>32100.76</v>
      </c>
      <c r="Y55" s="57">
        <v>32100.76</v>
      </c>
      <c r="Z55" s="1">
        <v>0</v>
      </c>
      <c r="AA55" s="2">
        <v>0</v>
      </c>
      <c r="AB55" s="2">
        <v>0</v>
      </c>
      <c r="AC55" s="2">
        <v>0</v>
      </c>
      <c r="AD55" s="16">
        <f t="shared" si="6"/>
        <v>1605038</v>
      </c>
      <c r="AE55" s="2">
        <v>0</v>
      </c>
      <c r="AF55" s="2">
        <f t="shared" si="22"/>
        <v>1605038</v>
      </c>
      <c r="AG55" s="38" t="s">
        <v>857</v>
      </c>
      <c r="AH55" s="29" t="s">
        <v>1712</v>
      </c>
      <c r="AI55" s="30">
        <f>50302.83+49799.8+40727.75+36651.15+171566.55+974297.03</f>
        <v>1323345.1099999999</v>
      </c>
      <c r="AJ55" s="30">
        <f>7693.37+7616.44+6228.95+5605.47+26239.59+149010.13</f>
        <v>202393.95</v>
      </c>
    </row>
    <row r="56" spans="1:36" s="181" customFormat="1" ht="204.75" x14ac:dyDescent="0.25">
      <c r="A56" s="6">
        <v>53</v>
      </c>
      <c r="B56" s="31">
        <v>129687</v>
      </c>
      <c r="C56" s="11">
        <v>667</v>
      </c>
      <c r="D56" s="9" t="s">
        <v>1638</v>
      </c>
      <c r="E56" s="24" t="s">
        <v>1071</v>
      </c>
      <c r="F56" s="67" t="s">
        <v>1144</v>
      </c>
      <c r="G56" s="11" t="s">
        <v>1145</v>
      </c>
      <c r="H56" s="8" t="s">
        <v>151</v>
      </c>
      <c r="I56" s="56" t="s">
        <v>2630</v>
      </c>
      <c r="J56" s="25">
        <v>43654</v>
      </c>
      <c r="K56" s="25">
        <v>44508</v>
      </c>
      <c r="L56" s="26">
        <f t="shared" si="0"/>
        <v>85</v>
      </c>
      <c r="M56" s="11">
        <f>$M$54</f>
        <v>6</v>
      </c>
      <c r="N56" s="11" t="str">
        <f t="shared" ref="N56" si="23">N54</f>
        <v>Bistrița-Năsăud</v>
      </c>
      <c r="O56" s="11" t="s">
        <v>1501</v>
      </c>
      <c r="P56" s="27" t="s">
        <v>174</v>
      </c>
      <c r="Q56" s="32" t="s">
        <v>34</v>
      </c>
      <c r="R56" s="2">
        <f t="shared" si="21"/>
        <v>2626630.9</v>
      </c>
      <c r="S56" s="2">
        <v>2626630.9</v>
      </c>
      <c r="T56" s="2">
        <v>0</v>
      </c>
      <c r="U56" s="1">
        <f t="shared" si="2"/>
        <v>401720.02</v>
      </c>
      <c r="V56" s="42">
        <v>401720.02</v>
      </c>
      <c r="W56" s="53">
        <v>0</v>
      </c>
      <c r="X56" s="1">
        <f t="shared" si="7"/>
        <v>61803.08</v>
      </c>
      <c r="Y56" s="57">
        <v>61803.08</v>
      </c>
      <c r="Z56" s="1">
        <v>0</v>
      </c>
      <c r="AA56" s="2">
        <v>0</v>
      </c>
      <c r="AB56" s="2">
        <v>0</v>
      </c>
      <c r="AC56" s="2">
        <v>0</v>
      </c>
      <c r="AD56" s="16">
        <f t="shared" si="6"/>
        <v>3090154</v>
      </c>
      <c r="AE56" s="2">
        <v>0</v>
      </c>
      <c r="AF56" s="2">
        <f t="shared" si="22"/>
        <v>3090154</v>
      </c>
      <c r="AG56" s="21" t="s">
        <v>857</v>
      </c>
      <c r="AH56" s="29" t="s">
        <v>1765</v>
      </c>
      <c r="AI56" s="30">
        <f>71886.37+17000+26602.45+30668.85+392844.76+327144.99+42386.4+151027.08+939356.03</f>
        <v>1998916.93</v>
      </c>
      <c r="AJ56" s="30">
        <f>10994.39+2600+4068.61+4690.53+60082.13+50033.94+6482.62+23098.25+143666.23</f>
        <v>305716.7</v>
      </c>
    </row>
    <row r="57" spans="1:36" s="181" customFormat="1" ht="141.75" x14ac:dyDescent="0.25">
      <c r="A57" s="6">
        <v>54</v>
      </c>
      <c r="B57" s="31">
        <v>135977</v>
      </c>
      <c r="C57" s="11">
        <v>766</v>
      </c>
      <c r="D57" s="9" t="s">
        <v>1638</v>
      </c>
      <c r="E57" s="24" t="s">
        <v>1441</v>
      </c>
      <c r="F57" s="11" t="s">
        <v>1499</v>
      </c>
      <c r="G57" s="11" t="s">
        <v>205</v>
      </c>
      <c r="H57" s="8" t="s">
        <v>151</v>
      </c>
      <c r="I57" s="12" t="s">
        <v>1500</v>
      </c>
      <c r="J57" s="25">
        <v>43973</v>
      </c>
      <c r="K57" s="25">
        <v>44917</v>
      </c>
      <c r="L57" s="26">
        <f t="shared" si="0"/>
        <v>84.99999942527073</v>
      </c>
      <c r="M57" s="11">
        <v>6</v>
      </c>
      <c r="N57" s="11" t="s">
        <v>218</v>
      </c>
      <c r="O57" s="11" t="s">
        <v>1501</v>
      </c>
      <c r="P57" s="27" t="s">
        <v>174</v>
      </c>
      <c r="Q57" s="11" t="s">
        <v>34</v>
      </c>
      <c r="R57" s="2">
        <f t="shared" si="21"/>
        <v>665530.76</v>
      </c>
      <c r="S57" s="2">
        <v>665530.76</v>
      </c>
      <c r="T57" s="2">
        <v>0</v>
      </c>
      <c r="U57" s="1">
        <f t="shared" si="2"/>
        <v>101787.06</v>
      </c>
      <c r="V57" s="28">
        <v>101787.06</v>
      </c>
      <c r="W57" s="28">
        <v>0</v>
      </c>
      <c r="X57" s="1">
        <f t="shared" si="7"/>
        <v>15659.55</v>
      </c>
      <c r="Y57" s="2">
        <v>15659.55</v>
      </c>
      <c r="Z57" s="2">
        <v>0</v>
      </c>
      <c r="AA57" s="2">
        <v>0</v>
      </c>
      <c r="AB57" s="2">
        <v>0</v>
      </c>
      <c r="AC57" s="2">
        <v>0</v>
      </c>
      <c r="AD57" s="16">
        <f t="shared" si="6"/>
        <v>782977.37000000011</v>
      </c>
      <c r="AE57" s="2">
        <v>0</v>
      </c>
      <c r="AF57" s="2">
        <f t="shared" si="22"/>
        <v>782977.37000000011</v>
      </c>
      <c r="AG57" s="21" t="s">
        <v>1431</v>
      </c>
      <c r="AH57" s="29" t="s">
        <v>3283</v>
      </c>
      <c r="AI57" s="30">
        <f>35945.1+78297.73-9685.65</f>
        <v>104557.18</v>
      </c>
      <c r="AJ57" s="30">
        <f>5497.48+9685.65</f>
        <v>15183.13</v>
      </c>
    </row>
    <row r="58" spans="1:36" s="181" customFormat="1" ht="204.75" x14ac:dyDescent="0.25">
      <c r="A58" s="6">
        <v>55</v>
      </c>
      <c r="B58" s="31">
        <v>152142</v>
      </c>
      <c r="C58" s="11">
        <v>1119</v>
      </c>
      <c r="D58" s="9" t="s">
        <v>1639</v>
      </c>
      <c r="E58" s="24" t="s">
        <v>1801</v>
      </c>
      <c r="F58" s="31" t="s">
        <v>1923</v>
      </c>
      <c r="G58" s="11" t="s">
        <v>1922</v>
      </c>
      <c r="H58" s="11" t="s">
        <v>1924</v>
      </c>
      <c r="I58" s="12" t="s">
        <v>1925</v>
      </c>
      <c r="J58" s="25">
        <v>44536</v>
      </c>
      <c r="K58" s="25">
        <v>45264</v>
      </c>
      <c r="L58" s="26">
        <f t="shared" si="0"/>
        <v>85.000001747144381</v>
      </c>
      <c r="M58" s="11">
        <v>6</v>
      </c>
      <c r="N58" s="11" t="s">
        <v>218</v>
      </c>
      <c r="O58" s="11" t="s">
        <v>1501</v>
      </c>
      <c r="P58" s="27" t="s">
        <v>174</v>
      </c>
      <c r="Q58" s="11" t="s">
        <v>34</v>
      </c>
      <c r="R58" s="2">
        <f t="shared" si="21"/>
        <v>340555.72</v>
      </c>
      <c r="S58" s="2">
        <v>340555.72</v>
      </c>
      <c r="T58" s="2">
        <v>0</v>
      </c>
      <c r="U58" s="1">
        <f t="shared" si="2"/>
        <v>48197.52</v>
      </c>
      <c r="V58" s="28">
        <v>48197.52</v>
      </c>
      <c r="W58" s="28">
        <v>0</v>
      </c>
      <c r="X58" s="1">
        <f t="shared" si="7"/>
        <v>11900.54</v>
      </c>
      <c r="Y58" s="2">
        <v>11900.54</v>
      </c>
      <c r="Z58" s="2">
        <v>0</v>
      </c>
      <c r="AA58" s="2">
        <v>0</v>
      </c>
      <c r="AB58" s="2">
        <v>0</v>
      </c>
      <c r="AC58" s="2">
        <v>0</v>
      </c>
      <c r="AD58" s="16">
        <f t="shared" si="6"/>
        <v>400653.77999999997</v>
      </c>
      <c r="AE58" s="2">
        <v>0</v>
      </c>
      <c r="AF58" s="2">
        <f t="shared" si="22"/>
        <v>400653.77999999997</v>
      </c>
      <c r="AG58" s="21" t="s">
        <v>1431</v>
      </c>
      <c r="AH58" s="29"/>
      <c r="AI58" s="30">
        <v>0</v>
      </c>
      <c r="AJ58" s="30">
        <v>0</v>
      </c>
    </row>
    <row r="59" spans="1:36" s="181" customFormat="1" ht="189" x14ac:dyDescent="0.25">
      <c r="A59" s="6">
        <v>56</v>
      </c>
      <c r="B59" s="31">
        <v>152089</v>
      </c>
      <c r="C59" s="11">
        <v>1131</v>
      </c>
      <c r="D59" s="9" t="s">
        <v>1639</v>
      </c>
      <c r="E59" s="24" t="s">
        <v>1801</v>
      </c>
      <c r="F59" s="31" t="s">
        <v>1948</v>
      </c>
      <c r="G59" s="11" t="s">
        <v>1501</v>
      </c>
      <c r="H59" s="11" t="s">
        <v>151</v>
      </c>
      <c r="I59" s="12" t="s">
        <v>1949</v>
      </c>
      <c r="J59" s="25">
        <v>44551</v>
      </c>
      <c r="K59" s="25">
        <v>45037</v>
      </c>
      <c r="L59" s="26">
        <f t="shared" si="0"/>
        <v>85.000000000000014</v>
      </c>
      <c r="M59" s="11">
        <v>6</v>
      </c>
      <c r="N59" s="11" t="s">
        <v>218</v>
      </c>
      <c r="O59" s="11" t="s">
        <v>1501</v>
      </c>
      <c r="P59" s="27" t="s">
        <v>174</v>
      </c>
      <c r="Q59" s="11" t="s">
        <v>34</v>
      </c>
      <c r="R59" s="2">
        <f t="shared" si="21"/>
        <v>287741.15000000002</v>
      </c>
      <c r="S59" s="2">
        <v>287741.15000000002</v>
      </c>
      <c r="T59" s="2">
        <v>0</v>
      </c>
      <c r="U59" s="1">
        <f t="shared" si="2"/>
        <v>44007.47</v>
      </c>
      <c r="V59" s="28">
        <v>44007.47</v>
      </c>
      <c r="W59" s="28">
        <v>0</v>
      </c>
      <c r="X59" s="1">
        <f t="shared" si="7"/>
        <v>6770.38</v>
      </c>
      <c r="Y59" s="2">
        <v>6770.38</v>
      </c>
      <c r="Z59" s="2">
        <v>0</v>
      </c>
      <c r="AA59" s="2">
        <v>0</v>
      </c>
      <c r="AB59" s="2">
        <v>0</v>
      </c>
      <c r="AC59" s="2">
        <v>0</v>
      </c>
      <c r="AD59" s="16">
        <f t="shared" si="6"/>
        <v>338519</v>
      </c>
      <c r="AE59" s="2">
        <v>0</v>
      </c>
      <c r="AF59" s="2">
        <f t="shared" si="22"/>
        <v>338519</v>
      </c>
      <c r="AG59" s="21" t="s">
        <v>1431</v>
      </c>
      <c r="AH59" s="29"/>
      <c r="AI59" s="30">
        <v>0</v>
      </c>
      <c r="AJ59" s="30">
        <v>0</v>
      </c>
    </row>
    <row r="60" spans="1:36" s="181" customFormat="1" ht="141.75" x14ac:dyDescent="0.25">
      <c r="A60" s="6">
        <v>57</v>
      </c>
      <c r="B60" s="31">
        <v>155019</v>
      </c>
      <c r="C60" s="11">
        <v>1193</v>
      </c>
      <c r="D60" s="9" t="s">
        <v>1638</v>
      </c>
      <c r="E60" s="24" t="s">
        <v>2014</v>
      </c>
      <c r="F60" s="31" t="s">
        <v>2117</v>
      </c>
      <c r="G60" s="11" t="s">
        <v>1922</v>
      </c>
      <c r="H60" s="11" t="s">
        <v>151</v>
      </c>
      <c r="I60" s="12" t="s">
        <v>2118</v>
      </c>
      <c r="J60" s="25">
        <v>44662</v>
      </c>
      <c r="K60" s="25">
        <v>45149</v>
      </c>
      <c r="L60" s="26">
        <f t="shared" si="0"/>
        <v>85.000000508510922</v>
      </c>
      <c r="M60" s="11">
        <v>6</v>
      </c>
      <c r="N60" s="11" t="s">
        <v>218</v>
      </c>
      <c r="O60" s="11" t="s">
        <v>1501</v>
      </c>
      <c r="P60" s="27" t="s">
        <v>174</v>
      </c>
      <c r="Q60" s="11" t="s">
        <v>34</v>
      </c>
      <c r="R60" s="2">
        <f t="shared" si="21"/>
        <v>2005856.6</v>
      </c>
      <c r="S60" s="2">
        <v>2005856.6</v>
      </c>
      <c r="T60" s="2">
        <v>0</v>
      </c>
      <c r="U60" s="1">
        <f t="shared" si="2"/>
        <v>306778.06</v>
      </c>
      <c r="V60" s="28">
        <v>306778.06</v>
      </c>
      <c r="W60" s="28">
        <v>0</v>
      </c>
      <c r="X60" s="1">
        <f t="shared" si="7"/>
        <v>47196.62</v>
      </c>
      <c r="Y60" s="2">
        <v>47196.62</v>
      </c>
      <c r="Z60" s="2">
        <v>0</v>
      </c>
      <c r="AA60" s="2">
        <v>0</v>
      </c>
      <c r="AB60" s="2">
        <v>0</v>
      </c>
      <c r="AC60" s="2">
        <v>0</v>
      </c>
      <c r="AD60" s="16">
        <f t="shared" si="6"/>
        <v>2359831.2800000003</v>
      </c>
      <c r="AE60" s="2">
        <v>0</v>
      </c>
      <c r="AF60" s="2">
        <f t="shared" si="22"/>
        <v>2359831.2800000003</v>
      </c>
      <c r="AG60" s="21" t="s">
        <v>1431</v>
      </c>
      <c r="AH60" s="29"/>
      <c r="AI60" s="30">
        <v>0</v>
      </c>
      <c r="AJ60" s="30">
        <v>0</v>
      </c>
    </row>
    <row r="61" spans="1:36" s="181" customFormat="1" ht="157.5" x14ac:dyDescent="0.25">
      <c r="A61" s="6">
        <v>58</v>
      </c>
      <c r="B61" s="31">
        <v>154519</v>
      </c>
      <c r="C61" s="11">
        <v>1231</v>
      </c>
      <c r="D61" s="9" t="s">
        <v>1638</v>
      </c>
      <c r="E61" s="24" t="s">
        <v>2014</v>
      </c>
      <c r="F61" s="31" t="s">
        <v>2282</v>
      </c>
      <c r="G61" s="11" t="s">
        <v>1501</v>
      </c>
      <c r="H61" s="11" t="s">
        <v>151</v>
      </c>
      <c r="I61" s="12" t="s">
        <v>2631</v>
      </c>
      <c r="J61" s="25">
        <v>44728</v>
      </c>
      <c r="K61" s="25">
        <v>45215</v>
      </c>
      <c r="L61" s="26">
        <f t="shared" si="0"/>
        <v>85.000000102463531</v>
      </c>
      <c r="M61" s="11">
        <v>6</v>
      </c>
      <c r="N61" s="11" t="s">
        <v>218</v>
      </c>
      <c r="O61" s="11" t="s">
        <v>1501</v>
      </c>
      <c r="P61" s="27" t="s">
        <v>174</v>
      </c>
      <c r="Q61" s="11" t="s">
        <v>34</v>
      </c>
      <c r="R61" s="2">
        <f t="shared" si="21"/>
        <v>1659126.8</v>
      </c>
      <c r="S61" s="2">
        <v>1659126.8</v>
      </c>
      <c r="T61" s="2">
        <v>0</v>
      </c>
      <c r="U61" s="1">
        <f t="shared" si="2"/>
        <v>253748.79</v>
      </c>
      <c r="V61" s="28">
        <v>253748.79</v>
      </c>
      <c r="W61" s="28">
        <v>0</v>
      </c>
      <c r="X61" s="1">
        <f t="shared" si="7"/>
        <v>39038.29</v>
      </c>
      <c r="Y61" s="2">
        <v>39038.29</v>
      </c>
      <c r="Z61" s="2">
        <v>0</v>
      </c>
      <c r="AA61" s="2">
        <v>0</v>
      </c>
      <c r="AB61" s="2">
        <v>0</v>
      </c>
      <c r="AC61" s="2">
        <v>0</v>
      </c>
      <c r="AD61" s="16">
        <f t="shared" si="6"/>
        <v>1951913.8800000001</v>
      </c>
      <c r="AE61" s="2">
        <v>0</v>
      </c>
      <c r="AF61" s="2">
        <f t="shared" si="22"/>
        <v>1951913.8800000001</v>
      </c>
      <c r="AG61" s="21" t="s">
        <v>1431</v>
      </c>
      <c r="AH61" s="29"/>
      <c r="AI61" s="30">
        <v>0</v>
      </c>
      <c r="AJ61" s="30">
        <v>0</v>
      </c>
    </row>
    <row r="62" spans="1:36" s="179" customFormat="1" ht="291" customHeight="1" x14ac:dyDescent="0.25">
      <c r="A62" s="6">
        <v>59</v>
      </c>
      <c r="B62" s="31">
        <v>119593</v>
      </c>
      <c r="C62" s="11">
        <v>467</v>
      </c>
      <c r="D62" s="9" t="s">
        <v>1638</v>
      </c>
      <c r="E62" s="32" t="s">
        <v>457</v>
      </c>
      <c r="F62" s="11" t="s">
        <v>631</v>
      </c>
      <c r="G62" s="11" t="s">
        <v>632</v>
      </c>
      <c r="H62" s="11" t="s">
        <v>283</v>
      </c>
      <c r="I62" s="32" t="s">
        <v>2632</v>
      </c>
      <c r="J62" s="25">
        <v>43293</v>
      </c>
      <c r="K62" s="25">
        <v>43811</v>
      </c>
      <c r="L62" s="26">
        <f t="shared" si="0"/>
        <v>84.262029230668674</v>
      </c>
      <c r="M62" s="11">
        <v>1</v>
      </c>
      <c r="N62" s="11" t="s">
        <v>633</v>
      </c>
      <c r="O62" s="11" t="s">
        <v>633</v>
      </c>
      <c r="P62" s="11" t="s">
        <v>174</v>
      </c>
      <c r="Q62" s="11" t="s">
        <v>34</v>
      </c>
      <c r="R62" s="1">
        <f t="shared" ref="R62" si="24">S62+T62</f>
        <v>349239.24</v>
      </c>
      <c r="S62" s="30">
        <v>349239.24</v>
      </c>
      <c r="T62" s="2">
        <v>0</v>
      </c>
      <c r="U62" s="1">
        <f t="shared" si="2"/>
        <v>56939.5</v>
      </c>
      <c r="V62" s="42">
        <v>56939.5</v>
      </c>
      <c r="W62" s="28">
        <v>0</v>
      </c>
      <c r="X62" s="1">
        <f t="shared" si="7"/>
        <v>4690.93</v>
      </c>
      <c r="Y62" s="30">
        <v>4690.93</v>
      </c>
      <c r="Z62" s="30">
        <v>0</v>
      </c>
      <c r="AA62" s="2">
        <f t="shared" ref="AA62" si="25">AB62+AC62</f>
        <v>3598.44</v>
      </c>
      <c r="AB62" s="2">
        <v>3598.44</v>
      </c>
      <c r="AC62" s="2">
        <v>0</v>
      </c>
      <c r="AD62" s="16">
        <f t="shared" si="6"/>
        <v>414468.11</v>
      </c>
      <c r="AE62" s="35"/>
      <c r="AF62" s="2">
        <f t="shared" ref="AF62" si="26">AD62+AE62</f>
        <v>414468.11</v>
      </c>
      <c r="AG62" s="21" t="s">
        <v>857</v>
      </c>
      <c r="AH62" s="35"/>
      <c r="AI62" s="30">
        <v>304992.26</v>
      </c>
      <c r="AJ62" s="30">
        <v>49408.55</v>
      </c>
    </row>
    <row r="63" spans="1:36" s="179" customFormat="1" ht="215.25" customHeight="1" x14ac:dyDescent="0.25">
      <c r="A63" s="6">
        <v>60</v>
      </c>
      <c r="B63" s="31">
        <v>118690</v>
      </c>
      <c r="C63" s="11">
        <v>433</v>
      </c>
      <c r="D63" s="32" t="s">
        <v>1639</v>
      </c>
      <c r="E63" s="32" t="s">
        <v>507</v>
      </c>
      <c r="F63" s="11" t="s">
        <v>776</v>
      </c>
      <c r="G63" s="11" t="s">
        <v>632</v>
      </c>
      <c r="H63" s="11" t="s">
        <v>782</v>
      </c>
      <c r="I63" s="32" t="s">
        <v>2633</v>
      </c>
      <c r="J63" s="25">
        <v>43333</v>
      </c>
      <c r="K63" s="25">
        <v>43790</v>
      </c>
      <c r="L63" s="26">
        <f t="shared" si="0"/>
        <v>84.169367233766351</v>
      </c>
      <c r="M63" s="11">
        <v>1</v>
      </c>
      <c r="N63" s="11" t="s">
        <v>633</v>
      </c>
      <c r="O63" s="11" t="s">
        <v>633</v>
      </c>
      <c r="P63" s="11" t="s">
        <v>174</v>
      </c>
      <c r="Q63" s="11" t="s">
        <v>777</v>
      </c>
      <c r="R63" s="2">
        <f t="shared" si="21"/>
        <v>242198.44</v>
      </c>
      <c r="S63" s="30">
        <v>242198.44</v>
      </c>
      <c r="T63" s="37">
        <v>0</v>
      </c>
      <c r="U63" s="1">
        <f t="shared" si="2"/>
        <v>39797.81</v>
      </c>
      <c r="V63" s="42">
        <v>39797.81</v>
      </c>
      <c r="W63" s="42">
        <v>0</v>
      </c>
      <c r="X63" s="1">
        <f t="shared" si="7"/>
        <v>5755.04</v>
      </c>
      <c r="Y63" s="30">
        <v>5755.04</v>
      </c>
      <c r="Z63" s="30">
        <v>0</v>
      </c>
      <c r="AA63" s="2">
        <v>0</v>
      </c>
      <c r="AB63" s="37">
        <v>0</v>
      </c>
      <c r="AC63" s="37">
        <v>0</v>
      </c>
      <c r="AD63" s="16">
        <f t="shared" si="6"/>
        <v>287751.28999999998</v>
      </c>
      <c r="AE63" s="35"/>
      <c r="AF63" s="2">
        <f t="shared" ref="AF63" si="27">AD63+AE63</f>
        <v>287751.28999999998</v>
      </c>
      <c r="AG63" s="21" t="s">
        <v>857</v>
      </c>
      <c r="AH63" s="35"/>
      <c r="AI63" s="30">
        <v>204673.28999999998</v>
      </c>
      <c r="AJ63" s="30">
        <v>33582.770000000004</v>
      </c>
    </row>
    <row r="64" spans="1:36" s="179" customFormat="1" ht="141.75" x14ac:dyDescent="0.25">
      <c r="A64" s="6">
        <v>61</v>
      </c>
      <c r="B64" s="31">
        <v>126412</v>
      </c>
      <c r="C64" s="11">
        <v>553</v>
      </c>
      <c r="D64" s="9" t="s">
        <v>1638</v>
      </c>
      <c r="E64" s="32" t="s">
        <v>899</v>
      </c>
      <c r="F64" s="11" t="s">
        <v>1036</v>
      </c>
      <c r="G64" s="11" t="s">
        <v>1037</v>
      </c>
      <c r="H64" s="8" t="s">
        <v>151</v>
      </c>
      <c r="I64" s="32" t="s">
        <v>2634</v>
      </c>
      <c r="J64" s="25">
        <v>43564</v>
      </c>
      <c r="K64" s="25">
        <v>44386</v>
      </c>
      <c r="L64" s="26">
        <f t="shared" si="0"/>
        <v>85.000000068999867</v>
      </c>
      <c r="M64" s="40">
        <v>1</v>
      </c>
      <c r="N64" s="11" t="s">
        <v>633</v>
      </c>
      <c r="O64" s="11" t="s">
        <v>633</v>
      </c>
      <c r="P64" s="11" t="s">
        <v>174</v>
      </c>
      <c r="Q64" s="11" t="s">
        <v>34</v>
      </c>
      <c r="R64" s="2">
        <f t="shared" ref="R64:R69" si="28">S64+T64</f>
        <v>2463772.67</v>
      </c>
      <c r="S64" s="30">
        <v>2463772.67</v>
      </c>
      <c r="T64" s="37">
        <v>0</v>
      </c>
      <c r="U64" s="1">
        <f t="shared" si="2"/>
        <v>376812.29</v>
      </c>
      <c r="V64" s="42">
        <v>376812.29</v>
      </c>
      <c r="W64" s="42">
        <v>0</v>
      </c>
      <c r="X64" s="1">
        <f t="shared" si="7"/>
        <v>57971.12</v>
      </c>
      <c r="Y64" s="30">
        <v>57971.12</v>
      </c>
      <c r="Z64" s="30">
        <v>0</v>
      </c>
      <c r="AA64" s="2">
        <v>0</v>
      </c>
      <c r="AB64" s="37">
        <v>0</v>
      </c>
      <c r="AC64" s="37">
        <v>0</v>
      </c>
      <c r="AD64" s="16">
        <f t="shared" si="6"/>
        <v>2898556.08</v>
      </c>
      <c r="AE64" s="35"/>
      <c r="AF64" s="2">
        <f t="shared" ref="AF64:AF69" si="29">AD64+AE64</f>
        <v>2898556.08</v>
      </c>
      <c r="AG64" s="21" t="s">
        <v>857</v>
      </c>
      <c r="AH64" s="38" t="s">
        <v>1751</v>
      </c>
      <c r="AI64" s="30">
        <f>154953.36+31847.8+249699.67+1140494.35+32440.25+355467.67+474477.07</f>
        <v>2439380.17</v>
      </c>
      <c r="AJ64" s="30">
        <f>23698.73+4870.84+38189.36+174428.55+4961.45+54365.65+72567.08</f>
        <v>373081.66000000003</v>
      </c>
    </row>
    <row r="65" spans="1:37" s="179" customFormat="1" ht="239.25" customHeight="1" x14ac:dyDescent="0.25">
      <c r="A65" s="6">
        <v>62</v>
      </c>
      <c r="B65" s="31">
        <v>128790</v>
      </c>
      <c r="C65" s="31">
        <v>644</v>
      </c>
      <c r="D65" s="9" t="s">
        <v>1638</v>
      </c>
      <c r="E65" s="24" t="s">
        <v>1071</v>
      </c>
      <c r="F65" s="67" t="s">
        <v>1103</v>
      </c>
      <c r="G65" s="11" t="s">
        <v>632</v>
      </c>
      <c r="H65" s="8" t="s">
        <v>151</v>
      </c>
      <c r="I65" s="12" t="s">
        <v>1105</v>
      </c>
      <c r="J65" s="25">
        <v>43629</v>
      </c>
      <c r="K65" s="25">
        <v>44755</v>
      </c>
      <c r="L65" s="26">
        <f t="shared" si="0"/>
        <v>85.000000118502641</v>
      </c>
      <c r="M65" s="27">
        <v>1</v>
      </c>
      <c r="N65" s="11" t="s">
        <v>633</v>
      </c>
      <c r="O65" s="11" t="s">
        <v>633</v>
      </c>
      <c r="P65" s="15" t="s">
        <v>174</v>
      </c>
      <c r="Q65" s="11" t="s">
        <v>34</v>
      </c>
      <c r="R65" s="2">
        <f t="shared" si="28"/>
        <v>2510492.42</v>
      </c>
      <c r="S65" s="30">
        <v>2510492.42</v>
      </c>
      <c r="T65" s="37">
        <v>0</v>
      </c>
      <c r="U65" s="1">
        <f t="shared" si="2"/>
        <v>383957.66</v>
      </c>
      <c r="V65" s="42">
        <v>383957.66</v>
      </c>
      <c r="W65" s="42">
        <v>0</v>
      </c>
      <c r="X65" s="1">
        <f t="shared" si="7"/>
        <v>59070.41</v>
      </c>
      <c r="Y65" s="30">
        <v>59070.41</v>
      </c>
      <c r="Z65" s="30">
        <v>0</v>
      </c>
      <c r="AA65" s="2">
        <v>0</v>
      </c>
      <c r="AB65" s="37">
        <v>0</v>
      </c>
      <c r="AC65" s="37">
        <v>0</v>
      </c>
      <c r="AD65" s="16">
        <f t="shared" si="6"/>
        <v>2953520.49</v>
      </c>
      <c r="AE65" s="37">
        <v>0</v>
      </c>
      <c r="AF65" s="2">
        <f t="shared" si="29"/>
        <v>2953520.49</v>
      </c>
      <c r="AG65" s="38" t="s">
        <v>857</v>
      </c>
      <c r="AH65" s="29" t="s">
        <v>1808</v>
      </c>
      <c r="AI65" s="30">
        <f>25513.52+216514.86-3202.29-3349.26-3120.39+21498.34+295352-31779.61+1211235.46</f>
        <v>1728662.63</v>
      </c>
      <c r="AJ65" s="30">
        <f>3202.29+3349.26+3120.39+29152.92+31779.61+185247.77</f>
        <v>255852.24</v>
      </c>
    </row>
    <row r="66" spans="1:37" s="179" customFormat="1" ht="239.25" customHeight="1" x14ac:dyDescent="0.25">
      <c r="A66" s="6">
        <v>63</v>
      </c>
      <c r="B66" s="31">
        <v>136104</v>
      </c>
      <c r="C66" s="31">
        <v>848</v>
      </c>
      <c r="D66" s="9" t="s">
        <v>1638</v>
      </c>
      <c r="E66" s="24" t="s">
        <v>1441</v>
      </c>
      <c r="F66" s="67" t="s">
        <v>1537</v>
      </c>
      <c r="G66" s="11" t="s">
        <v>1538</v>
      </c>
      <c r="H66" s="11" t="s">
        <v>1539</v>
      </c>
      <c r="I66" s="12" t="s">
        <v>1540</v>
      </c>
      <c r="J66" s="25">
        <v>43998</v>
      </c>
      <c r="K66" s="25">
        <v>45215</v>
      </c>
      <c r="L66" s="26">
        <f t="shared" si="0"/>
        <v>84.490458053736376</v>
      </c>
      <c r="M66" s="27">
        <v>1</v>
      </c>
      <c r="N66" s="11" t="s">
        <v>633</v>
      </c>
      <c r="O66" s="11" t="s">
        <v>1541</v>
      </c>
      <c r="P66" s="15" t="s">
        <v>174</v>
      </c>
      <c r="Q66" s="11" t="s">
        <v>34</v>
      </c>
      <c r="R66" s="2">
        <f t="shared" si="28"/>
        <v>3017836.94</v>
      </c>
      <c r="S66" s="30">
        <v>3017836.94</v>
      </c>
      <c r="T66" s="37">
        <v>0</v>
      </c>
      <c r="U66" s="1">
        <f t="shared" si="2"/>
        <v>482534.9</v>
      </c>
      <c r="V66" s="42">
        <v>482534.9</v>
      </c>
      <c r="W66" s="42">
        <v>0</v>
      </c>
      <c r="X66" s="1">
        <f t="shared" si="7"/>
        <v>50024.56</v>
      </c>
      <c r="Y66" s="30">
        <v>50024.56</v>
      </c>
      <c r="Z66" s="30">
        <v>0</v>
      </c>
      <c r="AA66" s="2">
        <f>AB66+AC66</f>
        <v>21411.599999999999</v>
      </c>
      <c r="AB66" s="37">
        <v>21411.599999999999</v>
      </c>
      <c r="AC66" s="37">
        <v>0</v>
      </c>
      <c r="AD66" s="16">
        <f t="shared" si="6"/>
        <v>3571808</v>
      </c>
      <c r="AE66" s="37">
        <v>0</v>
      </c>
      <c r="AF66" s="2">
        <f t="shared" si="29"/>
        <v>3571808</v>
      </c>
      <c r="AG66" s="38" t="s">
        <v>486</v>
      </c>
      <c r="AH66" s="29" t="s">
        <v>2486</v>
      </c>
      <c r="AI66" s="30">
        <f>107058-9939.36+357180.79+4714.77+107058+84998.48+107058-2374.89+102164.15</f>
        <v>857917.94</v>
      </c>
      <c r="AJ66" s="30">
        <f>17138.58+19724.61+33892.32+18473.49+4893.85</f>
        <v>94122.85000000002</v>
      </c>
    </row>
    <row r="67" spans="1:37" s="179" customFormat="1" ht="187.5" customHeight="1" x14ac:dyDescent="0.25">
      <c r="A67" s="6">
        <v>64</v>
      </c>
      <c r="B67" s="31">
        <v>135796</v>
      </c>
      <c r="C67" s="31">
        <v>830</v>
      </c>
      <c r="D67" s="9" t="s">
        <v>1638</v>
      </c>
      <c r="E67" s="24" t="s">
        <v>1441</v>
      </c>
      <c r="F67" s="67" t="s">
        <v>1547</v>
      </c>
      <c r="G67" s="11" t="s">
        <v>632</v>
      </c>
      <c r="H67" s="8" t="s">
        <v>151</v>
      </c>
      <c r="I67" s="12" t="s">
        <v>1548</v>
      </c>
      <c r="J67" s="25">
        <v>44001</v>
      </c>
      <c r="K67" s="25">
        <v>45279</v>
      </c>
      <c r="L67" s="26">
        <f t="shared" si="0"/>
        <v>85.000000085834074</v>
      </c>
      <c r="M67" s="27">
        <v>1</v>
      </c>
      <c r="N67" s="11" t="s">
        <v>633</v>
      </c>
      <c r="O67" s="11" t="s">
        <v>1816</v>
      </c>
      <c r="P67" s="15" t="s">
        <v>174</v>
      </c>
      <c r="Q67" s="11" t="s">
        <v>34</v>
      </c>
      <c r="R67" s="2">
        <f t="shared" si="28"/>
        <v>2475707.2400000002</v>
      </c>
      <c r="S67" s="30">
        <v>2475707.2400000002</v>
      </c>
      <c r="T67" s="37">
        <v>0</v>
      </c>
      <c r="U67" s="1">
        <f t="shared" si="2"/>
        <v>378637.57</v>
      </c>
      <c r="V67" s="42">
        <v>378637.57</v>
      </c>
      <c r="W67" s="42">
        <v>0</v>
      </c>
      <c r="X67" s="1">
        <f t="shared" si="7"/>
        <v>58251.94</v>
      </c>
      <c r="Y67" s="30">
        <v>58251.94</v>
      </c>
      <c r="Z67" s="30">
        <v>0</v>
      </c>
      <c r="AA67" s="2">
        <f>AB67+AC67</f>
        <v>0</v>
      </c>
      <c r="AB67" s="37">
        <v>0</v>
      </c>
      <c r="AC67" s="37">
        <v>0</v>
      </c>
      <c r="AD67" s="16">
        <f t="shared" si="6"/>
        <v>2912596.75</v>
      </c>
      <c r="AE67" s="37">
        <v>0</v>
      </c>
      <c r="AF67" s="2">
        <f t="shared" si="29"/>
        <v>2912596.75</v>
      </c>
      <c r="AG67" s="38" t="s">
        <v>486</v>
      </c>
      <c r="AH67" s="29" t="s">
        <v>3276</v>
      </c>
      <c r="AI67" s="30">
        <f>30000-3959.41+149847.86+195183.98</f>
        <v>371072.43</v>
      </c>
      <c r="AJ67" s="30">
        <f>3959.41+52792.84</f>
        <v>56752.25</v>
      </c>
    </row>
    <row r="68" spans="1:37" s="179" customFormat="1" ht="157.5" x14ac:dyDescent="0.25">
      <c r="A68" s="6">
        <v>65</v>
      </c>
      <c r="B68" s="31">
        <v>151928</v>
      </c>
      <c r="C68" s="31">
        <v>1106</v>
      </c>
      <c r="D68" s="9" t="s">
        <v>1639</v>
      </c>
      <c r="E68" s="24" t="s">
        <v>1801</v>
      </c>
      <c r="F68" s="67" t="s">
        <v>1814</v>
      </c>
      <c r="G68" s="11" t="s">
        <v>1815</v>
      </c>
      <c r="H68" s="8" t="s">
        <v>151</v>
      </c>
      <c r="I68" s="12" t="s">
        <v>2635</v>
      </c>
      <c r="J68" s="25">
        <v>44474</v>
      </c>
      <c r="K68" s="25">
        <v>44900</v>
      </c>
      <c r="L68" s="26">
        <f t="shared" si="0"/>
        <v>85.000001600945197</v>
      </c>
      <c r="M68" s="27">
        <v>1</v>
      </c>
      <c r="N68" s="11" t="s">
        <v>633</v>
      </c>
      <c r="O68" s="11" t="s">
        <v>1816</v>
      </c>
      <c r="P68" s="15" t="s">
        <v>174</v>
      </c>
      <c r="Q68" s="11" t="s">
        <v>34</v>
      </c>
      <c r="R68" s="2">
        <f t="shared" si="28"/>
        <v>265468.18</v>
      </c>
      <c r="S68" s="30">
        <v>265468.18</v>
      </c>
      <c r="T68" s="37">
        <v>0</v>
      </c>
      <c r="U68" s="1">
        <f t="shared" si="2"/>
        <v>40601.01</v>
      </c>
      <c r="V68" s="42">
        <v>40601.01</v>
      </c>
      <c r="W68" s="42">
        <v>0</v>
      </c>
      <c r="X68" s="1">
        <f t="shared" si="7"/>
        <v>6246.31</v>
      </c>
      <c r="Y68" s="30">
        <v>6246.31</v>
      </c>
      <c r="Z68" s="30">
        <v>0</v>
      </c>
      <c r="AA68" s="2">
        <f>AB68+AC68</f>
        <v>0</v>
      </c>
      <c r="AB68" s="37">
        <v>0</v>
      </c>
      <c r="AC68" s="37">
        <v>0</v>
      </c>
      <c r="AD68" s="16">
        <f t="shared" si="6"/>
        <v>312315.5</v>
      </c>
      <c r="AE68" s="37">
        <v>0</v>
      </c>
      <c r="AF68" s="2">
        <f t="shared" si="29"/>
        <v>312315.5</v>
      </c>
      <c r="AG68" s="38" t="s">
        <v>486</v>
      </c>
      <c r="AH68" s="29"/>
      <c r="AI68" s="30">
        <f>26683.37+167403.25</f>
        <v>194086.62</v>
      </c>
      <c r="AJ68" s="30">
        <f>4080.98+25602.85</f>
        <v>29683.829999999998</v>
      </c>
    </row>
    <row r="69" spans="1:37" s="179" customFormat="1" ht="189" x14ac:dyDescent="0.25">
      <c r="A69" s="6">
        <v>66</v>
      </c>
      <c r="B69" s="31">
        <v>152231</v>
      </c>
      <c r="C69" s="31">
        <v>1147</v>
      </c>
      <c r="D69" s="9" t="s">
        <v>1639</v>
      </c>
      <c r="E69" s="24" t="s">
        <v>1801</v>
      </c>
      <c r="F69" s="67" t="s">
        <v>1987</v>
      </c>
      <c r="G69" s="11" t="s">
        <v>1538</v>
      </c>
      <c r="H69" s="8" t="s">
        <v>151</v>
      </c>
      <c r="I69" s="12" t="s">
        <v>1988</v>
      </c>
      <c r="J69" s="25">
        <v>44603</v>
      </c>
      <c r="K69" s="25">
        <v>44845</v>
      </c>
      <c r="L69" s="26">
        <f t="shared" si="0"/>
        <v>85.000000881839782</v>
      </c>
      <c r="M69" s="27">
        <v>1</v>
      </c>
      <c r="N69" s="11" t="s">
        <v>633</v>
      </c>
      <c r="O69" s="11" t="s">
        <v>1816</v>
      </c>
      <c r="P69" s="15" t="s">
        <v>174</v>
      </c>
      <c r="Q69" s="11" t="s">
        <v>34</v>
      </c>
      <c r="R69" s="2">
        <f t="shared" si="28"/>
        <v>337362.87</v>
      </c>
      <c r="S69" s="30">
        <v>337362.87</v>
      </c>
      <c r="T69" s="37">
        <v>0</v>
      </c>
      <c r="U69" s="1">
        <f t="shared" si="2"/>
        <v>51596.68</v>
      </c>
      <c r="V69" s="42">
        <v>51596.68</v>
      </c>
      <c r="W69" s="42">
        <v>0</v>
      </c>
      <c r="X69" s="1">
        <f t="shared" si="7"/>
        <v>7937.94</v>
      </c>
      <c r="Y69" s="30">
        <v>7937.94</v>
      </c>
      <c r="Z69" s="30">
        <v>0</v>
      </c>
      <c r="AA69" s="2">
        <f>AB69+AC69</f>
        <v>0</v>
      </c>
      <c r="AB69" s="37">
        <v>0</v>
      </c>
      <c r="AC69" s="37">
        <v>0</v>
      </c>
      <c r="AD69" s="16">
        <f t="shared" ref="AD69:AD132" si="30">R69+U69+X69+AA69</f>
        <v>396897.49</v>
      </c>
      <c r="AE69" s="37">
        <v>0</v>
      </c>
      <c r="AF69" s="2">
        <f t="shared" si="29"/>
        <v>396897.49</v>
      </c>
      <c r="AG69" s="38" t="s">
        <v>857</v>
      </c>
      <c r="AH69" s="29"/>
      <c r="AI69" s="30">
        <f>39000+59311.09</f>
        <v>98311.09</v>
      </c>
      <c r="AJ69" s="30">
        <v>9071.11</v>
      </c>
    </row>
    <row r="70" spans="1:37" s="179" customFormat="1" ht="173.25" x14ac:dyDescent="0.25">
      <c r="A70" s="6">
        <v>67</v>
      </c>
      <c r="B70" s="11">
        <v>120555</v>
      </c>
      <c r="C70" s="11">
        <v>93</v>
      </c>
      <c r="D70" s="9" t="s">
        <v>1638</v>
      </c>
      <c r="E70" s="24" t="s">
        <v>277</v>
      </c>
      <c r="F70" s="27" t="s">
        <v>342</v>
      </c>
      <c r="G70" s="11" t="s">
        <v>341</v>
      </c>
      <c r="H70" s="27" t="s">
        <v>343</v>
      </c>
      <c r="I70" s="12" t="s">
        <v>344</v>
      </c>
      <c r="J70" s="25">
        <v>43208</v>
      </c>
      <c r="K70" s="25">
        <v>43817</v>
      </c>
      <c r="L70" s="26">
        <f t="shared" si="0"/>
        <v>84.163181877958579</v>
      </c>
      <c r="M70" s="11">
        <v>2</v>
      </c>
      <c r="N70" s="11" t="s">
        <v>630</v>
      </c>
      <c r="O70" s="11" t="s">
        <v>630</v>
      </c>
      <c r="P70" s="27" t="s">
        <v>174</v>
      </c>
      <c r="Q70" s="11" t="s">
        <v>34</v>
      </c>
      <c r="R70" s="1">
        <f t="shared" ref="R70:R75" si="31">S70+T70</f>
        <v>356789.4</v>
      </c>
      <c r="S70" s="2">
        <v>356789.4</v>
      </c>
      <c r="T70" s="2">
        <v>0</v>
      </c>
      <c r="U70" s="1">
        <f t="shared" si="2"/>
        <v>58657.85</v>
      </c>
      <c r="V70" s="28">
        <v>58657.85</v>
      </c>
      <c r="W70" s="28">
        <v>0</v>
      </c>
      <c r="X70" s="1">
        <f t="shared" si="7"/>
        <v>4304.97</v>
      </c>
      <c r="Y70" s="2">
        <v>4304.97</v>
      </c>
      <c r="Z70" s="2">
        <v>0</v>
      </c>
      <c r="AA70" s="2">
        <f t="shared" ref="AA70:AA72" si="32">AB70+AC70</f>
        <v>4173.53</v>
      </c>
      <c r="AB70" s="2">
        <v>4173.53</v>
      </c>
      <c r="AC70" s="2">
        <v>0</v>
      </c>
      <c r="AD70" s="16">
        <f t="shared" si="30"/>
        <v>423925.75</v>
      </c>
      <c r="AE70" s="2">
        <v>0</v>
      </c>
      <c r="AF70" s="2">
        <f t="shared" ref="AF70:AF72" si="33">AD70+AE70</f>
        <v>423925.75</v>
      </c>
      <c r="AG70" s="38" t="s">
        <v>857</v>
      </c>
      <c r="AH70" s="38" t="s">
        <v>1345</v>
      </c>
      <c r="AI70" s="30">
        <v>331987.39999999997</v>
      </c>
      <c r="AJ70" s="30">
        <v>54793.37</v>
      </c>
    </row>
    <row r="71" spans="1:37" s="179" customFormat="1" ht="141.75" x14ac:dyDescent="0.25">
      <c r="A71" s="6">
        <v>68</v>
      </c>
      <c r="B71" s="11">
        <v>119189</v>
      </c>
      <c r="C71" s="11">
        <v>466</v>
      </c>
      <c r="D71" s="9" t="s">
        <v>1638</v>
      </c>
      <c r="E71" s="11" t="s">
        <v>457</v>
      </c>
      <c r="F71" s="11" t="s">
        <v>563</v>
      </c>
      <c r="G71" s="11" t="s">
        <v>648</v>
      </c>
      <c r="H71" s="8" t="s">
        <v>151</v>
      </c>
      <c r="I71" s="12" t="s">
        <v>647</v>
      </c>
      <c r="J71" s="25">
        <v>43278</v>
      </c>
      <c r="K71" s="25">
        <v>43765</v>
      </c>
      <c r="L71" s="26">
        <f t="shared" si="0"/>
        <v>85.000000991333039</v>
      </c>
      <c r="M71" s="11">
        <v>2</v>
      </c>
      <c r="N71" s="11" t="s">
        <v>630</v>
      </c>
      <c r="O71" s="11" t="s">
        <v>630</v>
      </c>
      <c r="P71" s="27" t="s">
        <v>174</v>
      </c>
      <c r="Q71" s="11" t="s">
        <v>34</v>
      </c>
      <c r="R71" s="1">
        <f t="shared" si="31"/>
        <v>514458.8</v>
      </c>
      <c r="S71" s="2">
        <v>514458.8</v>
      </c>
      <c r="T71" s="2">
        <v>0</v>
      </c>
      <c r="U71" s="1">
        <f t="shared" si="2"/>
        <v>78681.929999999978</v>
      </c>
      <c r="V71" s="28">
        <v>78681.929999999978</v>
      </c>
      <c r="W71" s="28">
        <v>0</v>
      </c>
      <c r="X71" s="1">
        <f t="shared" si="7"/>
        <v>12104.91</v>
      </c>
      <c r="Y71" s="2">
        <v>12104.91</v>
      </c>
      <c r="Z71" s="2">
        <v>0</v>
      </c>
      <c r="AA71" s="2">
        <f t="shared" si="32"/>
        <v>0</v>
      </c>
      <c r="AB71" s="2">
        <v>0</v>
      </c>
      <c r="AC71" s="2">
        <v>0</v>
      </c>
      <c r="AD71" s="16">
        <f t="shared" si="30"/>
        <v>605245.64</v>
      </c>
      <c r="AE71" s="2"/>
      <c r="AF71" s="2">
        <f t="shared" si="33"/>
        <v>605245.64</v>
      </c>
      <c r="AG71" s="21" t="s">
        <v>857</v>
      </c>
      <c r="AH71" s="29" t="s">
        <v>151</v>
      </c>
      <c r="AI71" s="30">
        <v>360382.24999999994</v>
      </c>
      <c r="AJ71" s="30">
        <v>55117.29</v>
      </c>
    </row>
    <row r="72" spans="1:37" s="179" customFormat="1" ht="151.5" customHeight="1" x14ac:dyDescent="0.25">
      <c r="A72" s="6">
        <v>69</v>
      </c>
      <c r="B72" s="11">
        <v>125782</v>
      </c>
      <c r="C72" s="11">
        <v>520</v>
      </c>
      <c r="D72" s="9" t="s">
        <v>1638</v>
      </c>
      <c r="E72" s="32" t="s">
        <v>899</v>
      </c>
      <c r="F72" s="11" t="s">
        <v>926</v>
      </c>
      <c r="G72" s="11" t="s">
        <v>648</v>
      </c>
      <c r="H72" s="8" t="s">
        <v>151</v>
      </c>
      <c r="I72" s="12" t="s">
        <v>927</v>
      </c>
      <c r="J72" s="25">
        <v>43445</v>
      </c>
      <c r="K72" s="25">
        <v>44572</v>
      </c>
      <c r="L72" s="26">
        <f t="shared" si="0"/>
        <v>84.999999737203865</v>
      </c>
      <c r="M72" s="11">
        <v>2</v>
      </c>
      <c r="N72" s="11" t="s">
        <v>630</v>
      </c>
      <c r="O72" s="11" t="s">
        <v>630</v>
      </c>
      <c r="P72" s="27" t="s">
        <v>174</v>
      </c>
      <c r="Q72" s="11" t="s">
        <v>34</v>
      </c>
      <c r="R72" s="1">
        <f t="shared" si="31"/>
        <v>1132056.27</v>
      </c>
      <c r="S72" s="2">
        <v>1132056.27</v>
      </c>
      <c r="T72" s="2">
        <v>0</v>
      </c>
      <c r="U72" s="1">
        <f t="shared" si="2"/>
        <v>173138.02</v>
      </c>
      <c r="V72" s="28">
        <v>173138.02</v>
      </c>
      <c r="W72" s="28">
        <v>0</v>
      </c>
      <c r="X72" s="1">
        <f t="shared" si="7"/>
        <v>26636.62</v>
      </c>
      <c r="Y72" s="2">
        <v>26636.62</v>
      </c>
      <c r="Z72" s="30">
        <v>0</v>
      </c>
      <c r="AA72" s="2">
        <f t="shared" si="32"/>
        <v>0</v>
      </c>
      <c r="AB72" s="2">
        <v>0</v>
      </c>
      <c r="AC72" s="2">
        <v>0</v>
      </c>
      <c r="AD72" s="16">
        <f t="shared" si="30"/>
        <v>1331830.9100000001</v>
      </c>
      <c r="AE72" s="35"/>
      <c r="AF72" s="2">
        <f t="shared" si="33"/>
        <v>1331830.9100000001</v>
      </c>
      <c r="AG72" s="38" t="s">
        <v>857</v>
      </c>
      <c r="AH72" s="38" t="s">
        <v>1793</v>
      </c>
      <c r="AI72" s="30">
        <f>239963.16+228953.11+164151.67</f>
        <v>633067.94000000006</v>
      </c>
      <c r="AJ72" s="30">
        <f>36700.24+35016.36+25105.55</f>
        <v>96822.150000000009</v>
      </c>
    </row>
    <row r="73" spans="1:37" s="179" customFormat="1" ht="151.5" customHeight="1" x14ac:dyDescent="0.25">
      <c r="A73" s="6">
        <v>70</v>
      </c>
      <c r="B73" s="11">
        <v>129167</v>
      </c>
      <c r="C73" s="11">
        <v>662</v>
      </c>
      <c r="D73" s="9" t="s">
        <v>1638</v>
      </c>
      <c r="E73" s="68" t="s">
        <v>1071</v>
      </c>
      <c r="F73" s="11" t="s">
        <v>1166</v>
      </c>
      <c r="G73" s="11" t="s">
        <v>341</v>
      </c>
      <c r="H73" s="8" t="s">
        <v>151</v>
      </c>
      <c r="I73" s="12" t="s">
        <v>1167</v>
      </c>
      <c r="J73" s="25">
        <v>43662</v>
      </c>
      <c r="K73" s="25">
        <v>45032</v>
      </c>
      <c r="L73" s="26">
        <f t="shared" si="0"/>
        <v>85.000000251461756</v>
      </c>
      <c r="M73" s="11">
        <v>2</v>
      </c>
      <c r="N73" s="11" t="s">
        <v>630</v>
      </c>
      <c r="O73" s="11" t="s">
        <v>630</v>
      </c>
      <c r="P73" s="27" t="s">
        <v>174</v>
      </c>
      <c r="Q73" s="11" t="s">
        <v>34</v>
      </c>
      <c r="R73" s="1">
        <f t="shared" si="31"/>
        <v>3211223.96</v>
      </c>
      <c r="S73" s="1">
        <v>3211223.96</v>
      </c>
      <c r="T73" s="2">
        <v>0</v>
      </c>
      <c r="U73" s="1">
        <f t="shared" si="2"/>
        <v>491128.16</v>
      </c>
      <c r="V73" s="28">
        <v>491128.16</v>
      </c>
      <c r="W73" s="28">
        <v>0</v>
      </c>
      <c r="X73" s="1">
        <f t="shared" si="7"/>
        <v>75558.41</v>
      </c>
      <c r="Y73" s="2">
        <v>75558.41</v>
      </c>
      <c r="Z73" s="30">
        <v>0</v>
      </c>
      <c r="AA73" s="2">
        <v>0</v>
      </c>
      <c r="AB73" s="2">
        <v>0</v>
      </c>
      <c r="AC73" s="2">
        <v>0</v>
      </c>
      <c r="AD73" s="16">
        <f t="shared" si="30"/>
        <v>3777910.5300000003</v>
      </c>
      <c r="AE73" s="35">
        <v>0</v>
      </c>
      <c r="AF73" s="2">
        <f>AD73+AE73</f>
        <v>3777910.5300000003</v>
      </c>
      <c r="AG73" s="38" t="s">
        <v>486</v>
      </c>
      <c r="AH73" s="38" t="s">
        <v>3312</v>
      </c>
      <c r="AI73" s="30">
        <f>7795.35+11297.44+29831.01+34402.13+65919.46+3787.6+4691.15+75251.01+163937.9</f>
        <v>396913.05000000005</v>
      </c>
      <c r="AJ73" s="30">
        <f>1192.23+1727.85+4562.37+5261.5+10081.79+579.28+717.47+11508.97+25072.85</f>
        <v>60704.31</v>
      </c>
    </row>
    <row r="74" spans="1:37" s="179" customFormat="1" ht="151.5" customHeight="1" x14ac:dyDescent="0.25">
      <c r="A74" s="6">
        <v>71</v>
      </c>
      <c r="B74" s="11">
        <v>135233</v>
      </c>
      <c r="C74" s="11">
        <v>825</v>
      </c>
      <c r="D74" s="9" t="s">
        <v>1638</v>
      </c>
      <c r="E74" s="24" t="s">
        <v>1441</v>
      </c>
      <c r="F74" s="11" t="s">
        <v>1563</v>
      </c>
      <c r="G74" s="11" t="s">
        <v>648</v>
      </c>
      <c r="H74" s="8" t="s">
        <v>151</v>
      </c>
      <c r="I74" s="12" t="s">
        <v>2636</v>
      </c>
      <c r="J74" s="25">
        <v>44014</v>
      </c>
      <c r="K74" s="25">
        <v>45171</v>
      </c>
      <c r="L74" s="26">
        <f t="shared" si="0"/>
        <v>85.000000166955815</v>
      </c>
      <c r="M74" s="11">
        <v>2</v>
      </c>
      <c r="N74" s="11" t="s">
        <v>630</v>
      </c>
      <c r="O74" s="11" t="s">
        <v>630</v>
      </c>
      <c r="P74" s="27" t="s">
        <v>174</v>
      </c>
      <c r="Q74" s="11" t="s">
        <v>34</v>
      </c>
      <c r="R74" s="1">
        <f t="shared" si="31"/>
        <v>2545583.83</v>
      </c>
      <c r="S74" s="1">
        <v>2545583.83</v>
      </c>
      <c r="T74" s="2">
        <v>0</v>
      </c>
      <c r="U74" s="1">
        <f t="shared" si="2"/>
        <v>389324.58</v>
      </c>
      <c r="V74" s="28">
        <v>389324.58</v>
      </c>
      <c r="W74" s="28">
        <v>0</v>
      </c>
      <c r="X74" s="1">
        <f t="shared" si="7"/>
        <v>59896.09</v>
      </c>
      <c r="Y74" s="2">
        <v>59896.09</v>
      </c>
      <c r="Z74" s="30">
        <v>0</v>
      </c>
      <c r="AA74" s="2">
        <v>0</v>
      </c>
      <c r="AB74" s="2">
        <v>0</v>
      </c>
      <c r="AC74" s="2">
        <v>0</v>
      </c>
      <c r="AD74" s="16">
        <f t="shared" si="30"/>
        <v>2994804.5</v>
      </c>
      <c r="AE74" s="42">
        <v>174735</v>
      </c>
      <c r="AF74" s="2">
        <f>AD74+AE74</f>
        <v>3169539.5</v>
      </c>
      <c r="AG74" s="38" t="s">
        <v>486</v>
      </c>
      <c r="AH74" s="38" t="s">
        <v>2242</v>
      </c>
      <c r="AI74" s="30">
        <f>64682.3+111484.3</f>
        <v>176166.6</v>
      </c>
      <c r="AJ74" s="30">
        <f>9892.58+17050.54</f>
        <v>26943.120000000003</v>
      </c>
    </row>
    <row r="75" spans="1:37" s="179" customFormat="1" ht="151.5" customHeight="1" x14ac:dyDescent="0.25">
      <c r="A75" s="6">
        <v>72</v>
      </c>
      <c r="B75" s="11">
        <v>151877</v>
      </c>
      <c r="C75" s="11">
        <v>1115</v>
      </c>
      <c r="D75" s="9" t="s">
        <v>1639</v>
      </c>
      <c r="E75" s="24" t="s">
        <v>1801</v>
      </c>
      <c r="F75" s="11" t="s">
        <v>1827</v>
      </c>
      <c r="G75" s="11" t="s">
        <v>648</v>
      </c>
      <c r="H75" s="11" t="s">
        <v>1828</v>
      </c>
      <c r="I75" s="12" t="s">
        <v>1829</v>
      </c>
      <c r="J75" s="25">
        <v>44482</v>
      </c>
      <c r="K75" s="25">
        <v>44970</v>
      </c>
      <c r="L75" s="26">
        <f t="shared" si="0"/>
        <v>85</v>
      </c>
      <c r="M75" s="11">
        <v>2</v>
      </c>
      <c r="N75" s="11" t="s">
        <v>630</v>
      </c>
      <c r="O75" s="11" t="s">
        <v>630</v>
      </c>
      <c r="P75" s="27" t="s">
        <v>174</v>
      </c>
      <c r="Q75" s="11" t="s">
        <v>34</v>
      </c>
      <c r="R75" s="1">
        <f t="shared" si="31"/>
        <v>299497.5</v>
      </c>
      <c r="S75" s="1">
        <v>299497.5</v>
      </c>
      <c r="T75" s="2">
        <v>0</v>
      </c>
      <c r="U75" s="1">
        <f t="shared" si="2"/>
        <v>41944.5</v>
      </c>
      <c r="V75" s="28">
        <v>41944.5</v>
      </c>
      <c r="W75" s="28">
        <v>0</v>
      </c>
      <c r="X75" s="1">
        <f t="shared" si="7"/>
        <v>10908</v>
      </c>
      <c r="Y75" s="2">
        <v>10908</v>
      </c>
      <c r="Z75" s="30">
        <v>0</v>
      </c>
      <c r="AA75" s="2">
        <v>0</v>
      </c>
      <c r="AB75" s="2">
        <v>0</v>
      </c>
      <c r="AC75" s="2">
        <v>0</v>
      </c>
      <c r="AD75" s="16">
        <f t="shared" si="30"/>
        <v>352350</v>
      </c>
      <c r="AE75" s="35">
        <v>0</v>
      </c>
      <c r="AF75" s="2">
        <f>AD75+AE75</f>
        <v>352350</v>
      </c>
      <c r="AG75" s="38" t="s">
        <v>486</v>
      </c>
      <c r="AH75" s="35"/>
      <c r="AI75" s="30">
        <f>7259.51+56372.05</f>
        <v>63631.560000000005</v>
      </c>
      <c r="AJ75" s="30">
        <f>1110.28+7032.49</f>
        <v>8142.7699999999995</v>
      </c>
    </row>
    <row r="76" spans="1:37" s="179" customFormat="1" ht="393.75" x14ac:dyDescent="0.25">
      <c r="A76" s="6">
        <v>73</v>
      </c>
      <c r="B76" s="31">
        <v>111300</v>
      </c>
      <c r="C76" s="11">
        <v>123</v>
      </c>
      <c r="D76" s="9" t="s">
        <v>1638</v>
      </c>
      <c r="E76" s="24" t="s">
        <v>277</v>
      </c>
      <c r="F76" s="11" t="s">
        <v>223</v>
      </c>
      <c r="G76" s="11" t="s">
        <v>224</v>
      </c>
      <c r="H76" s="8" t="s">
        <v>151</v>
      </c>
      <c r="I76" s="33" t="s">
        <v>225</v>
      </c>
      <c r="J76" s="25">
        <v>43145</v>
      </c>
      <c r="K76" s="25">
        <v>43630</v>
      </c>
      <c r="L76" s="26">
        <f t="shared" si="0"/>
        <v>84.999999881712782</v>
      </c>
      <c r="M76" s="11">
        <v>7</v>
      </c>
      <c r="N76" s="11" t="s">
        <v>226</v>
      </c>
      <c r="O76" s="11" t="s">
        <v>227</v>
      </c>
      <c r="P76" s="27" t="s">
        <v>174</v>
      </c>
      <c r="Q76" s="11" t="s">
        <v>34</v>
      </c>
      <c r="R76" s="1">
        <f>S76+T76</f>
        <v>359294.94</v>
      </c>
      <c r="S76" s="39">
        <v>359294.94</v>
      </c>
      <c r="T76" s="1">
        <v>0</v>
      </c>
      <c r="U76" s="1">
        <f t="shared" si="2"/>
        <v>54950.99</v>
      </c>
      <c r="V76" s="52">
        <v>54950.99</v>
      </c>
      <c r="W76" s="28">
        <v>0</v>
      </c>
      <c r="X76" s="1">
        <f t="shared" si="7"/>
        <v>8454</v>
      </c>
      <c r="Y76" s="2">
        <v>8454</v>
      </c>
      <c r="Z76" s="2">
        <v>0</v>
      </c>
      <c r="AA76" s="2">
        <f t="shared" ref="AA76:AA95" si="34">AB76+AC76</f>
        <v>0</v>
      </c>
      <c r="AB76" s="69">
        <v>0</v>
      </c>
      <c r="AC76" s="69">
        <v>0</v>
      </c>
      <c r="AD76" s="16">
        <f t="shared" si="30"/>
        <v>422699.93</v>
      </c>
      <c r="AE76" s="2">
        <v>0</v>
      </c>
      <c r="AF76" s="2">
        <f>AD76+AE76</f>
        <v>422699.93</v>
      </c>
      <c r="AG76" s="21" t="s">
        <v>857</v>
      </c>
      <c r="AH76" s="29" t="s">
        <v>151</v>
      </c>
      <c r="AI76" s="30">
        <v>330029.05000000005</v>
      </c>
      <c r="AJ76" s="30">
        <v>50475.040000000001</v>
      </c>
      <c r="AK76" s="119"/>
    </row>
    <row r="77" spans="1:37" s="179" customFormat="1" ht="166.5" customHeight="1" x14ac:dyDescent="0.25">
      <c r="A77" s="6">
        <v>74</v>
      </c>
      <c r="B77" s="31">
        <v>110505</v>
      </c>
      <c r="C77" s="11">
        <v>125</v>
      </c>
      <c r="D77" s="9" t="s">
        <v>1638</v>
      </c>
      <c r="E77" s="24" t="s">
        <v>277</v>
      </c>
      <c r="F77" s="11" t="s">
        <v>262</v>
      </c>
      <c r="G77" s="11" t="s">
        <v>1265</v>
      </c>
      <c r="H77" s="8" t="s">
        <v>151</v>
      </c>
      <c r="I77" s="12" t="s">
        <v>265</v>
      </c>
      <c r="J77" s="25">
        <v>43173</v>
      </c>
      <c r="K77" s="25">
        <v>43660</v>
      </c>
      <c r="L77" s="26">
        <f t="shared" si="0"/>
        <v>84.99999981945335</v>
      </c>
      <c r="M77" s="11">
        <v>7</v>
      </c>
      <c r="N77" s="11" t="s">
        <v>226</v>
      </c>
      <c r="O77" s="11" t="s">
        <v>226</v>
      </c>
      <c r="P77" s="27" t="s">
        <v>174</v>
      </c>
      <c r="Q77" s="11" t="s">
        <v>34</v>
      </c>
      <c r="R77" s="1">
        <f>S77+T77</f>
        <v>470792.44</v>
      </c>
      <c r="S77" s="2">
        <v>470792.44</v>
      </c>
      <c r="T77" s="2">
        <v>0</v>
      </c>
      <c r="U77" s="1">
        <f t="shared" si="2"/>
        <v>72003.55</v>
      </c>
      <c r="V77" s="28">
        <v>72003.55</v>
      </c>
      <c r="W77" s="28">
        <v>0</v>
      </c>
      <c r="X77" s="1">
        <f t="shared" si="7"/>
        <v>11077.47</v>
      </c>
      <c r="Y77" s="2">
        <v>11077.47</v>
      </c>
      <c r="Z77" s="2">
        <v>0</v>
      </c>
      <c r="AA77" s="2">
        <f t="shared" si="34"/>
        <v>0</v>
      </c>
      <c r="AB77" s="69">
        <v>0</v>
      </c>
      <c r="AC77" s="69">
        <v>0</v>
      </c>
      <c r="AD77" s="16">
        <f t="shared" si="30"/>
        <v>553873.46</v>
      </c>
      <c r="AE77" s="2">
        <v>0</v>
      </c>
      <c r="AF77" s="2">
        <f t="shared" ref="AF77:AF95" si="35">AD77+AE77</f>
        <v>553873.46</v>
      </c>
      <c r="AG77" s="21" t="s">
        <v>857</v>
      </c>
      <c r="AH77" s="29" t="s">
        <v>151</v>
      </c>
      <c r="AI77" s="30">
        <v>369783.92</v>
      </c>
      <c r="AJ77" s="30">
        <v>56555.21</v>
      </c>
    </row>
    <row r="78" spans="1:37" s="179" customFormat="1" ht="318.75" customHeight="1" x14ac:dyDescent="0.25">
      <c r="A78" s="6">
        <v>75</v>
      </c>
      <c r="B78" s="31">
        <v>119450</v>
      </c>
      <c r="C78" s="11">
        <v>485</v>
      </c>
      <c r="D78" s="9" t="s">
        <v>1638</v>
      </c>
      <c r="E78" s="24" t="s">
        <v>457</v>
      </c>
      <c r="F78" s="11" t="s">
        <v>653</v>
      </c>
      <c r="G78" s="11" t="s">
        <v>1645</v>
      </c>
      <c r="H78" s="8" t="s">
        <v>151</v>
      </c>
      <c r="I78" s="12" t="s">
        <v>654</v>
      </c>
      <c r="J78" s="25">
        <v>43298</v>
      </c>
      <c r="K78" s="25">
        <v>43786</v>
      </c>
      <c r="L78" s="26">
        <f t="shared" si="0"/>
        <v>85.000002578269815</v>
      </c>
      <c r="M78" s="11">
        <v>7</v>
      </c>
      <c r="N78" s="11" t="s">
        <v>226</v>
      </c>
      <c r="O78" s="11" t="s">
        <v>822</v>
      </c>
      <c r="P78" s="27" t="s">
        <v>174</v>
      </c>
      <c r="Q78" s="11" t="s">
        <v>34</v>
      </c>
      <c r="R78" s="1">
        <f t="shared" ref="R78:R79" si="36">S78+T78</f>
        <v>329678.46000000002</v>
      </c>
      <c r="S78" s="2">
        <v>329678.46000000002</v>
      </c>
      <c r="T78" s="2">
        <v>0</v>
      </c>
      <c r="U78" s="1">
        <f t="shared" si="2"/>
        <v>50421.4</v>
      </c>
      <c r="V78" s="28">
        <v>50421.4</v>
      </c>
      <c r="W78" s="28">
        <v>0</v>
      </c>
      <c r="X78" s="1">
        <f t="shared" si="7"/>
        <v>7757.14</v>
      </c>
      <c r="Y78" s="2">
        <v>7757.14</v>
      </c>
      <c r="Z78" s="2">
        <v>0</v>
      </c>
      <c r="AA78" s="2">
        <f t="shared" si="34"/>
        <v>0</v>
      </c>
      <c r="AB78" s="69">
        <v>0</v>
      </c>
      <c r="AC78" s="69">
        <v>0</v>
      </c>
      <c r="AD78" s="16">
        <f t="shared" si="30"/>
        <v>387857.00000000006</v>
      </c>
      <c r="AE78" s="2">
        <v>0</v>
      </c>
      <c r="AF78" s="2">
        <f t="shared" si="35"/>
        <v>387857.00000000006</v>
      </c>
      <c r="AG78" s="21" t="s">
        <v>857</v>
      </c>
      <c r="AH78" s="29" t="s">
        <v>151</v>
      </c>
      <c r="AI78" s="30">
        <v>321577.40000000002</v>
      </c>
      <c r="AJ78" s="30">
        <v>49182.460000000006</v>
      </c>
    </row>
    <row r="79" spans="1:37" s="179" customFormat="1" ht="409.5" x14ac:dyDescent="0.25">
      <c r="A79" s="6">
        <v>76</v>
      </c>
      <c r="B79" s="31">
        <v>118753</v>
      </c>
      <c r="C79" s="11">
        <v>438</v>
      </c>
      <c r="D79" s="32" t="s">
        <v>1639</v>
      </c>
      <c r="E79" s="24" t="s">
        <v>507</v>
      </c>
      <c r="F79" s="11" t="s">
        <v>821</v>
      </c>
      <c r="G79" s="11" t="s">
        <v>1645</v>
      </c>
      <c r="H79" s="8" t="s">
        <v>151</v>
      </c>
      <c r="I79" s="32" t="s">
        <v>823</v>
      </c>
      <c r="J79" s="25">
        <v>43348</v>
      </c>
      <c r="K79" s="25">
        <v>43651</v>
      </c>
      <c r="L79" s="26">
        <f t="shared" si="0"/>
        <v>85.000001668065067</v>
      </c>
      <c r="M79" s="11">
        <v>7</v>
      </c>
      <c r="N79" s="11" t="s">
        <v>226</v>
      </c>
      <c r="O79" s="11" t="s">
        <v>822</v>
      </c>
      <c r="P79" s="27" t="s">
        <v>174</v>
      </c>
      <c r="Q79" s="11" t="s">
        <v>34</v>
      </c>
      <c r="R79" s="1">
        <f t="shared" si="36"/>
        <v>254786.23</v>
      </c>
      <c r="S79" s="30">
        <v>254786.23</v>
      </c>
      <c r="T79" s="2">
        <v>0</v>
      </c>
      <c r="U79" s="1">
        <f t="shared" si="2"/>
        <v>38967.300000000003</v>
      </c>
      <c r="V79" s="42">
        <v>38967.300000000003</v>
      </c>
      <c r="W79" s="28">
        <v>0</v>
      </c>
      <c r="X79" s="1">
        <f t="shared" si="7"/>
        <v>5994.97</v>
      </c>
      <c r="Y79" s="30">
        <v>5994.97</v>
      </c>
      <c r="Z79" s="30">
        <v>0</v>
      </c>
      <c r="AA79" s="2">
        <f t="shared" si="34"/>
        <v>0</v>
      </c>
      <c r="AB79" s="41">
        <v>0</v>
      </c>
      <c r="AC79" s="41">
        <v>0</v>
      </c>
      <c r="AD79" s="16">
        <f t="shared" si="30"/>
        <v>299748.5</v>
      </c>
      <c r="AE79" s="38">
        <v>0</v>
      </c>
      <c r="AF79" s="2">
        <f t="shared" si="35"/>
        <v>299748.5</v>
      </c>
      <c r="AG79" s="21" t="s">
        <v>857</v>
      </c>
      <c r="AH79" s="29" t="s">
        <v>151</v>
      </c>
      <c r="AI79" s="30">
        <v>238361.69</v>
      </c>
      <c r="AJ79" s="30">
        <v>36455.329999999994</v>
      </c>
      <c r="AK79" s="43"/>
    </row>
    <row r="80" spans="1:37" s="179" customFormat="1" ht="141.75" x14ac:dyDescent="0.25">
      <c r="A80" s="6">
        <v>77</v>
      </c>
      <c r="B80" s="31">
        <v>126380</v>
      </c>
      <c r="C80" s="11">
        <v>567</v>
      </c>
      <c r="D80" s="9" t="s">
        <v>1638</v>
      </c>
      <c r="E80" s="32" t="s">
        <v>899</v>
      </c>
      <c r="F80" s="70" t="s">
        <v>918</v>
      </c>
      <c r="G80" s="11" t="s">
        <v>919</v>
      </c>
      <c r="H80" s="8" t="s">
        <v>151</v>
      </c>
      <c r="I80" s="32" t="s">
        <v>2637</v>
      </c>
      <c r="J80" s="25">
        <v>43440</v>
      </c>
      <c r="K80" s="25">
        <v>44475</v>
      </c>
      <c r="L80" s="26">
        <f t="shared" si="0"/>
        <v>85.00000001812522</v>
      </c>
      <c r="M80" s="11">
        <v>7</v>
      </c>
      <c r="N80" s="11" t="s">
        <v>226</v>
      </c>
      <c r="O80" s="11" t="s">
        <v>226</v>
      </c>
      <c r="P80" s="27" t="s">
        <v>174</v>
      </c>
      <c r="Q80" s="11" t="s">
        <v>34</v>
      </c>
      <c r="R80" s="1">
        <f>S80+T80</f>
        <v>2344798.5</v>
      </c>
      <c r="S80" s="30">
        <v>2344798.5</v>
      </c>
      <c r="T80" s="2">
        <v>0</v>
      </c>
      <c r="U80" s="1">
        <f t="shared" si="2"/>
        <v>358616.24</v>
      </c>
      <c r="V80" s="42">
        <v>358616.24</v>
      </c>
      <c r="W80" s="28">
        <v>0</v>
      </c>
      <c r="X80" s="1">
        <f t="shared" si="7"/>
        <v>55171.73</v>
      </c>
      <c r="Y80" s="30">
        <v>55171.73</v>
      </c>
      <c r="Z80" s="30">
        <v>0</v>
      </c>
      <c r="AA80" s="2">
        <f>AB80+AC80</f>
        <v>0</v>
      </c>
      <c r="AB80" s="41">
        <v>0</v>
      </c>
      <c r="AC80" s="41">
        <v>0</v>
      </c>
      <c r="AD80" s="16">
        <f t="shared" si="30"/>
        <v>2758586.47</v>
      </c>
      <c r="AE80" s="38">
        <v>78540</v>
      </c>
      <c r="AF80" s="2">
        <f>AD80+AE80+AB80</f>
        <v>2837126.47</v>
      </c>
      <c r="AG80" s="38" t="s">
        <v>857</v>
      </c>
      <c r="AH80" s="29" t="s">
        <v>1687</v>
      </c>
      <c r="AI80" s="30">
        <f>93072.41+133593.65+14946.4+380697.25+26616.05+16173.8+9198.7+1078704.06+516946.6</f>
        <v>2269948.92</v>
      </c>
      <c r="AJ80" s="30">
        <f>14234.6+20431.97+2285.92+58224.28+4070.69+2473.64+1406.86+164978.27+79062.42</f>
        <v>347168.64999999997</v>
      </c>
    </row>
    <row r="81" spans="1:36" s="179" customFormat="1" ht="173.25" x14ac:dyDescent="0.25">
      <c r="A81" s="6">
        <v>78</v>
      </c>
      <c r="B81" s="31">
        <v>126524</v>
      </c>
      <c r="C81" s="11">
        <v>552</v>
      </c>
      <c r="D81" s="9" t="s">
        <v>1638</v>
      </c>
      <c r="E81" s="32" t="s">
        <v>899</v>
      </c>
      <c r="F81" s="11" t="s">
        <v>959</v>
      </c>
      <c r="G81" s="11" t="s">
        <v>960</v>
      </c>
      <c r="H81" s="8" t="s">
        <v>151</v>
      </c>
      <c r="I81" s="32" t="s">
        <v>2638</v>
      </c>
      <c r="J81" s="25">
        <v>43480</v>
      </c>
      <c r="K81" s="25">
        <v>44180</v>
      </c>
      <c r="L81" s="26">
        <f t="shared" si="0"/>
        <v>84.99999981002415</v>
      </c>
      <c r="M81" s="11">
        <v>7</v>
      </c>
      <c r="N81" s="11" t="s">
        <v>226</v>
      </c>
      <c r="O81" s="11" t="s">
        <v>263</v>
      </c>
      <c r="P81" s="27" t="s">
        <v>174</v>
      </c>
      <c r="Q81" s="11" t="s">
        <v>34</v>
      </c>
      <c r="R81" s="1">
        <f t="shared" ref="R81:R82" si="37">S81+T81</f>
        <v>2460839.27</v>
      </c>
      <c r="S81" s="30">
        <v>2460839.27</v>
      </c>
      <c r="T81" s="2">
        <v>0</v>
      </c>
      <c r="U81" s="1">
        <f t="shared" si="2"/>
        <v>376363.66</v>
      </c>
      <c r="V81" s="42">
        <v>376363.66</v>
      </c>
      <c r="W81" s="28"/>
      <c r="X81" s="1">
        <f t="shared" si="7"/>
        <v>57902.1</v>
      </c>
      <c r="Y81" s="30">
        <v>57902.1</v>
      </c>
      <c r="Z81" s="30">
        <v>0</v>
      </c>
      <c r="AA81" s="2">
        <f t="shared" ref="AA81:AA82" si="38">AB81+AC81</f>
        <v>0</v>
      </c>
      <c r="AB81" s="41">
        <v>0</v>
      </c>
      <c r="AC81" s="41">
        <v>0</v>
      </c>
      <c r="AD81" s="16">
        <f t="shared" si="30"/>
        <v>2895105.0300000003</v>
      </c>
      <c r="AE81" s="38">
        <v>0</v>
      </c>
      <c r="AF81" s="2">
        <f t="shared" ref="AF81:AF91" si="39">AD81+AE81</f>
        <v>2895105.0300000003</v>
      </c>
      <c r="AG81" s="38" t="s">
        <v>857</v>
      </c>
      <c r="AH81" s="29" t="s">
        <v>1644</v>
      </c>
      <c r="AI81" s="30">
        <f>132379.54+23465.1+1059324.47+12491.6+792382.73</f>
        <v>2020043.44</v>
      </c>
      <c r="AJ81" s="30">
        <f>20246.28+3588.78+162014.32+1910.48+121187.95</f>
        <v>308947.81</v>
      </c>
    </row>
    <row r="82" spans="1:36" s="179" customFormat="1" ht="242.25" customHeight="1" x14ac:dyDescent="0.25">
      <c r="A82" s="6">
        <v>79</v>
      </c>
      <c r="B82" s="31">
        <v>126332</v>
      </c>
      <c r="C82" s="11">
        <v>565</v>
      </c>
      <c r="D82" s="9" t="s">
        <v>1638</v>
      </c>
      <c r="E82" s="32" t="s">
        <v>899</v>
      </c>
      <c r="F82" s="11" t="s">
        <v>1059</v>
      </c>
      <c r="G82" s="11" t="s">
        <v>1060</v>
      </c>
      <c r="H82" s="8" t="s">
        <v>151</v>
      </c>
      <c r="I82" s="33" t="s">
        <v>2639</v>
      </c>
      <c r="J82" s="25">
        <v>43601</v>
      </c>
      <c r="K82" s="25">
        <v>44697</v>
      </c>
      <c r="L82" s="26">
        <f t="shared" si="0"/>
        <v>85.000000553635857</v>
      </c>
      <c r="M82" s="11">
        <v>7</v>
      </c>
      <c r="N82" s="11" t="s">
        <v>226</v>
      </c>
      <c r="O82" s="11" t="s">
        <v>226</v>
      </c>
      <c r="P82" s="27" t="s">
        <v>174</v>
      </c>
      <c r="Q82" s="11" t="s">
        <v>34</v>
      </c>
      <c r="R82" s="1">
        <f t="shared" si="37"/>
        <v>1919131.5</v>
      </c>
      <c r="S82" s="30">
        <v>1919131.5</v>
      </c>
      <c r="T82" s="2">
        <v>0</v>
      </c>
      <c r="U82" s="1">
        <f t="shared" si="2"/>
        <v>293514.21000000002</v>
      </c>
      <c r="V82" s="42">
        <v>293514.21000000002</v>
      </c>
      <c r="W82" s="28">
        <v>0</v>
      </c>
      <c r="X82" s="1">
        <f t="shared" si="7"/>
        <v>45156.04</v>
      </c>
      <c r="Y82" s="30">
        <v>45156.04</v>
      </c>
      <c r="Z82" s="30">
        <v>0</v>
      </c>
      <c r="AA82" s="2">
        <f t="shared" si="38"/>
        <v>0</v>
      </c>
      <c r="AB82" s="41">
        <v>0</v>
      </c>
      <c r="AC82" s="41">
        <v>0</v>
      </c>
      <c r="AD82" s="16">
        <f t="shared" si="30"/>
        <v>2257801.75</v>
      </c>
      <c r="AE82" s="38">
        <v>0</v>
      </c>
      <c r="AF82" s="2">
        <f t="shared" si="39"/>
        <v>2257801.75</v>
      </c>
      <c r="AG82" s="38" t="s">
        <v>857</v>
      </c>
      <c r="AH82" s="29" t="s">
        <v>1981</v>
      </c>
      <c r="AI82" s="30">
        <f>110380.85+341720.62-27335.1+206064.6-8265.27+113793.75+221124.82-17403.75+136197.5+184398.38+557956.36</f>
        <v>1818632.7599999998</v>
      </c>
      <c r="AJ82" s="30">
        <f>9619.15+25878.71+27335.1+8265.27+17403.75+24289.72+17403.75+62613.87+85334.51</f>
        <v>278143.83</v>
      </c>
    </row>
    <row r="83" spans="1:36" s="179" customFormat="1" ht="242.25" customHeight="1" x14ac:dyDescent="0.25">
      <c r="A83" s="6">
        <v>80</v>
      </c>
      <c r="B83" s="31">
        <v>128663</v>
      </c>
      <c r="C83" s="11">
        <v>681</v>
      </c>
      <c r="D83" s="9" t="s">
        <v>1638</v>
      </c>
      <c r="E83" s="32" t="s">
        <v>1071</v>
      </c>
      <c r="F83" s="11" t="s">
        <v>1894</v>
      </c>
      <c r="G83" s="11" t="s">
        <v>1265</v>
      </c>
      <c r="H83" s="11" t="s">
        <v>1266</v>
      </c>
      <c r="I83" s="33" t="s">
        <v>1267</v>
      </c>
      <c r="J83" s="25">
        <v>43683</v>
      </c>
      <c r="K83" s="25">
        <v>44810</v>
      </c>
      <c r="L83" s="26">
        <f t="shared" si="0"/>
        <v>84.604864390882867</v>
      </c>
      <c r="M83" s="11">
        <v>7</v>
      </c>
      <c r="N83" s="11" t="s">
        <v>226</v>
      </c>
      <c r="O83" s="11" t="s">
        <v>226</v>
      </c>
      <c r="P83" s="27" t="s">
        <v>174</v>
      </c>
      <c r="Q83" s="11" t="s">
        <v>34</v>
      </c>
      <c r="R83" s="1">
        <f t="shared" ref="R83:R91" si="40">S83+T83</f>
        <v>3173338.5</v>
      </c>
      <c r="S83" s="30">
        <v>3173338.5</v>
      </c>
      <c r="T83" s="2">
        <v>0</v>
      </c>
      <c r="U83" s="1">
        <f t="shared" ref="U83:U91" si="41">V83+W83</f>
        <v>502421.46</v>
      </c>
      <c r="V83" s="42">
        <v>502421.46</v>
      </c>
      <c r="W83" s="28">
        <v>0</v>
      </c>
      <c r="X83" s="1">
        <f t="shared" si="7"/>
        <v>57579.43</v>
      </c>
      <c r="Y83" s="30">
        <v>57579.43</v>
      </c>
      <c r="Z83" s="30"/>
      <c r="AA83" s="2">
        <f t="shared" ref="AA83:AA91" si="42">AB83+AC83</f>
        <v>17436.080000000002</v>
      </c>
      <c r="AB83" s="41">
        <v>17436.080000000002</v>
      </c>
      <c r="AC83" s="41">
        <v>0</v>
      </c>
      <c r="AD83" s="16">
        <f t="shared" si="30"/>
        <v>3750775.47</v>
      </c>
      <c r="AE83" s="38">
        <v>0</v>
      </c>
      <c r="AF83" s="2">
        <f t="shared" si="39"/>
        <v>3750775.47</v>
      </c>
      <c r="AG83" s="38" t="s">
        <v>857</v>
      </c>
      <c r="AH83" s="29" t="s">
        <v>2001</v>
      </c>
      <c r="AI83" s="30">
        <f>29936.15+58571.7+142260.5+208810.2+151593.51+1032937.68+179659.48+165163.03+35595.96+22763.85+327286.13+670982</f>
        <v>3025560.1900000004</v>
      </c>
      <c r="AJ83" s="30">
        <f>4578.47+10336.18+24340.57+34536.75+25937.21+157978.7+31092.75+28549.9+5705.16+3481.53+50055.52+102620.78</f>
        <v>479213.52</v>
      </c>
    </row>
    <row r="84" spans="1:36" s="179" customFormat="1" ht="242.25" customHeight="1" x14ac:dyDescent="0.25">
      <c r="A84" s="6">
        <v>81</v>
      </c>
      <c r="B84" s="31">
        <v>135887</v>
      </c>
      <c r="C84" s="11">
        <v>771</v>
      </c>
      <c r="D84" s="9" t="s">
        <v>1638</v>
      </c>
      <c r="E84" s="24" t="s">
        <v>1441</v>
      </c>
      <c r="F84" s="11" t="s">
        <v>1503</v>
      </c>
      <c r="G84" s="11" t="s">
        <v>1265</v>
      </c>
      <c r="H84" s="11" t="s">
        <v>1504</v>
      </c>
      <c r="I84" s="33" t="s">
        <v>2640</v>
      </c>
      <c r="J84" s="25">
        <v>43973</v>
      </c>
      <c r="K84" s="25">
        <v>44887</v>
      </c>
      <c r="L84" s="26">
        <f t="shared" si="0"/>
        <v>85.000000472330711</v>
      </c>
      <c r="M84" s="11">
        <v>7</v>
      </c>
      <c r="N84" s="11" t="s">
        <v>226</v>
      </c>
      <c r="O84" s="11" t="s">
        <v>263</v>
      </c>
      <c r="P84" s="27" t="s">
        <v>174</v>
      </c>
      <c r="Q84" s="11" t="s">
        <v>34</v>
      </c>
      <c r="R84" s="1">
        <f t="shared" si="40"/>
        <v>2519421.23</v>
      </c>
      <c r="S84" s="30">
        <v>2519421.23</v>
      </c>
      <c r="T84" s="2">
        <v>0</v>
      </c>
      <c r="U84" s="1">
        <f t="shared" si="41"/>
        <v>385323.23</v>
      </c>
      <c r="V84" s="42">
        <v>385323.23</v>
      </c>
      <c r="W84" s="28">
        <v>0</v>
      </c>
      <c r="X84" s="1">
        <f t="shared" si="7"/>
        <v>59280.5</v>
      </c>
      <c r="Y84" s="30">
        <v>59280.5</v>
      </c>
      <c r="Z84" s="30">
        <v>0</v>
      </c>
      <c r="AA84" s="2">
        <f t="shared" si="42"/>
        <v>0</v>
      </c>
      <c r="AB84" s="30">
        <v>0</v>
      </c>
      <c r="AC84" s="30">
        <v>0</v>
      </c>
      <c r="AD84" s="16">
        <f t="shared" si="30"/>
        <v>2964024.96</v>
      </c>
      <c r="AE84" s="38">
        <v>0</v>
      </c>
      <c r="AF84" s="2">
        <f t="shared" si="39"/>
        <v>2964024.96</v>
      </c>
      <c r="AG84" s="38" t="s">
        <v>486</v>
      </c>
      <c r="AH84" s="29"/>
      <c r="AI84" s="30">
        <f>28723.2+29070.01+32287.08+27169.4+29666.87+472011.8+448188.43+75747.57+34498.95</f>
        <v>1177363.31</v>
      </c>
      <c r="AJ84" s="30">
        <f>4392.96+4446+4938.02+4155.32+4537.29+72190.04+68546.47+11584.92+5276.31</f>
        <v>180067.33</v>
      </c>
    </row>
    <row r="85" spans="1:36" s="179" customFormat="1" ht="242.25" customHeight="1" x14ac:dyDescent="0.25">
      <c r="A85" s="6">
        <v>82</v>
      </c>
      <c r="B85" s="31">
        <v>136330</v>
      </c>
      <c r="C85" s="11">
        <v>840</v>
      </c>
      <c r="D85" s="9" t="s">
        <v>1638</v>
      </c>
      <c r="E85" s="24" t="s">
        <v>1441</v>
      </c>
      <c r="F85" s="11" t="s">
        <v>1536</v>
      </c>
      <c r="G85" s="11" t="s">
        <v>960</v>
      </c>
      <c r="H85" s="8" t="s">
        <v>151</v>
      </c>
      <c r="I85" s="33" t="s">
        <v>2641</v>
      </c>
      <c r="J85" s="25">
        <v>43998</v>
      </c>
      <c r="K85" s="25">
        <v>45001</v>
      </c>
      <c r="L85" s="26">
        <f t="shared" si="0"/>
        <v>85.000000132234348</v>
      </c>
      <c r="M85" s="11">
        <v>7</v>
      </c>
      <c r="N85" s="11" t="s">
        <v>226</v>
      </c>
      <c r="O85" s="11" t="s">
        <v>822</v>
      </c>
      <c r="P85" s="27" t="s">
        <v>174</v>
      </c>
      <c r="Q85" s="11" t="s">
        <v>34</v>
      </c>
      <c r="R85" s="1">
        <f t="shared" si="40"/>
        <v>3213990.68</v>
      </c>
      <c r="S85" s="30">
        <v>3213990.68</v>
      </c>
      <c r="T85" s="2">
        <v>0</v>
      </c>
      <c r="U85" s="1">
        <f t="shared" si="41"/>
        <v>491551.51</v>
      </c>
      <c r="V85" s="42">
        <v>491551.51</v>
      </c>
      <c r="W85" s="28">
        <v>0</v>
      </c>
      <c r="X85" s="1">
        <f t="shared" si="7"/>
        <v>75623.31</v>
      </c>
      <c r="Y85" s="30">
        <v>75623.31</v>
      </c>
      <c r="Z85" s="30">
        <v>0</v>
      </c>
      <c r="AA85" s="2">
        <f t="shared" si="42"/>
        <v>0</v>
      </c>
      <c r="AB85" s="30">
        <v>0</v>
      </c>
      <c r="AC85" s="30">
        <v>0</v>
      </c>
      <c r="AD85" s="16">
        <f t="shared" si="30"/>
        <v>3781165.5000000005</v>
      </c>
      <c r="AE85" s="38">
        <v>0</v>
      </c>
      <c r="AF85" s="2">
        <f t="shared" si="39"/>
        <v>3781165.5000000005</v>
      </c>
      <c r="AG85" s="38" t="s">
        <v>486</v>
      </c>
      <c r="AH85" s="29" t="s">
        <v>2257</v>
      </c>
      <c r="AI85" s="30">
        <f>18452.65+114508.06+21333.3+28721.86+31579.47+365479.99+1020374.85+705932.26</f>
        <v>2306382.44</v>
      </c>
      <c r="AJ85" s="30">
        <f>2822.17+17513+3262.74+4392.75+4829.8+55896.94+156057.33+107966.11</f>
        <v>352740.83999999997</v>
      </c>
    </row>
    <row r="86" spans="1:36" s="179" customFormat="1" ht="204.75" x14ac:dyDescent="0.25">
      <c r="A86" s="6">
        <v>83</v>
      </c>
      <c r="B86" s="31">
        <v>152121</v>
      </c>
      <c r="C86" s="11">
        <v>1133</v>
      </c>
      <c r="D86" s="9" t="s">
        <v>1639</v>
      </c>
      <c r="E86" s="24" t="s">
        <v>1801</v>
      </c>
      <c r="F86" s="11" t="s">
        <v>1852</v>
      </c>
      <c r="G86" s="11" t="s">
        <v>919</v>
      </c>
      <c r="H86" s="8" t="s">
        <v>151</v>
      </c>
      <c r="I86" s="33" t="s">
        <v>2642</v>
      </c>
      <c r="J86" s="25">
        <v>44498</v>
      </c>
      <c r="K86" s="25">
        <v>44863</v>
      </c>
      <c r="L86" s="26">
        <f t="shared" si="0"/>
        <v>85.000000498008617</v>
      </c>
      <c r="M86" s="11">
        <v>7</v>
      </c>
      <c r="N86" s="11" t="s">
        <v>226</v>
      </c>
      <c r="O86" s="11" t="s">
        <v>226</v>
      </c>
      <c r="P86" s="27" t="s">
        <v>174</v>
      </c>
      <c r="Q86" s="11" t="s">
        <v>34</v>
      </c>
      <c r="R86" s="1">
        <f t="shared" si="40"/>
        <v>341359.56</v>
      </c>
      <c r="S86" s="30">
        <v>341359.56</v>
      </c>
      <c r="T86" s="2">
        <v>0</v>
      </c>
      <c r="U86" s="1">
        <f t="shared" si="41"/>
        <v>52207.93</v>
      </c>
      <c r="V86" s="42">
        <v>52207.93</v>
      </c>
      <c r="W86" s="28">
        <v>0</v>
      </c>
      <c r="X86" s="1">
        <f t="shared" si="7"/>
        <v>8031.99</v>
      </c>
      <c r="Y86" s="30">
        <v>8031.99</v>
      </c>
      <c r="Z86" s="30">
        <v>0</v>
      </c>
      <c r="AA86" s="2">
        <f t="shared" si="42"/>
        <v>0</v>
      </c>
      <c r="AB86" s="30">
        <v>0</v>
      </c>
      <c r="AC86" s="30">
        <v>0</v>
      </c>
      <c r="AD86" s="16">
        <f t="shared" si="30"/>
        <v>401599.48</v>
      </c>
      <c r="AE86" s="38">
        <v>0</v>
      </c>
      <c r="AF86" s="2">
        <f t="shared" si="39"/>
        <v>401599.48</v>
      </c>
      <c r="AG86" s="38" t="s">
        <v>486</v>
      </c>
      <c r="AH86" s="29"/>
      <c r="AI86" s="30">
        <v>0</v>
      </c>
      <c r="AJ86" s="30">
        <v>0</v>
      </c>
    </row>
    <row r="87" spans="1:36" s="179" customFormat="1" ht="126.75" customHeight="1" x14ac:dyDescent="0.25">
      <c r="A87" s="6">
        <v>84</v>
      </c>
      <c r="B87" s="31">
        <v>152068</v>
      </c>
      <c r="C87" s="11">
        <v>1128</v>
      </c>
      <c r="D87" s="9" t="s">
        <v>1639</v>
      </c>
      <c r="E87" s="24" t="s">
        <v>1801</v>
      </c>
      <c r="F87" s="11" t="s">
        <v>1861</v>
      </c>
      <c r="G87" s="11" t="s">
        <v>1265</v>
      </c>
      <c r="H87" s="8" t="s">
        <v>151</v>
      </c>
      <c r="I87" s="33" t="s">
        <v>2643</v>
      </c>
      <c r="J87" s="25">
        <v>44511</v>
      </c>
      <c r="K87" s="25">
        <v>44996</v>
      </c>
      <c r="L87" s="26">
        <f t="shared" si="0"/>
        <v>85</v>
      </c>
      <c r="M87" s="11">
        <v>7</v>
      </c>
      <c r="N87" s="11" t="s">
        <v>226</v>
      </c>
      <c r="O87" s="11" t="s">
        <v>226</v>
      </c>
      <c r="P87" s="27" t="s">
        <v>174</v>
      </c>
      <c r="Q87" s="11" t="s">
        <v>34</v>
      </c>
      <c r="R87" s="1">
        <f t="shared" si="40"/>
        <v>351173.25</v>
      </c>
      <c r="S87" s="30">
        <v>351173.25</v>
      </c>
      <c r="T87" s="2">
        <v>0</v>
      </c>
      <c r="U87" s="1">
        <f t="shared" si="41"/>
        <v>53708.85</v>
      </c>
      <c r="V87" s="42">
        <v>53708.85</v>
      </c>
      <c r="W87" s="28">
        <v>0</v>
      </c>
      <c r="X87" s="1">
        <f t="shared" si="7"/>
        <v>8262.9</v>
      </c>
      <c r="Y87" s="30">
        <v>8262.9</v>
      </c>
      <c r="Z87" s="30">
        <v>0</v>
      </c>
      <c r="AA87" s="2">
        <f t="shared" si="42"/>
        <v>0</v>
      </c>
      <c r="AB87" s="30">
        <v>0</v>
      </c>
      <c r="AC87" s="30">
        <v>0</v>
      </c>
      <c r="AD87" s="16">
        <f t="shared" si="30"/>
        <v>413145</v>
      </c>
      <c r="AE87" s="38">
        <v>0</v>
      </c>
      <c r="AF87" s="2">
        <f t="shared" si="39"/>
        <v>413145</v>
      </c>
      <c r="AG87" s="38" t="s">
        <v>486</v>
      </c>
      <c r="AH87" s="29"/>
      <c r="AI87" s="30">
        <v>13604.93</v>
      </c>
      <c r="AJ87" s="30">
        <v>2080.75</v>
      </c>
    </row>
    <row r="88" spans="1:36" s="179" customFormat="1" ht="126.75" customHeight="1" x14ac:dyDescent="0.25">
      <c r="A88" s="6">
        <v>85</v>
      </c>
      <c r="B88" s="31">
        <v>152232</v>
      </c>
      <c r="C88" s="11">
        <v>1148</v>
      </c>
      <c r="D88" s="9" t="s">
        <v>1639</v>
      </c>
      <c r="E88" s="24" t="s">
        <v>1801</v>
      </c>
      <c r="F88" s="11" t="s">
        <v>1974</v>
      </c>
      <c r="G88" s="11" t="s">
        <v>1060</v>
      </c>
      <c r="H88" s="8" t="s">
        <v>151</v>
      </c>
      <c r="I88" s="33" t="s">
        <v>2644</v>
      </c>
      <c r="J88" s="25">
        <v>44579</v>
      </c>
      <c r="K88" s="25">
        <v>45034</v>
      </c>
      <c r="L88" s="26">
        <f t="shared" si="0"/>
        <v>85.000000000000014</v>
      </c>
      <c r="M88" s="11">
        <v>7</v>
      </c>
      <c r="N88" s="11" t="s">
        <v>226</v>
      </c>
      <c r="O88" s="11" t="s">
        <v>1975</v>
      </c>
      <c r="P88" s="27" t="s">
        <v>174</v>
      </c>
      <c r="Q88" s="11" t="s">
        <v>34</v>
      </c>
      <c r="R88" s="1">
        <f t="shared" si="40"/>
        <v>350971.8</v>
      </c>
      <c r="S88" s="30">
        <v>350971.8</v>
      </c>
      <c r="T88" s="2">
        <v>0</v>
      </c>
      <c r="U88" s="1">
        <f t="shared" si="41"/>
        <v>53678.04</v>
      </c>
      <c r="V88" s="42">
        <v>53678.04</v>
      </c>
      <c r="W88" s="28">
        <v>0</v>
      </c>
      <c r="X88" s="1">
        <f t="shared" si="7"/>
        <v>8258.16</v>
      </c>
      <c r="Y88" s="30">
        <v>8258.16</v>
      </c>
      <c r="Z88" s="30">
        <v>0</v>
      </c>
      <c r="AA88" s="2">
        <f t="shared" si="42"/>
        <v>0</v>
      </c>
      <c r="AB88" s="30">
        <v>0</v>
      </c>
      <c r="AC88" s="30">
        <v>0</v>
      </c>
      <c r="AD88" s="16">
        <f t="shared" si="30"/>
        <v>412907.99999999994</v>
      </c>
      <c r="AE88" s="38">
        <v>0</v>
      </c>
      <c r="AF88" s="2">
        <f t="shared" si="39"/>
        <v>412907.99999999994</v>
      </c>
      <c r="AG88" s="38" t="s">
        <v>486</v>
      </c>
      <c r="AH88" s="29"/>
      <c r="AI88" s="30">
        <v>0</v>
      </c>
      <c r="AJ88" s="30">
        <v>0</v>
      </c>
    </row>
    <row r="89" spans="1:36" s="179" customFormat="1" ht="126.75" customHeight="1" x14ac:dyDescent="0.25">
      <c r="A89" s="6">
        <v>86</v>
      </c>
      <c r="B89" s="31">
        <v>155079</v>
      </c>
      <c r="C89" s="11">
        <v>1212</v>
      </c>
      <c r="D89" s="9" t="s">
        <v>1638</v>
      </c>
      <c r="E89" s="24" t="s">
        <v>2014</v>
      </c>
      <c r="F89" s="11" t="s">
        <v>2081</v>
      </c>
      <c r="G89" s="11" t="s">
        <v>1060</v>
      </c>
      <c r="H89" s="8" t="s">
        <v>151</v>
      </c>
      <c r="I89" s="33" t="s">
        <v>2645</v>
      </c>
      <c r="J89" s="25">
        <v>44655</v>
      </c>
      <c r="K89" s="25">
        <v>45142</v>
      </c>
      <c r="L89" s="26">
        <f t="shared" si="0"/>
        <v>85</v>
      </c>
      <c r="M89" s="11">
        <v>7</v>
      </c>
      <c r="N89" s="11" t="s">
        <v>226</v>
      </c>
      <c r="O89" s="11" t="s">
        <v>1975</v>
      </c>
      <c r="P89" s="27" t="s">
        <v>174</v>
      </c>
      <c r="Q89" s="11" t="s">
        <v>34</v>
      </c>
      <c r="R89" s="1">
        <f t="shared" si="40"/>
        <v>2888574.55</v>
      </c>
      <c r="S89" s="30">
        <v>2888574.55</v>
      </c>
      <c r="T89" s="2">
        <v>0</v>
      </c>
      <c r="U89" s="1">
        <f t="shared" si="41"/>
        <v>441781.99</v>
      </c>
      <c r="V89" s="42">
        <v>441781.99</v>
      </c>
      <c r="W89" s="28">
        <v>0</v>
      </c>
      <c r="X89" s="1">
        <f t="shared" si="7"/>
        <v>67966.460000000006</v>
      </c>
      <c r="Y89" s="30">
        <v>67966.460000000006</v>
      </c>
      <c r="Z89" s="30">
        <v>0</v>
      </c>
      <c r="AA89" s="2">
        <f t="shared" si="42"/>
        <v>0</v>
      </c>
      <c r="AB89" s="30">
        <v>0</v>
      </c>
      <c r="AC89" s="30">
        <v>0</v>
      </c>
      <c r="AD89" s="16">
        <f t="shared" si="30"/>
        <v>3398323</v>
      </c>
      <c r="AE89" s="38">
        <v>0</v>
      </c>
      <c r="AF89" s="2">
        <f t="shared" si="39"/>
        <v>3398323</v>
      </c>
      <c r="AG89" s="38" t="s">
        <v>486</v>
      </c>
      <c r="AH89" s="29"/>
      <c r="AI89" s="30">
        <v>0</v>
      </c>
      <c r="AJ89" s="30">
        <v>0</v>
      </c>
    </row>
    <row r="90" spans="1:36" s="179" customFormat="1" ht="126.75" customHeight="1" x14ac:dyDescent="0.25">
      <c r="A90" s="6">
        <v>87</v>
      </c>
      <c r="B90" s="31">
        <v>154612</v>
      </c>
      <c r="C90" s="11">
        <v>1185</v>
      </c>
      <c r="D90" s="9" t="s">
        <v>1638</v>
      </c>
      <c r="E90" s="24" t="s">
        <v>2014</v>
      </c>
      <c r="F90" s="11" t="s">
        <v>2192</v>
      </c>
      <c r="G90" s="11" t="s">
        <v>919</v>
      </c>
      <c r="H90" s="11" t="s">
        <v>2193</v>
      </c>
      <c r="I90" s="33" t="s">
        <v>2646</v>
      </c>
      <c r="J90" s="25">
        <v>44690</v>
      </c>
      <c r="K90" s="25">
        <v>45178</v>
      </c>
      <c r="L90" s="26">
        <f t="shared" si="0"/>
        <v>85.000000535927697</v>
      </c>
      <c r="M90" s="11">
        <v>7</v>
      </c>
      <c r="N90" s="11" t="s">
        <v>226</v>
      </c>
      <c r="O90" s="11" t="s">
        <v>226</v>
      </c>
      <c r="P90" s="27" t="s">
        <v>174</v>
      </c>
      <c r="Q90" s="11" t="s">
        <v>34</v>
      </c>
      <c r="R90" s="1">
        <f t="shared" si="40"/>
        <v>3489276.61</v>
      </c>
      <c r="S90" s="30">
        <v>3489276.61</v>
      </c>
      <c r="T90" s="2">
        <v>0</v>
      </c>
      <c r="U90" s="1">
        <f t="shared" si="41"/>
        <v>533654.05000000005</v>
      </c>
      <c r="V90" s="42">
        <v>533654.05000000005</v>
      </c>
      <c r="W90" s="28">
        <v>0</v>
      </c>
      <c r="X90" s="1">
        <f t="shared" si="7"/>
        <v>82100.62</v>
      </c>
      <c r="Y90" s="30">
        <v>82100.62</v>
      </c>
      <c r="Z90" s="30">
        <v>0</v>
      </c>
      <c r="AA90" s="2">
        <f t="shared" si="42"/>
        <v>0</v>
      </c>
      <c r="AB90" s="30">
        <v>0</v>
      </c>
      <c r="AC90" s="30">
        <v>0</v>
      </c>
      <c r="AD90" s="16">
        <f t="shared" si="30"/>
        <v>4105031.2800000003</v>
      </c>
      <c r="AE90" s="38">
        <v>0</v>
      </c>
      <c r="AF90" s="2">
        <f t="shared" si="39"/>
        <v>4105031.2800000003</v>
      </c>
      <c r="AG90" s="38" t="s">
        <v>486</v>
      </c>
      <c r="AH90" s="29"/>
      <c r="AI90" s="30">
        <v>0</v>
      </c>
      <c r="AJ90" s="30">
        <v>0</v>
      </c>
    </row>
    <row r="91" spans="1:36" s="179" customFormat="1" ht="126.75" customHeight="1" x14ac:dyDescent="0.25">
      <c r="A91" s="6">
        <v>88</v>
      </c>
      <c r="B91" s="31">
        <v>155100</v>
      </c>
      <c r="C91" s="11">
        <v>1252</v>
      </c>
      <c r="D91" s="9" t="s">
        <v>1638</v>
      </c>
      <c r="E91" s="24" t="s">
        <v>2014</v>
      </c>
      <c r="F91" s="11" t="s">
        <v>2248</v>
      </c>
      <c r="G91" s="11" t="s">
        <v>224</v>
      </c>
      <c r="H91" s="8" t="s">
        <v>151</v>
      </c>
      <c r="I91" s="33" t="s">
        <v>2647</v>
      </c>
      <c r="J91" s="25">
        <v>44715</v>
      </c>
      <c r="K91" s="25">
        <v>45202</v>
      </c>
      <c r="L91" s="26">
        <f t="shared" si="0"/>
        <v>85</v>
      </c>
      <c r="M91" s="11">
        <v>7</v>
      </c>
      <c r="N91" s="11" t="s">
        <v>226</v>
      </c>
      <c r="O91" s="11" t="s">
        <v>227</v>
      </c>
      <c r="P91" s="27" t="s">
        <v>174</v>
      </c>
      <c r="Q91" s="11" t="s">
        <v>34</v>
      </c>
      <c r="R91" s="1">
        <f t="shared" si="40"/>
        <v>2521508</v>
      </c>
      <c r="S91" s="30">
        <v>2521508</v>
      </c>
      <c r="T91" s="2">
        <v>0</v>
      </c>
      <c r="U91" s="1">
        <f t="shared" si="41"/>
        <v>385642.4</v>
      </c>
      <c r="V91" s="42">
        <v>385642.4</v>
      </c>
      <c r="W91" s="28">
        <v>0</v>
      </c>
      <c r="X91" s="1">
        <f t="shared" si="7"/>
        <v>59329.599999999999</v>
      </c>
      <c r="Y91" s="30">
        <v>59329.599999999999</v>
      </c>
      <c r="Z91" s="30">
        <v>0</v>
      </c>
      <c r="AA91" s="2">
        <f t="shared" si="42"/>
        <v>0</v>
      </c>
      <c r="AB91" s="30">
        <v>0</v>
      </c>
      <c r="AC91" s="30">
        <v>0</v>
      </c>
      <c r="AD91" s="16">
        <f t="shared" si="30"/>
        <v>2966480</v>
      </c>
      <c r="AE91" s="38">
        <v>0</v>
      </c>
      <c r="AF91" s="2">
        <f t="shared" si="39"/>
        <v>2966480</v>
      </c>
      <c r="AG91" s="38" t="s">
        <v>486</v>
      </c>
      <c r="AH91" s="29"/>
      <c r="AI91" s="30">
        <v>0</v>
      </c>
      <c r="AJ91" s="30">
        <v>0</v>
      </c>
    </row>
    <row r="92" spans="1:36" s="179" customFormat="1" ht="204.75" x14ac:dyDescent="0.25">
      <c r="A92" s="6">
        <v>89</v>
      </c>
      <c r="B92" s="31">
        <v>120503</v>
      </c>
      <c r="C92" s="11">
        <v>80</v>
      </c>
      <c r="D92" s="9" t="s">
        <v>1638</v>
      </c>
      <c r="E92" s="24" t="s">
        <v>276</v>
      </c>
      <c r="F92" s="70" t="s">
        <v>260</v>
      </c>
      <c r="G92" s="11" t="s">
        <v>905</v>
      </c>
      <c r="H92" s="8" t="s">
        <v>151</v>
      </c>
      <c r="I92" s="12" t="s">
        <v>264</v>
      </c>
      <c r="J92" s="25">
        <v>43173</v>
      </c>
      <c r="K92" s="25">
        <v>43599</v>
      </c>
      <c r="L92" s="26">
        <f t="shared" si="0"/>
        <v>79.999997969650394</v>
      </c>
      <c r="M92" s="11">
        <v>8</v>
      </c>
      <c r="N92" s="11" t="s">
        <v>261</v>
      </c>
      <c r="O92" s="11" t="s">
        <v>261</v>
      </c>
      <c r="P92" s="27" t="s">
        <v>174</v>
      </c>
      <c r="Q92" s="11" t="s">
        <v>34</v>
      </c>
      <c r="R92" s="1">
        <f t="shared" ref="R92:R95" si="43">S92+T92</f>
        <v>315216.64000000001</v>
      </c>
      <c r="S92" s="2">
        <v>0</v>
      </c>
      <c r="T92" s="2">
        <v>315216.64000000001</v>
      </c>
      <c r="U92" s="1">
        <f t="shared" si="2"/>
        <v>70923.75</v>
      </c>
      <c r="V92" s="28">
        <v>0</v>
      </c>
      <c r="W92" s="28">
        <v>70923.75</v>
      </c>
      <c r="X92" s="1">
        <f t="shared" si="7"/>
        <v>7880.42</v>
      </c>
      <c r="Y92" s="2">
        <v>0</v>
      </c>
      <c r="Z92" s="2">
        <v>7880.42</v>
      </c>
      <c r="AA92" s="2">
        <f t="shared" si="34"/>
        <v>0</v>
      </c>
      <c r="AB92" s="69">
        <v>0</v>
      </c>
      <c r="AC92" s="69">
        <v>0</v>
      </c>
      <c r="AD92" s="16">
        <f t="shared" si="30"/>
        <v>394020.81</v>
      </c>
      <c r="AE92" s="2">
        <v>0</v>
      </c>
      <c r="AF92" s="2">
        <f t="shared" si="35"/>
        <v>394020.81</v>
      </c>
      <c r="AG92" s="21" t="s">
        <v>857</v>
      </c>
      <c r="AH92" s="29" t="s">
        <v>151</v>
      </c>
      <c r="AI92" s="30">
        <v>238501.38</v>
      </c>
      <c r="AJ92" s="30">
        <v>53662.82</v>
      </c>
    </row>
    <row r="93" spans="1:36" s="179" customFormat="1" ht="252" x14ac:dyDescent="0.25">
      <c r="A93" s="6">
        <v>90</v>
      </c>
      <c r="B93" s="31">
        <v>120710</v>
      </c>
      <c r="C93" s="11">
        <v>103</v>
      </c>
      <c r="D93" s="9" t="s">
        <v>1638</v>
      </c>
      <c r="E93" s="68" t="s">
        <v>276</v>
      </c>
      <c r="F93" s="27" t="s">
        <v>378</v>
      </c>
      <c r="G93" s="11" t="s">
        <v>1646</v>
      </c>
      <c r="H93" s="8" t="s">
        <v>151</v>
      </c>
      <c r="I93" s="45" t="s">
        <v>379</v>
      </c>
      <c r="J93" s="25">
        <v>43227</v>
      </c>
      <c r="K93" s="25">
        <v>43776</v>
      </c>
      <c r="L93" s="26">
        <f t="shared" si="0"/>
        <v>79.999999056893557</v>
      </c>
      <c r="M93" s="11">
        <v>8</v>
      </c>
      <c r="N93" s="11" t="s">
        <v>261</v>
      </c>
      <c r="O93" s="11" t="s">
        <v>261</v>
      </c>
      <c r="P93" s="11" t="s">
        <v>174</v>
      </c>
      <c r="Q93" s="11" t="s">
        <v>34</v>
      </c>
      <c r="R93" s="1">
        <f t="shared" si="43"/>
        <v>339304.22</v>
      </c>
      <c r="S93" s="41">
        <v>0</v>
      </c>
      <c r="T93" s="71">
        <v>339304.22</v>
      </c>
      <c r="U93" s="1">
        <f t="shared" si="2"/>
        <v>76343.45</v>
      </c>
      <c r="V93" s="42">
        <v>0</v>
      </c>
      <c r="W93" s="72">
        <v>76343.45</v>
      </c>
      <c r="X93" s="1">
        <f t="shared" si="7"/>
        <v>8482.61</v>
      </c>
      <c r="Y93" s="30">
        <v>0</v>
      </c>
      <c r="Z93" s="2">
        <v>8482.61</v>
      </c>
      <c r="AA93" s="2">
        <f t="shared" si="34"/>
        <v>0</v>
      </c>
      <c r="AB93" s="30">
        <v>0</v>
      </c>
      <c r="AC93" s="30">
        <v>0</v>
      </c>
      <c r="AD93" s="16">
        <f t="shared" si="30"/>
        <v>424130.27999999997</v>
      </c>
      <c r="AE93" s="35">
        <v>0</v>
      </c>
      <c r="AF93" s="2">
        <f t="shared" si="35"/>
        <v>424130.27999999997</v>
      </c>
      <c r="AG93" s="21" t="s">
        <v>857</v>
      </c>
      <c r="AH93" s="73" t="s">
        <v>1264</v>
      </c>
      <c r="AI93" s="30">
        <f>52550.4+283857.46</f>
        <v>336407.86000000004</v>
      </c>
      <c r="AJ93" s="30">
        <f>11823.84+63867.93</f>
        <v>75691.77</v>
      </c>
    </row>
    <row r="94" spans="1:36" s="179" customFormat="1" ht="157.5" x14ac:dyDescent="0.25">
      <c r="A94" s="6">
        <v>91</v>
      </c>
      <c r="B94" s="31">
        <v>117665</v>
      </c>
      <c r="C94" s="11">
        <v>413</v>
      </c>
      <c r="D94" s="32" t="s">
        <v>1639</v>
      </c>
      <c r="E94" s="32" t="s">
        <v>508</v>
      </c>
      <c r="F94" s="27" t="s">
        <v>618</v>
      </c>
      <c r="G94" s="11" t="s">
        <v>905</v>
      </c>
      <c r="H94" s="8" t="s">
        <v>151</v>
      </c>
      <c r="I94" s="45" t="s">
        <v>2648</v>
      </c>
      <c r="J94" s="25">
        <v>43290</v>
      </c>
      <c r="K94" s="25">
        <v>43625</v>
      </c>
      <c r="L94" s="26">
        <f t="shared" si="0"/>
        <v>80</v>
      </c>
      <c r="M94" s="11">
        <v>8</v>
      </c>
      <c r="N94" s="11" t="s">
        <v>261</v>
      </c>
      <c r="O94" s="11" t="s">
        <v>261</v>
      </c>
      <c r="P94" s="11" t="s">
        <v>174</v>
      </c>
      <c r="Q94" s="11" t="s">
        <v>34</v>
      </c>
      <c r="R94" s="1">
        <f t="shared" si="43"/>
        <v>224534.64</v>
      </c>
      <c r="S94" s="41">
        <v>0</v>
      </c>
      <c r="T94" s="2">
        <v>224534.64</v>
      </c>
      <c r="U94" s="1">
        <f t="shared" si="2"/>
        <v>50520.29</v>
      </c>
      <c r="V94" s="42">
        <v>0</v>
      </c>
      <c r="W94" s="28">
        <v>50520.29</v>
      </c>
      <c r="X94" s="1">
        <f t="shared" si="7"/>
        <v>5613.37</v>
      </c>
      <c r="Y94" s="30">
        <v>0</v>
      </c>
      <c r="Z94" s="2">
        <v>5613.37</v>
      </c>
      <c r="AA94" s="2">
        <f t="shared" si="34"/>
        <v>0</v>
      </c>
      <c r="AB94" s="30">
        <v>0</v>
      </c>
      <c r="AC94" s="30">
        <v>0</v>
      </c>
      <c r="AD94" s="16">
        <f t="shared" si="30"/>
        <v>280668.3</v>
      </c>
      <c r="AE94" s="35">
        <v>0</v>
      </c>
      <c r="AF94" s="2">
        <f t="shared" si="35"/>
        <v>280668.3</v>
      </c>
      <c r="AG94" s="21" t="s">
        <v>857</v>
      </c>
      <c r="AH94" s="73" t="s">
        <v>1045</v>
      </c>
      <c r="AI94" s="30">
        <f>174905.44</f>
        <v>174905.44</v>
      </c>
      <c r="AJ94" s="30">
        <v>39353.72</v>
      </c>
    </row>
    <row r="95" spans="1:36" s="179" customFormat="1" ht="60" customHeight="1" x14ac:dyDescent="0.25">
      <c r="A95" s="6">
        <v>92</v>
      </c>
      <c r="B95" s="31">
        <v>117676</v>
      </c>
      <c r="C95" s="11">
        <v>414</v>
      </c>
      <c r="D95" s="32" t="s">
        <v>1639</v>
      </c>
      <c r="E95" s="24" t="s">
        <v>508</v>
      </c>
      <c r="F95" s="27" t="s">
        <v>824</v>
      </c>
      <c r="G95" s="11" t="s">
        <v>924</v>
      </c>
      <c r="H95" s="8" t="s">
        <v>151</v>
      </c>
      <c r="I95" s="45" t="s">
        <v>825</v>
      </c>
      <c r="J95" s="25">
        <v>43348</v>
      </c>
      <c r="K95" s="25">
        <v>43713</v>
      </c>
      <c r="L95" s="26">
        <f t="shared" si="0"/>
        <v>80.000002000969275</v>
      </c>
      <c r="M95" s="11">
        <v>8</v>
      </c>
      <c r="N95" s="11" t="s">
        <v>261</v>
      </c>
      <c r="O95" s="11" t="s">
        <v>261</v>
      </c>
      <c r="P95" s="11" t="s">
        <v>174</v>
      </c>
      <c r="Q95" s="11" t="s">
        <v>34</v>
      </c>
      <c r="R95" s="1">
        <f t="shared" si="43"/>
        <v>239883.75</v>
      </c>
      <c r="S95" s="30">
        <v>0</v>
      </c>
      <c r="T95" s="2">
        <v>239883.75</v>
      </c>
      <c r="U95" s="1">
        <f t="shared" si="2"/>
        <v>53973.85</v>
      </c>
      <c r="V95" s="42">
        <v>0</v>
      </c>
      <c r="W95" s="28">
        <v>53973.85</v>
      </c>
      <c r="X95" s="1">
        <f t="shared" si="7"/>
        <v>5997.08</v>
      </c>
      <c r="Y95" s="30">
        <v>0</v>
      </c>
      <c r="Z95" s="2">
        <v>5997.08</v>
      </c>
      <c r="AA95" s="2">
        <f t="shared" si="34"/>
        <v>0</v>
      </c>
      <c r="AB95" s="36">
        <v>0</v>
      </c>
      <c r="AC95" s="36">
        <v>0</v>
      </c>
      <c r="AD95" s="16">
        <f t="shared" si="30"/>
        <v>299854.68</v>
      </c>
      <c r="AE95" s="35">
        <v>0</v>
      </c>
      <c r="AF95" s="2">
        <f t="shared" si="35"/>
        <v>299854.68</v>
      </c>
      <c r="AG95" s="21" t="s">
        <v>857</v>
      </c>
      <c r="AH95" s="35"/>
      <c r="AI95" s="30">
        <f>102261.61+121535.79</f>
        <v>223797.4</v>
      </c>
      <c r="AJ95" s="30">
        <f>23008.85+27345.55</f>
        <v>50354.399999999994</v>
      </c>
    </row>
    <row r="96" spans="1:36" s="179" customFormat="1" ht="120" customHeight="1" x14ac:dyDescent="0.25">
      <c r="A96" s="6">
        <v>93</v>
      </c>
      <c r="B96" s="31">
        <v>126477</v>
      </c>
      <c r="C96" s="11">
        <v>507</v>
      </c>
      <c r="D96" s="9" t="s">
        <v>1638</v>
      </c>
      <c r="E96" s="24" t="s">
        <v>903</v>
      </c>
      <c r="F96" s="27" t="s">
        <v>904</v>
      </c>
      <c r="G96" s="11" t="s">
        <v>905</v>
      </c>
      <c r="H96" s="8" t="s">
        <v>151</v>
      </c>
      <c r="I96" s="45" t="s">
        <v>2649</v>
      </c>
      <c r="J96" s="25">
        <v>43433</v>
      </c>
      <c r="K96" s="25">
        <v>44225</v>
      </c>
      <c r="L96" s="26">
        <f t="shared" si="0"/>
        <v>79.999999581986273</v>
      </c>
      <c r="M96" s="11">
        <v>8</v>
      </c>
      <c r="N96" s="11" t="s">
        <v>261</v>
      </c>
      <c r="O96" s="11" t="s">
        <v>261</v>
      </c>
      <c r="P96" s="11" t="s">
        <v>174</v>
      </c>
      <c r="Q96" s="11" t="s">
        <v>34</v>
      </c>
      <c r="R96" s="1">
        <f>S96+T96</f>
        <v>3062100.2800000007</v>
      </c>
      <c r="S96" s="30">
        <v>0</v>
      </c>
      <c r="T96" s="2">
        <v>3062100.2800000007</v>
      </c>
      <c r="U96" s="1">
        <f t="shared" si="2"/>
        <v>688972.58</v>
      </c>
      <c r="V96" s="42">
        <v>0</v>
      </c>
      <c r="W96" s="28">
        <v>688972.58</v>
      </c>
      <c r="X96" s="1">
        <f t="shared" si="7"/>
        <v>76552.509999999995</v>
      </c>
      <c r="Y96" s="30">
        <v>0</v>
      </c>
      <c r="Z96" s="2">
        <v>76552.509999999995</v>
      </c>
      <c r="AA96" s="2">
        <f>AB96+AC96</f>
        <v>0</v>
      </c>
      <c r="AB96" s="2">
        <v>0</v>
      </c>
      <c r="AC96" s="2">
        <v>0</v>
      </c>
      <c r="AD96" s="16">
        <f t="shared" si="30"/>
        <v>3827625.3700000006</v>
      </c>
      <c r="AE96" s="35"/>
      <c r="AF96" s="2">
        <f>AD96+AE96</f>
        <v>3827625.3700000006</v>
      </c>
      <c r="AG96" s="38" t="s">
        <v>857</v>
      </c>
      <c r="AH96" s="38" t="s">
        <v>1673</v>
      </c>
      <c r="AI96" s="30">
        <f>858447.12+515278.43+1129072+185548</f>
        <v>2688345.55</v>
      </c>
      <c r="AJ96" s="30">
        <f>193150.61+115937.65+254041.2+41748.3</f>
        <v>604877.76</v>
      </c>
    </row>
    <row r="97" spans="1:36" s="179" customFormat="1" ht="141.75" x14ac:dyDescent="0.25">
      <c r="A97" s="6">
        <v>94</v>
      </c>
      <c r="B97" s="31">
        <v>126372</v>
      </c>
      <c r="C97" s="11">
        <v>510</v>
      </c>
      <c r="D97" s="9" t="s">
        <v>1638</v>
      </c>
      <c r="E97" s="24" t="s">
        <v>903</v>
      </c>
      <c r="F97" s="27" t="s">
        <v>1883</v>
      </c>
      <c r="G97" s="11" t="s">
        <v>924</v>
      </c>
      <c r="H97" s="8" t="s">
        <v>151</v>
      </c>
      <c r="I97" s="45" t="s">
        <v>925</v>
      </c>
      <c r="J97" s="25">
        <v>43445</v>
      </c>
      <c r="K97" s="25">
        <v>44996</v>
      </c>
      <c r="L97" s="26">
        <f t="shared" si="0"/>
        <v>80</v>
      </c>
      <c r="M97" s="11">
        <v>8</v>
      </c>
      <c r="N97" s="11" t="s">
        <v>261</v>
      </c>
      <c r="O97" s="11" t="s">
        <v>261</v>
      </c>
      <c r="P97" s="11" t="s">
        <v>174</v>
      </c>
      <c r="Q97" s="11" t="s">
        <v>34</v>
      </c>
      <c r="R97" s="1">
        <f t="shared" ref="R97:R98" si="44">S97+T97</f>
        <v>2932376.8</v>
      </c>
      <c r="S97" s="30">
        <v>0</v>
      </c>
      <c r="T97" s="2">
        <v>2932376.8</v>
      </c>
      <c r="U97" s="1">
        <f t="shared" ref="U97:U98" si="45">V97+W97</f>
        <v>659784.78</v>
      </c>
      <c r="V97" s="42">
        <v>0</v>
      </c>
      <c r="W97" s="28">
        <v>659784.78</v>
      </c>
      <c r="X97" s="1">
        <f t="shared" si="7"/>
        <v>73309.42</v>
      </c>
      <c r="Y97" s="30">
        <v>0</v>
      </c>
      <c r="Z97" s="2">
        <v>73309.42</v>
      </c>
      <c r="AA97" s="2">
        <f>AB97+AC97</f>
        <v>0</v>
      </c>
      <c r="AB97" s="30">
        <v>0</v>
      </c>
      <c r="AC97" s="30">
        <v>0</v>
      </c>
      <c r="AD97" s="16">
        <f t="shared" si="30"/>
        <v>3665471</v>
      </c>
      <c r="AE97" s="37">
        <v>127687</v>
      </c>
      <c r="AF97" s="2">
        <f>AD97+AE97</f>
        <v>3793158</v>
      </c>
      <c r="AG97" s="38" t="s">
        <v>486</v>
      </c>
      <c r="AH97" s="38" t="s">
        <v>1764</v>
      </c>
      <c r="AI97" s="30">
        <f>368006.54+73168+58748.88+33607.94+8190.4+9326.33</f>
        <v>551048.09</v>
      </c>
      <c r="AJ97" s="30">
        <f>82801.48+16462.8+13218.5+7561.78+1842.84+2098.42</f>
        <v>123985.81999999999</v>
      </c>
    </row>
    <row r="98" spans="1:36" s="179" customFormat="1" ht="141.75" x14ac:dyDescent="0.25">
      <c r="A98" s="6">
        <v>95</v>
      </c>
      <c r="B98" s="31">
        <v>128825</v>
      </c>
      <c r="C98" s="11">
        <v>661</v>
      </c>
      <c r="D98" s="9" t="s">
        <v>1638</v>
      </c>
      <c r="E98" s="24" t="s">
        <v>1116</v>
      </c>
      <c r="F98" s="27" t="s">
        <v>1117</v>
      </c>
      <c r="G98" s="11" t="s">
        <v>1647</v>
      </c>
      <c r="H98" s="11" t="s">
        <v>952</v>
      </c>
      <c r="I98" s="45" t="s">
        <v>1120</v>
      </c>
      <c r="J98" s="25">
        <v>43635</v>
      </c>
      <c r="K98" s="25">
        <v>44976</v>
      </c>
      <c r="L98" s="26">
        <f t="shared" si="0"/>
        <v>79.493002830992353</v>
      </c>
      <c r="M98" s="11">
        <v>8</v>
      </c>
      <c r="N98" s="11" t="s">
        <v>261</v>
      </c>
      <c r="O98" s="11" t="s">
        <v>261</v>
      </c>
      <c r="P98" s="11" t="s">
        <v>174</v>
      </c>
      <c r="Q98" s="11" t="s">
        <v>34</v>
      </c>
      <c r="R98" s="1">
        <f t="shared" si="44"/>
        <v>3436600.48</v>
      </c>
      <c r="S98" s="30">
        <v>0</v>
      </c>
      <c r="T98" s="2">
        <v>3436600.48</v>
      </c>
      <c r="U98" s="1">
        <f t="shared" si="45"/>
        <v>800084.95</v>
      </c>
      <c r="V98" s="42">
        <v>0</v>
      </c>
      <c r="W98" s="28">
        <v>800084.95</v>
      </c>
      <c r="X98" s="1">
        <f t="shared" si="7"/>
        <v>59065.17</v>
      </c>
      <c r="Y98" s="30">
        <v>0</v>
      </c>
      <c r="Z98" s="2">
        <v>59065.17</v>
      </c>
      <c r="AA98" s="2">
        <f t="shared" ref="AA98" si="46">AB98+AC98</f>
        <v>27397.8</v>
      </c>
      <c r="AB98" s="30">
        <v>0</v>
      </c>
      <c r="AC98" s="30">
        <v>27397.8</v>
      </c>
      <c r="AD98" s="16">
        <f t="shared" si="30"/>
        <v>4323148.3999999994</v>
      </c>
      <c r="AE98" s="37">
        <v>29750</v>
      </c>
      <c r="AF98" s="2">
        <f t="shared" ref="AF98" si="47">AD98+AE98</f>
        <v>4352898.3999999994</v>
      </c>
      <c r="AG98" s="38" t="s">
        <v>486</v>
      </c>
      <c r="AH98" s="38" t="s">
        <v>3168</v>
      </c>
      <c r="AI98" s="30">
        <f>1509131.05+136989-35150.8+436867.35</f>
        <v>2047836.6</v>
      </c>
      <c r="AJ98" s="30">
        <f>344554.78+35150.8+11716.54</f>
        <v>391422.12</v>
      </c>
    </row>
    <row r="99" spans="1:36" s="179" customFormat="1" ht="141.75" x14ac:dyDescent="0.25">
      <c r="A99" s="6">
        <v>96</v>
      </c>
      <c r="B99" s="31">
        <v>129668</v>
      </c>
      <c r="C99" s="31">
        <v>673</v>
      </c>
      <c r="D99" s="9" t="s">
        <v>1638</v>
      </c>
      <c r="E99" s="24" t="s">
        <v>1116</v>
      </c>
      <c r="F99" s="67" t="s">
        <v>1118</v>
      </c>
      <c r="G99" s="11" t="s">
        <v>1646</v>
      </c>
      <c r="H99" s="8" t="s">
        <v>151</v>
      </c>
      <c r="I99" s="45" t="s">
        <v>1121</v>
      </c>
      <c r="J99" s="25">
        <v>43635</v>
      </c>
      <c r="K99" s="25">
        <v>44731</v>
      </c>
      <c r="L99" s="26">
        <f>R99/AD99*100</f>
        <v>80.000000100149578</v>
      </c>
      <c r="M99" s="11">
        <v>8</v>
      </c>
      <c r="N99" s="11" t="s">
        <v>261</v>
      </c>
      <c r="O99" s="11" t="s">
        <v>261</v>
      </c>
      <c r="P99" s="11" t="s">
        <v>174</v>
      </c>
      <c r="Q99" s="11" t="s">
        <v>34</v>
      </c>
      <c r="R99" s="1">
        <f>S99+T99</f>
        <v>3195221.02</v>
      </c>
      <c r="S99" s="30">
        <v>0</v>
      </c>
      <c r="T99" s="2">
        <v>3195221.02</v>
      </c>
      <c r="U99" s="1">
        <f>V99+W99</f>
        <v>718924.72</v>
      </c>
      <c r="V99" s="42">
        <v>0</v>
      </c>
      <c r="W99" s="28">
        <v>718924.72</v>
      </c>
      <c r="X99" s="1">
        <f>Y99+Z99</f>
        <v>79880.53</v>
      </c>
      <c r="Y99" s="30">
        <v>0</v>
      </c>
      <c r="Z99" s="2">
        <v>79880.53</v>
      </c>
      <c r="AA99" s="2">
        <f>AB99+AC99</f>
        <v>0</v>
      </c>
      <c r="AB99" s="2">
        <v>0</v>
      </c>
      <c r="AC99" s="2">
        <v>0</v>
      </c>
      <c r="AD99" s="16">
        <f t="shared" si="30"/>
        <v>3994026.27</v>
      </c>
      <c r="AE99" s="37">
        <v>0</v>
      </c>
      <c r="AF99" s="2">
        <f>AD99+AE99</f>
        <v>3994026.27</v>
      </c>
      <c r="AG99" s="38" t="s">
        <v>857</v>
      </c>
      <c r="AH99" s="38" t="s">
        <v>1775</v>
      </c>
      <c r="AI99" s="30">
        <f>246108.94+233815.2+738252.8+1728922.69</f>
        <v>2947099.63</v>
      </c>
      <c r="AJ99" s="30">
        <f>23472.39+31902.12+52608.42+166106.87+389007.6</f>
        <v>663097.39999999991</v>
      </c>
    </row>
    <row r="100" spans="1:36" s="179" customFormat="1" ht="195.75" customHeight="1" x14ac:dyDescent="0.25">
      <c r="A100" s="6">
        <v>97</v>
      </c>
      <c r="B100" s="31">
        <v>128335</v>
      </c>
      <c r="C100" s="11">
        <v>634</v>
      </c>
      <c r="D100" s="9" t="s">
        <v>1638</v>
      </c>
      <c r="E100" s="24" t="s">
        <v>1116</v>
      </c>
      <c r="F100" s="27" t="s">
        <v>1138</v>
      </c>
      <c r="G100" s="11" t="s">
        <v>1648</v>
      </c>
      <c r="H100" s="8" t="s">
        <v>151</v>
      </c>
      <c r="I100" s="45" t="s">
        <v>2650</v>
      </c>
      <c r="J100" s="25">
        <v>43647</v>
      </c>
      <c r="K100" s="25">
        <v>44927</v>
      </c>
      <c r="L100" s="26">
        <f t="shared" ref="L100:L119" si="48">R100/AD100*100</f>
        <v>80.000000462501816</v>
      </c>
      <c r="M100" s="11">
        <v>8</v>
      </c>
      <c r="N100" s="11" t="s">
        <v>261</v>
      </c>
      <c r="O100" s="11" t="s">
        <v>261</v>
      </c>
      <c r="P100" s="11" t="s">
        <v>174</v>
      </c>
      <c r="Q100" s="11" t="s">
        <v>34</v>
      </c>
      <c r="R100" s="1">
        <f t="shared" ref="R100:R119" si="49">S100+T100</f>
        <v>3113501.33</v>
      </c>
      <c r="S100" s="30">
        <v>0</v>
      </c>
      <c r="T100" s="2">
        <v>3113501.33</v>
      </c>
      <c r="U100" s="1">
        <f t="shared" ref="U100:U129" si="50">V100+W100</f>
        <v>700537.76</v>
      </c>
      <c r="V100" s="42">
        <v>0</v>
      </c>
      <c r="W100" s="28">
        <v>700537.76</v>
      </c>
      <c r="X100" s="1">
        <f t="shared" ref="X100:X129" si="51">Y100+Z100</f>
        <v>77837.55</v>
      </c>
      <c r="Y100" s="30">
        <v>0</v>
      </c>
      <c r="Z100" s="2">
        <v>77837.55</v>
      </c>
      <c r="AA100" s="2">
        <v>0</v>
      </c>
      <c r="AB100" s="30">
        <v>0</v>
      </c>
      <c r="AC100" s="30">
        <v>0</v>
      </c>
      <c r="AD100" s="16">
        <f t="shared" si="30"/>
        <v>3891876.6399999997</v>
      </c>
      <c r="AE100" s="37">
        <v>0</v>
      </c>
      <c r="AF100" s="2">
        <f t="shared" ref="AF100:AF119" si="52">AD100+AE100</f>
        <v>3891876.6399999997</v>
      </c>
      <c r="AG100" s="38" t="s">
        <v>486</v>
      </c>
      <c r="AH100" s="38" t="s">
        <v>1938</v>
      </c>
      <c r="AI100" s="30">
        <f>55820.78+402496.8+116946.4+62282.4+67400.8+89127.2+569461.91</f>
        <v>1363536.29</v>
      </c>
      <c r="AJ100" s="30">
        <f>12559.67+90561.78+26312.94+14013.54+15165.18+20053.62+128128.92</f>
        <v>306795.64999999997</v>
      </c>
    </row>
    <row r="101" spans="1:36" s="179" customFormat="1" ht="96.75" customHeight="1" x14ac:dyDescent="0.25">
      <c r="A101" s="6">
        <v>98</v>
      </c>
      <c r="B101" s="31">
        <v>129694</v>
      </c>
      <c r="C101" s="11">
        <v>694</v>
      </c>
      <c r="D101" s="9" t="s">
        <v>1638</v>
      </c>
      <c r="E101" s="24" t="s">
        <v>1116</v>
      </c>
      <c r="F101" s="27" t="s">
        <v>1119</v>
      </c>
      <c r="G101" s="11" t="s">
        <v>1649</v>
      </c>
      <c r="H101" s="11" t="s">
        <v>952</v>
      </c>
      <c r="I101" s="32" t="s">
        <v>1122</v>
      </c>
      <c r="J101" s="25">
        <v>43635</v>
      </c>
      <c r="K101" s="25">
        <v>44914</v>
      </c>
      <c r="L101" s="26">
        <f t="shared" si="48"/>
        <v>79.559234452662935</v>
      </c>
      <c r="M101" s="11">
        <v>8</v>
      </c>
      <c r="N101" s="11" t="s">
        <v>261</v>
      </c>
      <c r="O101" s="11" t="s">
        <v>261</v>
      </c>
      <c r="P101" s="11" t="s">
        <v>174</v>
      </c>
      <c r="Q101" s="11" t="s">
        <v>34</v>
      </c>
      <c r="R101" s="1">
        <f t="shared" si="49"/>
        <v>3495320.83</v>
      </c>
      <c r="S101" s="30">
        <v>0</v>
      </c>
      <c r="T101" s="2">
        <v>3495320.83</v>
      </c>
      <c r="U101" s="1">
        <f t="shared" si="50"/>
        <v>810168.58</v>
      </c>
      <c r="V101" s="42">
        <v>0</v>
      </c>
      <c r="W101" s="28">
        <v>810168.58</v>
      </c>
      <c r="X101" s="1">
        <f t="shared" si="51"/>
        <v>63661.63</v>
      </c>
      <c r="Y101" s="30">
        <v>0</v>
      </c>
      <c r="Z101" s="2">
        <v>63661.63</v>
      </c>
      <c r="AA101" s="2">
        <f t="shared" ref="AA101:AA116" si="53">AB101+AC101</f>
        <v>24205.5</v>
      </c>
      <c r="AB101" s="30">
        <v>0</v>
      </c>
      <c r="AC101" s="30">
        <v>24205.5</v>
      </c>
      <c r="AD101" s="16">
        <f t="shared" si="30"/>
        <v>4393356.54</v>
      </c>
      <c r="AE101" s="37">
        <v>0</v>
      </c>
      <c r="AF101" s="2">
        <f t="shared" si="52"/>
        <v>4393356.54</v>
      </c>
      <c r="AG101" s="38" t="s">
        <v>486</v>
      </c>
      <c r="AH101" s="38" t="s">
        <v>1797</v>
      </c>
      <c r="AI101" s="30">
        <f>275886.09+348793.51+185829.79+143853.56+131012.45+791608.64</f>
        <v>1876984.04</v>
      </c>
      <c r="AJ101" s="30">
        <f>37362.62+81124.65+44853.88+35420.78+32457.43+178111.94</f>
        <v>409331.3</v>
      </c>
    </row>
    <row r="102" spans="1:36" s="179" customFormat="1" ht="216.75" customHeight="1" x14ac:dyDescent="0.25">
      <c r="A102" s="6">
        <v>99</v>
      </c>
      <c r="B102" s="31">
        <v>129016</v>
      </c>
      <c r="C102" s="11">
        <v>693</v>
      </c>
      <c r="D102" s="9" t="s">
        <v>1638</v>
      </c>
      <c r="E102" s="24" t="s">
        <v>1116</v>
      </c>
      <c r="F102" s="27" t="s">
        <v>1139</v>
      </c>
      <c r="G102" s="11" t="s">
        <v>924</v>
      </c>
      <c r="H102" s="8" t="s">
        <v>151</v>
      </c>
      <c r="I102" s="32" t="s">
        <v>2651</v>
      </c>
      <c r="J102" s="25">
        <v>43654</v>
      </c>
      <c r="K102" s="25">
        <v>44173</v>
      </c>
      <c r="L102" s="26">
        <f t="shared" si="48"/>
        <v>79.999998958694746</v>
      </c>
      <c r="M102" s="11">
        <v>8</v>
      </c>
      <c r="N102" s="11" t="s">
        <v>261</v>
      </c>
      <c r="O102" s="11" t="s">
        <v>261</v>
      </c>
      <c r="P102" s="11" t="s">
        <v>174</v>
      </c>
      <c r="Q102" s="11" t="s">
        <v>34</v>
      </c>
      <c r="R102" s="1">
        <f t="shared" si="49"/>
        <v>307306.62</v>
      </c>
      <c r="S102" s="30">
        <v>0</v>
      </c>
      <c r="T102" s="2">
        <v>307306.62</v>
      </c>
      <c r="U102" s="1">
        <f t="shared" si="50"/>
        <v>69143.95</v>
      </c>
      <c r="V102" s="42">
        <v>0</v>
      </c>
      <c r="W102" s="28">
        <v>69143.95</v>
      </c>
      <c r="X102" s="1">
        <f t="shared" si="51"/>
        <v>7682.71</v>
      </c>
      <c r="Y102" s="30">
        <v>0</v>
      </c>
      <c r="Z102" s="2">
        <v>7682.71</v>
      </c>
      <c r="AA102" s="2">
        <f t="shared" si="53"/>
        <v>0</v>
      </c>
      <c r="AB102" s="30">
        <v>0</v>
      </c>
      <c r="AC102" s="30">
        <v>0</v>
      </c>
      <c r="AD102" s="16">
        <f t="shared" si="30"/>
        <v>384133.28</v>
      </c>
      <c r="AE102" s="37">
        <v>0</v>
      </c>
      <c r="AF102" s="2">
        <f t="shared" si="52"/>
        <v>384133.28</v>
      </c>
      <c r="AG102" s="38" t="s">
        <v>857</v>
      </c>
      <c r="AH102" s="38" t="s">
        <v>1661</v>
      </c>
      <c r="AI102" s="30">
        <f>110102.97+161350.83</f>
        <v>271453.8</v>
      </c>
      <c r="AJ102" s="30">
        <f>24773.14+36303.93</f>
        <v>61077.07</v>
      </c>
    </row>
    <row r="103" spans="1:36" s="179" customFormat="1" ht="216.75" customHeight="1" x14ac:dyDescent="0.25">
      <c r="A103" s="6">
        <v>100</v>
      </c>
      <c r="B103" s="31">
        <v>136166</v>
      </c>
      <c r="C103" s="11">
        <v>856</v>
      </c>
      <c r="D103" s="9" t="s">
        <v>1638</v>
      </c>
      <c r="E103" s="24" t="s">
        <v>1433</v>
      </c>
      <c r="F103" s="27" t="s">
        <v>1434</v>
      </c>
      <c r="G103" s="11" t="s">
        <v>1648</v>
      </c>
      <c r="H103" s="11" t="s">
        <v>1435</v>
      </c>
      <c r="I103" s="32" t="s">
        <v>2652</v>
      </c>
      <c r="J103" s="25">
        <v>43900</v>
      </c>
      <c r="K103" s="25">
        <v>44905</v>
      </c>
      <c r="L103" s="26">
        <f t="shared" si="48"/>
        <v>79.999999908763286</v>
      </c>
      <c r="M103" s="11">
        <v>8</v>
      </c>
      <c r="N103" s="11" t="s">
        <v>261</v>
      </c>
      <c r="O103" s="11" t="s">
        <v>261</v>
      </c>
      <c r="P103" s="11" t="s">
        <v>174</v>
      </c>
      <c r="Q103" s="11" t="s">
        <v>34</v>
      </c>
      <c r="R103" s="1">
        <f t="shared" si="49"/>
        <v>1753679.95</v>
      </c>
      <c r="S103" s="30">
        <v>0</v>
      </c>
      <c r="T103" s="2">
        <v>1753679.95</v>
      </c>
      <c r="U103" s="1">
        <f t="shared" si="50"/>
        <v>394577.99</v>
      </c>
      <c r="V103" s="42">
        <v>0</v>
      </c>
      <c r="W103" s="28">
        <v>394577.99</v>
      </c>
      <c r="X103" s="1">
        <f t="shared" si="51"/>
        <v>43842</v>
      </c>
      <c r="Y103" s="30">
        <v>0</v>
      </c>
      <c r="Z103" s="2">
        <v>43842</v>
      </c>
      <c r="AA103" s="2">
        <f t="shared" si="53"/>
        <v>0</v>
      </c>
      <c r="AB103" s="30">
        <v>0</v>
      </c>
      <c r="AC103" s="30">
        <v>0</v>
      </c>
      <c r="AD103" s="16">
        <f t="shared" si="30"/>
        <v>2192099.94</v>
      </c>
      <c r="AE103" s="37">
        <v>0</v>
      </c>
      <c r="AF103" s="2">
        <f t="shared" si="52"/>
        <v>2192099.94</v>
      </c>
      <c r="AG103" s="38" t="s">
        <v>486</v>
      </c>
      <c r="AH103" s="38" t="s">
        <v>1787</v>
      </c>
      <c r="AI103" s="30">
        <f>37692.8+172704.72+90248.8+90319.2</f>
        <v>390965.52</v>
      </c>
      <c r="AJ103" s="30">
        <f>8480.88+38858.56+20305.98+20321.82</f>
        <v>87967.239999999991</v>
      </c>
    </row>
    <row r="104" spans="1:36" s="179" customFormat="1" ht="216.75" customHeight="1" x14ac:dyDescent="0.25">
      <c r="A104" s="6">
        <v>101</v>
      </c>
      <c r="B104" s="31">
        <v>135779</v>
      </c>
      <c r="C104" s="11">
        <v>780</v>
      </c>
      <c r="D104" s="9" t="s">
        <v>1638</v>
      </c>
      <c r="E104" s="24" t="s">
        <v>1433</v>
      </c>
      <c r="F104" s="27" t="s">
        <v>1436</v>
      </c>
      <c r="G104" s="11" t="s">
        <v>1649</v>
      </c>
      <c r="H104" s="11" t="s">
        <v>1437</v>
      </c>
      <c r="I104" s="32" t="s">
        <v>2653</v>
      </c>
      <c r="J104" s="25">
        <v>43901</v>
      </c>
      <c r="K104" s="25">
        <v>44996</v>
      </c>
      <c r="L104" s="26">
        <f t="shared" si="48"/>
        <v>80.000000203403673</v>
      </c>
      <c r="M104" s="11">
        <v>8</v>
      </c>
      <c r="N104" s="11" t="s">
        <v>261</v>
      </c>
      <c r="O104" s="11" t="s">
        <v>261</v>
      </c>
      <c r="P104" s="11" t="s">
        <v>174</v>
      </c>
      <c r="Q104" s="11" t="s">
        <v>34</v>
      </c>
      <c r="R104" s="1">
        <f t="shared" si="49"/>
        <v>2359839.4300000002</v>
      </c>
      <c r="S104" s="30">
        <v>0</v>
      </c>
      <c r="T104" s="2">
        <v>2359839.4300000002</v>
      </c>
      <c r="U104" s="1">
        <f t="shared" si="50"/>
        <v>530963.84</v>
      </c>
      <c r="V104" s="42">
        <v>0</v>
      </c>
      <c r="W104" s="28">
        <v>530963.84</v>
      </c>
      <c r="X104" s="1">
        <f t="shared" si="51"/>
        <v>58996.01</v>
      </c>
      <c r="Y104" s="30">
        <v>0</v>
      </c>
      <c r="Z104" s="2">
        <v>58996.01</v>
      </c>
      <c r="AA104" s="2">
        <f t="shared" si="53"/>
        <v>0</v>
      </c>
      <c r="AB104" s="30">
        <v>0</v>
      </c>
      <c r="AC104" s="30">
        <v>0</v>
      </c>
      <c r="AD104" s="16">
        <f t="shared" si="30"/>
        <v>2949799.28</v>
      </c>
      <c r="AE104" s="37"/>
      <c r="AF104" s="2">
        <f t="shared" si="52"/>
        <v>2949799.28</v>
      </c>
      <c r="AG104" s="38" t="s">
        <v>486</v>
      </c>
      <c r="AH104" s="38" t="s">
        <v>2007</v>
      </c>
      <c r="AI104" s="30">
        <f>46438.4+37616+39314.4+26630.4+29051.2+304784.02</f>
        <v>483834.42000000004</v>
      </c>
      <c r="AJ104" s="30">
        <f>10448.64+8463.6+8845.74+5991.84+6536.52+68576.4</f>
        <v>108862.73999999999</v>
      </c>
    </row>
    <row r="105" spans="1:36" s="179" customFormat="1" ht="141.75" x14ac:dyDescent="0.25">
      <c r="A105" s="6">
        <v>102</v>
      </c>
      <c r="B105" s="31">
        <v>151983</v>
      </c>
      <c r="C105" s="11">
        <v>1150</v>
      </c>
      <c r="D105" s="9" t="s">
        <v>1639</v>
      </c>
      <c r="E105" s="24" t="s">
        <v>1990</v>
      </c>
      <c r="F105" s="27" t="s">
        <v>1991</v>
      </c>
      <c r="G105" s="11" t="s">
        <v>1989</v>
      </c>
      <c r="H105" s="8" t="s">
        <v>151</v>
      </c>
      <c r="I105" s="32" t="s">
        <v>2622</v>
      </c>
      <c r="J105" s="25">
        <v>44603</v>
      </c>
      <c r="K105" s="25">
        <v>44968</v>
      </c>
      <c r="L105" s="26">
        <f t="shared" si="48"/>
        <v>80</v>
      </c>
      <c r="M105" s="11">
        <v>8</v>
      </c>
      <c r="N105" s="11" t="s">
        <v>261</v>
      </c>
      <c r="O105" s="11" t="s">
        <v>261</v>
      </c>
      <c r="P105" s="11" t="s">
        <v>174</v>
      </c>
      <c r="Q105" s="11" t="s">
        <v>34</v>
      </c>
      <c r="R105" s="1">
        <f t="shared" si="49"/>
        <v>331867.2</v>
      </c>
      <c r="S105" s="30">
        <v>0</v>
      </c>
      <c r="T105" s="2">
        <v>331867.2</v>
      </c>
      <c r="U105" s="1">
        <f t="shared" si="50"/>
        <v>74670.12</v>
      </c>
      <c r="V105" s="42">
        <v>0</v>
      </c>
      <c r="W105" s="28">
        <v>74670.12</v>
      </c>
      <c r="X105" s="1">
        <f t="shared" si="51"/>
        <v>8296.68</v>
      </c>
      <c r="Y105" s="30">
        <v>0</v>
      </c>
      <c r="Z105" s="2">
        <v>8296.68</v>
      </c>
      <c r="AA105" s="2">
        <f t="shared" si="53"/>
        <v>0</v>
      </c>
      <c r="AB105" s="30">
        <v>0</v>
      </c>
      <c r="AC105" s="30">
        <v>0</v>
      </c>
      <c r="AD105" s="16">
        <f t="shared" si="30"/>
        <v>414834</v>
      </c>
      <c r="AE105" s="37">
        <v>0</v>
      </c>
      <c r="AF105" s="2">
        <f t="shared" si="52"/>
        <v>414834</v>
      </c>
      <c r="AG105" s="38" t="s">
        <v>486</v>
      </c>
      <c r="AH105" s="35"/>
      <c r="AI105" s="30">
        <v>118163.2</v>
      </c>
      <c r="AJ105" s="30">
        <v>26586.720000000001</v>
      </c>
    </row>
    <row r="106" spans="1:36" s="179" customFormat="1" ht="220.5" x14ac:dyDescent="0.25">
      <c r="A106" s="6">
        <v>103</v>
      </c>
      <c r="B106" s="31">
        <v>152134</v>
      </c>
      <c r="C106" s="11">
        <v>1151</v>
      </c>
      <c r="D106" s="9" t="s">
        <v>1639</v>
      </c>
      <c r="E106" s="24" t="s">
        <v>1990</v>
      </c>
      <c r="F106" s="27" t="s">
        <v>2008</v>
      </c>
      <c r="G106" s="11" t="s">
        <v>1648</v>
      </c>
      <c r="H106" s="11" t="s">
        <v>2002</v>
      </c>
      <c r="I106" s="32" t="s">
        <v>2654</v>
      </c>
      <c r="J106" s="25">
        <v>44629</v>
      </c>
      <c r="K106" s="25">
        <v>45086</v>
      </c>
      <c r="L106" s="26">
        <f t="shared" si="48"/>
        <v>80.000002791539686</v>
      </c>
      <c r="M106" s="11">
        <v>8</v>
      </c>
      <c r="N106" s="11" t="s">
        <v>261</v>
      </c>
      <c r="O106" s="11" t="s">
        <v>261</v>
      </c>
      <c r="P106" s="11" t="s">
        <v>174</v>
      </c>
      <c r="Q106" s="11" t="s">
        <v>34</v>
      </c>
      <c r="R106" s="1">
        <f t="shared" si="49"/>
        <v>286580.21000000002</v>
      </c>
      <c r="S106" s="30">
        <v>0</v>
      </c>
      <c r="T106" s="2">
        <v>286580.21000000002</v>
      </c>
      <c r="U106" s="1">
        <f t="shared" si="50"/>
        <v>48488.800000000003</v>
      </c>
      <c r="V106" s="42">
        <v>0</v>
      </c>
      <c r="W106" s="28">
        <v>48488.800000000003</v>
      </c>
      <c r="X106" s="1">
        <f t="shared" si="51"/>
        <v>23156.240000000002</v>
      </c>
      <c r="Y106" s="30">
        <v>0</v>
      </c>
      <c r="Z106" s="2">
        <v>23156.240000000002</v>
      </c>
      <c r="AA106" s="2">
        <f t="shared" si="53"/>
        <v>0</v>
      </c>
      <c r="AB106" s="30">
        <v>0</v>
      </c>
      <c r="AC106" s="30">
        <v>0</v>
      </c>
      <c r="AD106" s="16">
        <f t="shared" si="30"/>
        <v>358225.25</v>
      </c>
      <c r="AE106" s="37">
        <v>0</v>
      </c>
      <c r="AF106" s="2">
        <f t="shared" si="52"/>
        <v>358225.25</v>
      </c>
      <c r="AG106" s="38" t="s">
        <v>486</v>
      </c>
      <c r="AH106" s="35"/>
      <c r="AI106" s="30">
        <v>0</v>
      </c>
      <c r="AJ106" s="30">
        <v>0</v>
      </c>
    </row>
    <row r="107" spans="1:36" s="179" customFormat="1" ht="204.75" x14ac:dyDescent="0.25">
      <c r="A107" s="6">
        <v>104</v>
      </c>
      <c r="B107" s="31">
        <v>151706</v>
      </c>
      <c r="C107" s="11">
        <v>1153</v>
      </c>
      <c r="D107" s="9" t="s">
        <v>1639</v>
      </c>
      <c r="E107" s="24" t="s">
        <v>1990</v>
      </c>
      <c r="F107" s="27" t="s">
        <v>2009</v>
      </c>
      <c r="G107" s="11" t="s">
        <v>1649</v>
      </c>
      <c r="H107" s="11" t="s">
        <v>2002</v>
      </c>
      <c r="I107" s="32" t="s">
        <v>2655</v>
      </c>
      <c r="J107" s="25">
        <v>44624</v>
      </c>
      <c r="K107" s="25">
        <v>44992</v>
      </c>
      <c r="L107" s="26">
        <f t="shared" si="48"/>
        <v>80.000005070174709</v>
      </c>
      <c r="M107" s="11">
        <v>8</v>
      </c>
      <c r="N107" s="11" t="s">
        <v>261</v>
      </c>
      <c r="O107" s="11" t="s">
        <v>261</v>
      </c>
      <c r="P107" s="11" t="s">
        <v>174</v>
      </c>
      <c r="Q107" s="11" t="s">
        <v>34</v>
      </c>
      <c r="R107" s="1">
        <f t="shared" si="49"/>
        <v>252456.8</v>
      </c>
      <c r="S107" s="30">
        <v>0</v>
      </c>
      <c r="T107" s="2">
        <v>252456.8</v>
      </c>
      <c r="U107" s="1">
        <f t="shared" si="50"/>
        <v>39376.800000000003</v>
      </c>
      <c r="V107" s="42">
        <v>0</v>
      </c>
      <c r="W107" s="28">
        <v>39376.800000000003</v>
      </c>
      <c r="X107" s="1">
        <f t="shared" si="51"/>
        <v>23737.38</v>
      </c>
      <c r="Y107" s="30">
        <v>0</v>
      </c>
      <c r="Z107" s="2">
        <v>23737.38</v>
      </c>
      <c r="AA107" s="2">
        <f t="shared" si="53"/>
        <v>0</v>
      </c>
      <c r="AB107" s="30">
        <v>0</v>
      </c>
      <c r="AC107" s="30">
        <v>0</v>
      </c>
      <c r="AD107" s="16">
        <f t="shared" si="30"/>
        <v>315570.98</v>
      </c>
      <c r="AE107" s="37">
        <v>0</v>
      </c>
      <c r="AF107" s="2">
        <f t="shared" si="52"/>
        <v>315570.98</v>
      </c>
      <c r="AG107" s="38" t="s">
        <v>486</v>
      </c>
      <c r="AH107" s="35"/>
      <c r="AI107" s="30">
        <v>0</v>
      </c>
      <c r="AJ107" s="30">
        <v>0</v>
      </c>
    </row>
    <row r="108" spans="1:36" s="179" customFormat="1" ht="236.25" x14ac:dyDescent="0.25">
      <c r="A108" s="6">
        <v>105</v>
      </c>
      <c r="B108" s="31">
        <v>151808</v>
      </c>
      <c r="C108" s="11">
        <v>1154</v>
      </c>
      <c r="D108" s="9" t="s">
        <v>1639</v>
      </c>
      <c r="E108" s="24" t="s">
        <v>1990</v>
      </c>
      <c r="F108" s="27" t="s">
        <v>2068</v>
      </c>
      <c r="G108" s="11" t="s">
        <v>2067</v>
      </c>
      <c r="H108" s="8" t="s">
        <v>151</v>
      </c>
      <c r="I108" s="32" t="s">
        <v>2656</v>
      </c>
      <c r="J108" s="25">
        <v>44655</v>
      </c>
      <c r="K108" s="25">
        <v>45020</v>
      </c>
      <c r="L108" s="26">
        <f t="shared" si="48"/>
        <v>80</v>
      </c>
      <c r="M108" s="11">
        <v>8</v>
      </c>
      <c r="N108" s="11" t="s">
        <v>261</v>
      </c>
      <c r="O108" s="11" t="s">
        <v>261</v>
      </c>
      <c r="P108" s="11" t="s">
        <v>174</v>
      </c>
      <c r="Q108" s="11" t="s">
        <v>34</v>
      </c>
      <c r="R108" s="1">
        <f t="shared" si="49"/>
        <v>298498.71999999997</v>
      </c>
      <c r="S108" s="30">
        <v>0</v>
      </c>
      <c r="T108" s="2">
        <v>298498.71999999997</v>
      </c>
      <c r="U108" s="1">
        <f t="shared" si="50"/>
        <v>67162.210000000006</v>
      </c>
      <c r="V108" s="42">
        <v>0</v>
      </c>
      <c r="W108" s="28">
        <v>67162.210000000006</v>
      </c>
      <c r="X108" s="1">
        <f t="shared" si="51"/>
        <v>7462.47</v>
      </c>
      <c r="Y108" s="30">
        <v>0</v>
      </c>
      <c r="Z108" s="2">
        <v>7462.47</v>
      </c>
      <c r="AA108" s="2">
        <f t="shared" si="53"/>
        <v>0</v>
      </c>
      <c r="AB108" s="30">
        <v>0</v>
      </c>
      <c r="AC108" s="30">
        <v>0</v>
      </c>
      <c r="AD108" s="16">
        <f t="shared" si="30"/>
        <v>373123.39999999997</v>
      </c>
      <c r="AE108" s="37">
        <v>0</v>
      </c>
      <c r="AF108" s="2">
        <f t="shared" si="52"/>
        <v>373123.39999999997</v>
      </c>
      <c r="AG108" s="38" t="s">
        <v>486</v>
      </c>
      <c r="AH108" s="35"/>
      <c r="AI108" s="30">
        <v>0</v>
      </c>
      <c r="AJ108" s="30">
        <v>0</v>
      </c>
    </row>
    <row r="109" spans="1:36" s="179" customFormat="1" ht="141.75" x14ac:dyDescent="0.25">
      <c r="A109" s="6">
        <v>106</v>
      </c>
      <c r="B109" s="31">
        <v>153535</v>
      </c>
      <c r="C109" s="11">
        <v>1257</v>
      </c>
      <c r="D109" s="9" t="s">
        <v>1638</v>
      </c>
      <c r="E109" s="24" t="s">
        <v>2106</v>
      </c>
      <c r="F109" s="27" t="s">
        <v>2104</v>
      </c>
      <c r="G109" s="11" t="s">
        <v>2103</v>
      </c>
      <c r="H109" s="11" t="s">
        <v>2105</v>
      </c>
      <c r="I109" s="32" t="s">
        <v>2657</v>
      </c>
      <c r="J109" s="25">
        <v>44656</v>
      </c>
      <c r="K109" s="25">
        <v>45143</v>
      </c>
      <c r="L109" s="26">
        <f t="shared" si="48"/>
        <v>79.999999666177686</v>
      </c>
      <c r="M109" s="11">
        <v>8</v>
      </c>
      <c r="N109" s="11" t="s">
        <v>261</v>
      </c>
      <c r="O109" s="11" t="s">
        <v>261</v>
      </c>
      <c r="P109" s="11" t="s">
        <v>174</v>
      </c>
      <c r="Q109" s="11" t="s">
        <v>34</v>
      </c>
      <c r="R109" s="1">
        <f t="shared" si="49"/>
        <v>2396484.59</v>
      </c>
      <c r="S109" s="30">
        <v>0</v>
      </c>
      <c r="T109" s="2">
        <v>2396484.59</v>
      </c>
      <c r="U109" s="1">
        <f t="shared" si="50"/>
        <v>539209.04</v>
      </c>
      <c r="V109" s="42">
        <v>0</v>
      </c>
      <c r="W109" s="28">
        <v>539209.04</v>
      </c>
      <c r="X109" s="1">
        <f t="shared" si="51"/>
        <v>59912.12</v>
      </c>
      <c r="Y109" s="30">
        <v>0</v>
      </c>
      <c r="Z109" s="2">
        <v>59912.12</v>
      </c>
      <c r="AA109" s="2">
        <f t="shared" si="53"/>
        <v>0</v>
      </c>
      <c r="AB109" s="30">
        <v>0</v>
      </c>
      <c r="AC109" s="30">
        <v>0</v>
      </c>
      <c r="AD109" s="16">
        <f t="shared" si="30"/>
        <v>2995605.75</v>
      </c>
      <c r="AE109" s="37">
        <v>0</v>
      </c>
      <c r="AF109" s="2">
        <f t="shared" si="52"/>
        <v>2995605.75</v>
      </c>
      <c r="AG109" s="38" t="s">
        <v>486</v>
      </c>
      <c r="AH109" s="35"/>
      <c r="AI109" s="30">
        <v>0</v>
      </c>
      <c r="AJ109" s="30">
        <v>0</v>
      </c>
    </row>
    <row r="110" spans="1:36" s="179" customFormat="1" ht="173.25" x14ac:dyDescent="0.25">
      <c r="A110" s="6">
        <v>107</v>
      </c>
      <c r="B110" s="31">
        <v>154822</v>
      </c>
      <c r="C110" s="11">
        <v>1255</v>
      </c>
      <c r="D110" s="9" t="s">
        <v>1638</v>
      </c>
      <c r="E110" s="24" t="s">
        <v>2106</v>
      </c>
      <c r="F110" s="27" t="s">
        <v>2160</v>
      </c>
      <c r="G110" s="11" t="s">
        <v>2159</v>
      </c>
      <c r="H110" s="11" t="s">
        <v>2161</v>
      </c>
      <c r="I110" s="32" t="s">
        <v>2658</v>
      </c>
      <c r="J110" s="25">
        <v>44670</v>
      </c>
      <c r="K110" s="25">
        <v>45157</v>
      </c>
      <c r="L110" s="26">
        <f t="shared" si="48"/>
        <v>80.000000134079045</v>
      </c>
      <c r="M110" s="11">
        <v>8</v>
      </c>
      <c r="N110" s="11" t="s">
        <v>261</v>
      </c>
      <c r="O110" s="11" t="s">
        <v>261</v>
      </c>
      <c r="P110" s="11" t="s">
        <v>174</v>
      </c>
      <c r="Q110" s="11" t="s">
        <v>34</v>
      </c>
      <c r="R110" s="1">
        <f t="shared" si="49"/>
        <v>2386652.1800000002</v>
      </c>
      <c r="S110" s="30">
        <v>0</v>
      </c>
      <c r="T110" s="2">
        <v>2386652.1800000002</v>
      </c>
      <c r="U110" s="1">
        <f t="shared" si="50"/>
        <v>536996.74</v>
      </c>
      <c r="V110" s="42">
        <v>0</v>
      </c>
      <c r="W110" s="28">
        <v>536996.74</v>
      </c>
      <c r="X110" s="1">
        <f t="shared" si="51"/>
        <v>59666.3</v>
      </c>
      <c r="Y110" s="30">
        <v>0</v>
      </c>
      <c r="Z110" s="2">
        <v>59666.3</v>
      </c>
      <c r="AA110" s="2">
        <f t="shared" si="53"/>
        <v>0</v>
      </c>
      <c r="AB110" s="30">
        <v>0</v>
      </c>
      <c r="AC110" s="30">
        <v>0</v>
      </c>
      <c r="AD110" s="16">
        <f t="shared" si="30"/>
        <v>2983315.2199999997</v>
      </c>
      <c r="AE110" s="37">
        <v>0</v>
      </c>
      <c r="AF110" s="2">
        <f t="shared" si="52"/>
        <v>2983315.2199999997</v>
      </c>
      <c r="AG110" s="38" t="s">
        <v>486</v>
      </c>
      <c r="AH110" s="35"/>
      <c r="AI110" s="30">
        <v>84241.52</v>
      </c>
      <c r="AJ110" s="30">
        <v>0</v>
      </c>
    </row>
    <row r="111" spans="1:36" s="179" customFormat="1" ht="204.75" x14ac:dyDescent="0.25">
      <c r="A111" s="6">
        <v>108</v>
      </c>
      <c r="B111" s="31">
        <v>154777</v>
      </c>
      <c r="C111" s="11">
        <v>1256</v>
      </c>
      <c r="D111" s="9" t="s">
        <v>1638</v>
      </c>
      <c r="E111" s="24" t="s">
        <v>2106</v>
      </c>
      <c r="F111" s="27" t="s">
        <v>2163</v>
      </c>
      <c r="G111" s="11" t="s">
        <v>2162</v>
      </c>
      <c r="H111" s="8" t="s">
        <v>151</v>
      </c>
      <c r="I111" s="32" t="s">
        <v>2659</v>
      </c>
      <c r="J111" s="25">
        <v>44669</v>
      </c>
      <c r="K111" s="25">
        <v>45125</v>
      </c>
      <c r="L111" s="26">
        <f t="shared" si="48"/>
        <v>80</v>
      </c>
      <c r="M111" s="11">
        <v>8</v>
      </c>
      <c r="N111" s="11" t="s">
        <v>261</v>
      </c>
      <c r="O111" s="11" t="s">
        <v>261</v>
      </c>
      <c r="P111" s="11" t="s">
        <v>174</v>
      </c>
      <c r="Q111" s="11" t="s">
        <v>34</v>
      </c>
      <c r="R111" s="1">
        <f t="shared" si="49"/>
        <v>275906</v>
      </c>
      <c r="S111" s="30">
        <v>0</v>
      </c>
      <c r="T111" s="2">
        <v>275906</v>
      </c>
      <c r="U111" s="1">
        <f t="shared" si="50"/>
        <v>62078.85</v>
      </c>
      <c r="V111" s="42">
        <v>0</v>
      </c>
      <c r="W111" s="28">
        <v>62078.85</v>
      </c>
      <c r="X111" s="1">
        <f t="shared" si="51"/>
        <v>6897.65</v>
      </c>
      <c r="Y111" s="30">
        <v>0</v>
      </c>
      <c r="Z111" s="2">
        <v>6897.65</v>
      </c>
      <c r="AA111" s="2">
        <f t="shared" si="53"/>
        <v>0</v>
      </c>
      <c r="AB111" s="30">
        <v>0</v>
      </c>
      <c r="AC111" s="30">
        <v>0</v>
      </c>
      <c r="AD111" s="16">
        <f t="shared" si="30"/>
        <v>344882.5</v>
      </c>
      <c r="AE111" s="37">
        <v>0</v>
      </c>
      <c r="AF111" s="2">
        <f t="shared" si="52"/>
        <v>344882.5</v>
      </c>
      <c r="AG111" s="38" t="s">
        <v>486</v>
      </c>
      <c r="AH111" s="35"/>
      <c r="AI111" s="30">
        <v>0</v>
      </c>
      <c r="AJ111" s="30">
        <v>0</v>
      </c>
    </row>
    <row r="112" spans="1:36" s="179" customFormat="1" ht="189" x14ac:dyDescent="0.25">
      <c r="A112" s="6">
        <v>109</v>
      </c>
      <c r="B112" s="31">
        <v>153912</v>
      </c>
      <c r="C112" s="11">
        <v>1259</v>
      </c>
      <c r="D112" s="9" t="s">
        <v>1638</v>
      </c>
      <c r="E112" s="24" t="s">
        <v>2106</v>
      </c>
      <c r="F112" s="27" t="s">
        <v>2168</v>
      </c>
      <c r="G112" s="11" t="s">
        <v>2167</v>
      </c>
      <c r="H112" s="8" t="s">
        <v>151</v>
      </c>
      <c r="I112" s="32" t="s">
        <v>2660</v>
      </c>
      <c r="J112" s="25">
        <v>44671</v>
      </c>
      <c r="K112" s="25">
        <v>45158</v>
      </c>
      <c r="L112" s="26">
        <f t="shared" si="48"/>
        <v>79.999999930954957</v>
      </c>
      <c r="M112" s="11">
        <v>8</v>
      </c>
      <c r="N112" s="11" t="s">
        <v>261</v>
      </c>
      <c r="O112" s="11" t="s">
        <v>261</v>
      </c>
      <c r="P112" s="11" t="s">
        <v>174</v>
      </c>
      <c r="Q112" s="11" t="s">
        <v>34</v>
      </c>
      <c r="R112" s="1">
        <f t="shared" si="49"/>
        <v>2317327.9500000002</v>
      </c>
      <c r="S112" s="30">
        <v>0</v>
      </c>
      <c r="T112" s="2">
        <v>2317327.9500000002</v>
      </c>
      <c r="U112" s="1">
        <f t="shared" si="50"/>
        <v>521398.79</v>
      </c>
      <c r="V112" s="42">
        <v>0</v>
      </c>
      <c r="W112" s="28">
        <v>521398.79</v>
      </c>
      <c r="X112" s="1">
        <f t="shared" si="51"/>
        <v>57933.2</v>
      </c>
      <c r="Y112" s="30">
        <v>0</v>
      </c>
      <c r="Z112" s="2">
        <v>57933.2</v>
      </c>
      <c r="AA112" s="2">
        <f t="shared" si="53"/>
        <v>0</v>
      </c>
      <c r="AB112" s="30">
        <v>0</v>
      </c>
      <c r="AC112" s="30">
        <v>0</v>
      </c>
      <c r="AD112" s="16">
        <f t="shared" si="30"/>
        <v>2896659.9400000004</v>
      </c>
      <c r="AE112" s="37">
        <v>0</v>
      </c>
      <c r="AF112" s="2">
        <f t="shared" si="52"/>
        <v>2896659.9400000004</v>
      </c>
      <c r="AG112" s="38" t="s">
        <v>486</v>
      </c>
      <c r="AH112" s="35"/>
      <c r="AI112" s="30">
        <v>0</v>
      </c>
      <c r="AJ112" s="30">
        <v>0</v>
      </c>
    </row>
    <row r="113" spans="1:36" s="179" customFormat="1" ht="189" x14ac:dyDescent="0.25">
      <c r="A113" s="6">
        <v>110</v>
      </c>
      <c r="B113" s="31">
        <v>152154</v>
      </c>
      <c r="C113" s="11">
        <v>1152</v>
      </c>
      <c r="D113" s="9" t="s">
        <v>1639</v>
      </c>
      <c r="E113" s="24" t="s">
        <v>1990</v>
      </c>
      <c r="F113" s="27" t="s">
        <v>2244</v>
      </c>
      <c r="G113" s="11" t="s">
        <v>2243</v>
      </c>
      <c r="H113" s="11" t="s">
        <v>2002</v>
      </c>
      <c r="I113" s="32" t="s">
        <v>2245</v>
      </c>
      <c r="J113" s="25">
        <v>44721</v>
      </c>
      <c r="K113" s="25">
        <v>45208</v>
      </c>
      <c r="L113" s="26">
        <f t="shared" si="48"/>
        <v>79.99999921375796</v>
      </c>
      <c r="M113" s="11">
        <v>8</v>
      </c>
      <c r="N113" s="11" t="s">
        <v>261</v>
      </c>
      <c r="O113" s="11" t="s">
        <v>261</v>
      </c>
      <c r="P113" s="11" t="s">
        <v>174</v>
      </c>
      <c r="Q113" s="11" t="s">
        <v>34</v>
      </c>
      <c r="R113" s="1">
        <f t="shared" si="49"/>
        <v>203499.67</v>
      </c>
      <c r="S113" s="30">
        <v>0</v>
      </c>
      <c r="T113" s="2">
        <v>203499.67</v>
      </c>
      <c r="U113" s="1">
        <f t="shared" si="50"/>
        <v>26305.93</v>
      </c>
      <c r="V113" s="42">
        <v>0</v>
      </c>
      <c r="W113" s="28">
        <v>26305.93</v>
      </c>
      <c r="X113" s="1">
        <f t="shared" si="51"/>
        <v>24568.99</v>
      </c>
      <c r="Y113" s="30">
        <v>0</v>
      </c>
      <c r="Z113" s="2">
        <v>24568.99</v>
      </c>
      <c r="AA113" s="2">
        <f t="shared" si="53"/>
        <v>0</v>
      </c>
      <c r="AB113" s="30">
        <v>0</v>
      </c>
      <c r="AC113" s="30">
        <v>0</v>
      </c>
      <c r="AD113" s="16">
        <f t="shared" si="30"/>
        <v>254374.59</v>
      </c>
      <c r="AE113" s="37">
        <v>47524</v>
      </c>
      <c r="AF113" s="2">
        <f t="shared" si="52"/>
        <v>301898.58999999997</v>
      </c>
      <c r="AG113" s="38" t="s">
        <v>486</v>
      </c>
      <c r="AH113" s="35"/>
      <c r="AI113" s="30">
        <v>0</v>
      </c>
      <c r="AJ113" s="30">
        <v>0</v>
      </c>
    </row>
    <row r="114" spans="1:36" s="179" customFormat="1" ht="189" x14ac:dyDescent="0.25">
      <c r="A114" s="6">
        <v>111</v>
      </c>
      <c r="B114" s="31">
        <v>155113</v>
      </c>
      <c r="C114" s="11">
        <v>1260</v>
      </c>
      <c r="D114" s="9" t="s">
        <v>1638</v>
      </c>
      <c r="E114" s="24" t="s">
        <v>2106</v>
      </c>
      <c r="F114" s="27" t="s">
        <v>2595</v>
      </c>
      <c r="G114" s="11" t="s">
        <v>2243</v>
      </c>
      <c r="H114" s="11" t="s">
        <v>2596</v>
      </c>
      <c r="I114" s="32" t="s">
        <v>2597</v>
      </c>
      <c r="J114" s="25">
        <v>44777</v>
      </c>
      <c r="K114" s="25">
        <v>45264</v>
      </c>
      <c r="L114" s="26">
        <f t="shared" si="48"/>
        <v>79.891646383593979</v>
      </c>
      <c r="M114" s="11">
        <v>8</v>
      </c>
      <c r="N114" s="11" t="s">
        <v>261</v>
      </c>
      <c r="O114" s="11" t="s">
        <v>261</v>
      </c>
      <c r="P114" s="11" t="s">
        <v>174</v>
      </c>
      <c r="Q114" s="11" t="s">
        <v>34</v>
      </c>
      <c r="R114" s="1">
        <f t="shared" si="49"/>
        <v>3185531.6</v>
      </c>
      <c r="S114" s="30">
        <v>0</v>
      </c>
      <c r="T114" s="2">
        <v>3185531.6</v>
      </c>
      <c r="U114" s="1">
        <f t="shared" si="50"/>
        <v>722037.1</v>
      </c>
      <c r="V114" s="42">
        <v>0</v>
      </c>
      <c r="W114" s="28">
        <v>722037.1</v>
      </c>
      <c r="X114" s="1">
        <f t="shared" si="51"/>
        <v>74345.8</v>
      </c>
      <c r="Y114" s="30">
        <v>0</v>
      </c>
      <c r="Z114" s="2">
        <v>74345.8</v>
      </c>
      <c r="AA114" s="2">
        <f t="shared" si="53"/>
        <v>5400.5</v>
      </c>
      <c r="AB114" s="30">
        <v>0</v>
      </c>
      <c r="AC114" s="30">
        <v>5400.5</v>
      </c>
      <c r="AD114" s="16">
        <f t="shared" si="30"/>
        <v>3987315</v>
      </c>
      <c r="AE114" s="37">
        <v>437000</v>
      </c>
      <c r="AF114" s="2">
        <f t="shared" si="52"/>
        <v>4424315</v>
      </c>
      <c r="AG114" s="38" t="s">
        <v>486</v>
      </c>
      <c r="AH114" s="35"/>
      <c r="AI114" s="30">
        <v>0</v>
      </c>
      <c r="AJ114" s="30">
        <v>0</v>
      </c>
    </row>
    <row r="115" spans="1:36" s="179" customFormat="1" ht="189" x14ac:dyDescent="0.25">
      <c r="A115" s="6">
        <v>112</v>
      </c>
      <c r="B115" s="31">
        <v>155864</v>
      </c>
      <c r="C115" s="11">
        <v>1264</v>
      </c>
      <c r="D115" s="9" t="s">
        <v>1638</v>
      </c>
      <c r="E115" s="24" t="s">
        <v>2598</v>
      </c>
      <c r="F115" s="27" t="s">
        <v>2600</v>
      </c>
      <c r="G115" s="11" t="s">
        <v>2599</v>
      </c>
      <c r="H115" s="8" t="s">
        <v>151</v>
      </c>
      <c r="I115" s="32" t="s">
        <v>2661</v>
      </c>
      <c r="J115" s="25">
        <v>44775</v>
      </c>
      <c r="K115" s="25">
        <v>45140</v>
      </c>
      <c r="L115" s="26">
        <f t="shared" si="48"/>
        <v>80</v>
      </c>
      <c r="M115" s="11">
        <v>8</v>
      </c>
      <c r="N115" s="11" t="s">
        <v>261</v>
      </c>
      <c r="O115" s="11" t="s">
        <v>261</v>
      </c>
      <c r="P115" s="11" t="s">
        <v>174</v>
      </c>
      <c r="Q115" s="11" t="s">
        <v>34</v>
      </c>
      <c r="R115" s="1">
        <f t="shared" si="49"/>
        <v>2380761.6</v>
      </c>
      <c r="S115" s="30">
        <v>0</v>
      </c>
      <c r="T115" s="2">
        <v>2380761.6</v>
      </c>
      <c r="U115" s="1">
        <f t="shared" si="50"/>
        <v>535671.36</v>
      </c>
      <c r="V115" s="42">
        <v>0</v>
      </c>
      <c r="W115" s="28">
        <v>535671.36</v>
      </c>
      <c r="X115" s="1">
        <f t="shared" si="51"/>
        <v>59519.040000000001</v>
      </c>
      <c r="Y115" s="30">
        <v>0</v>
      </c>
      <c r="Z115" s="2">
        <v>59519.040000000001</v>
      </c>
      <c r="AA115" s="2">
        <f t="shared" si="53"/>
        <v>0</v>
      </c>
      <c r="AB115" s="30">
        <v>0</v>
      </c>
      <c r="AC115" s="30">
        <v>0</v>
      </c>
      <c r="AD115" s="16">
        <f t="shared" si="30"/>
        <v>2975952</v>
      </c>
      <c r="AE115" s="37">
        <v>0</v>
      </c>
      <c r="AF115" s="2">
        <f t="shared" si="52"/>
        <v>2975952</v>
      </c>
      <c r="AG115" s="38" t="s">
        <v>486</v>
      </c>
      <c r="AH115" s="35"/>
      <c r="AI115" s="30">
        <v>0</v>
      </c>
      <c r="AJ115" s="30">
        <v>0</v>
      </c>
    </row>
    <row r="116" spans="1:36" s="179" customFormat="1" ht="315" x14ac:dyDescent="0.25">
      <c r="A116" s="6">
        <v>113</v>
      </c>
      <c r="B116" s="31">
        <v>155749</v>
      </c>
      <c r="C116" s="11">
        <v>1267</v>
      </c>
      <c r="D116" s="9" t="s">
        <v>1638</v>
      </c>
      <c r="E116" s="24" t="s">
        <v>2598</v>
      </c>
      <c r="F116" s="27" t="s">
        <v>2601</v>
      </c>
      <c r="G116" s="11" t="s">
        <v>2167</v>
      </c>
      <c r="H116" s="8" t="s">
        <v>151</v>
      </c>
      <c r="I116" s="32" t="s">
        <v>2662</v>
      </c>
      <c r="J116" s="25">
        <v>44775</v>
      </c>
      <c r="K116" s="25">
        <v>45140</v>
      </c>
      <c r="L116" s="26">
        <f t="shared" si="48"/>
        <v>80</v>
      </c>
      <c r="M116" s="11">
        <v>8</v>
      </c>
      <c r="N116" s="11" t="s">
        <v>261</v>
      </c>
      <c r="O116" s="11" t="s">
        <v>261</v>
      </c>
      <c r="P116" s="11" t="s">
        <v>174</v>
      </c>
      <c r="Q116" s="11" t="s">
        <v>34</v>
      </c>
      <c r="R116" s="1">
        <f t="shared" si="49"/>
        <v>3177747.24</v>
      </c>
      <c r="S116" s="30">
        <v>0</v>
      </c>
      <c r="T116" s="2">
        <v>3177747.24</v>
      </c>
      <c r="U116" s="1">
        <f t="shared" si="50"/>
        <v>714993.13</v>
      </c>
      <c r="V116" s="42">
        <v>0</v>
      </c>
      <c r="W116" s="28">
        <v>714993.13</v>
      </c>
      <c r="X116" s="1">
        <f t="shared" si="51"/>
        <v>79443.679999999993</v>
      </c>
      <c r="Y116" s="30">
        <v>0</v>
      </c>
      <c r="Z116" s="2">
        <v>79443.679999999993</v>
      </c>
      <c r="AA116" s="2">
        <f t="shared" si="53"/>
        <v>0</v>
      </c>
      <c r="AB116" s="30">
        <v>0</v>
      </c>
      <c r="AC116" s="30">
        <v>0</v>
      </c>
      <c r="AD116" s="16">
        <f t="shared" si="30"/>
        <v>3972184.0500000003</v>
      </c>
      <c r="AE116" s="37">
        <v>0</v>
      </c>
      <c r="AF116" s="2">
        <f t="shared" si="52"/>
        <v>3972184.0500000003</v>
      </c>
      <c r="AG116" s="38" t="s">
        <v>486</v>
      </c>
      <c r="AH116" s="35"/>
      <c r="AI116" s="30">
        <v>0</v>
      </c>
      <c r="AJ116" s="30">
        <v>0</v>
      </c>
    </row>
    <row r="117" spans="1:36" s="179" customFormat="1" ht="283.5" x14ac:dyDescent="0.25">
      <c r="A117" s="6">
        <v>114</v>
      </c>
      <c r="B117" s="31">
        <v>155759</v>
      </c>
      <c r="C117" s="11">
        <v>1269</v>
      </c>
      <c r="D117" s="9" t="s">
        <v>1638</v>
      </c>
      <c r="E117" s="24" t="s">
        <v>2598</v>
      </c>
      <c r="F117" s="27" t="s">
        <v>3189</v>
      </c>
      <c r="G117" s="11" t="s">
        <v>2159</v>
      </c>
      <c r="H117" s="8" t="s">
        <v>151</v>
      </c>
      <c r="I117" s="32" t="s">
        <v>3190</v>
      </c>
      <c r="J117" s="25">
        <v>44795</v>
      </c>
      <c r="K117" s="25">
        <v>45160</v>
      </c>
      <c r="L117" s="26">
        <f t="shared" si="48"/>
        <v>80</v>
      </c>
      <c r="M117" s="11">
        <v>8</v>
      </c>
      <c r="N117" s="11" t="s">
        <v>261</v>
      </c>
      <c r="O117" s="11" t="s">
        <v>261</v>
      </c>
      <c r="P117" s="11" t="s">
        <v>174</v>
      </c>
      <c r="Q117" s="11" t="s">
        <v>34</v>
      </c>
      <c r="R117" s="1">
        <f t="shared" si="49"/>
        <v>3193664.8</v>
      </c>
      <c r="S117" s="30">
        <v>0</v>
      </c>
      <c r="T117" s="2">
        <v>3193664.8</v>
      </c>
      <c r="U117" s="1">
        <f t="shared" si="50"/>
        <v>718574.58</v>
      </c>
      <c r="V117" s="42">
        <v>0</v>
      </c>
      <c r="W117" s="28">
        <v>718574.58</v>
      </c>
      <c r="X117" s="1">
        <f t="shared" si="51"/>
        <v>79841.62</v>
      </c>
      <c r="Y117" s="30">
        <v>0</v>
      </c>
      <c r="Z117" s="2">
        <v>79841.62</v>
      </c>
      <c r="AA117" s="2">
        <v>0</v>
      </c>
      <c r="AB117" s="30">
        <v>0</v>
      </c>
      <c r="AC117" s="30">
        <v>0</v>
      </c>
      <c r="AD117" s="16">
        <f t="shared" si="30"/>
        <v>3992081</v>
      </c>
      <c r="AE117" s="37">
        <v>0</v>
      </c>
      <c r="AF117" s="2">
        <f t="shared" si="52"/>
        <v>3992081</v>
      </c>
      <c r="AG117" s="38" t="s">
        <v>486</v>
      </c>
      <c r="AH117" s="35"/>
      <c r="AI117" s="30">
        <v>0</v>
      </c>
      <c r="AJ117" s="30">
        <v>0</v>
      </c>
    </row>
    <row r="118" spans="1:36" s="179" customFormat="1" ht="220.5" x14ac:dyDescent="0.25">
      <c r="A118" s="6">
        <v>115</v>
      </c>
      <c r="B118" s="31">
        <v>155741</v>
      </c>
      <c r="C118" s="11">
        <v>1268</v>
      </c>
      <c r="D118" s="9" t="s">
        <v>1638</v>
      </c>
      <c r="E118" s="24" t="s">
        <v>2598</v>
      </c>
      <c r="F118" s="27" t="s">
        <v>3254</v>
      </c>
      <c r="G118" s="11" t="s">
        <v>3253</v>
      </c>
      <c r="H118" s="8" t="s">
        <v>151</v>
      </c>
      <c r="I118" s="32" t="s">
        <v>3255</v>
      </c>
      <c r="J118" s="25">
        <v>44806</v>
      </c>
      <c r="K118" s="25">
        <v>45232</v>
      </c>
      <c r="L118" s="26">
        <f t="shared" si="48"/>
        <v>80</v>
      </c>
      <c r="M118" s="11">
        <v>8</v>
      </c>
      <c r="N118" s="11" t="s">
        <v>261</v>
      </c>
      <c r="O118" s="11" t="s">
        <v>261</v>
      </c>
      <c r="P118" s="11" t="s">
        <v>174</v>
      </c>
      <c r="Q118" s="11" t="s">
        <v>34</v>
      </c>
      <c r="R118" s="1">
        <f t="shared" si="49"/>
        <v>2922630.72</v>
      </c>
      <c r="S118" s="30">
        <v>0</v>
      </c>
      <c r="T118" s="2">
        <v>2922630.72</v>
      </c>
      <c r="U118" s="1">
        <f t="shared" si="50"/>
        <v>657591.91</v>
      </c>
      <c r="V118" s="42">
        <v>0</v>
      </c>
      <c r="W118" s="28">
        <v>657591.91</v>
      </c>
      <c r="X118" s="1">
        <f t="shared" si="51"/>
        <v>73065.77</v>
      </c>
      <c r="Y118" s="30">
        <v>0</v>
      </c>
      <c r="Z118" s="2">
        <v>73065.77</v>
      </c>
      <c r="AA118" s="2">
        <v>0</v>
      </c>
      <c r="AB118" s="30">
        <v>0</v>
      </c>
      <c r="AC118" s="30">
        <v>0</v>
      </c>
      <c r="AD118" s="16">
        <f t="shared" si="30"/>
        <v>3653288.4000000004</v>
      </c>
      <c r="AE118" s="37">
        <v>0</v>
      </c>
      <c r="AF118" s="2">
        <f t="shared" si="52"/>
        <v>3653288.4000000004</v>
      </c>
      <c r="AG118" s="38" t="s">
        <v>486</v>
      </c>
      <c r="AH118" s="35"/>
      <c r="AI118" s="30">
        <v>0</v>
      </c>
      <c r="AJ118" s="30">
        <v>0</v>
      </c>
    </row>
    <row r="119" spans="1:36" s="179" customFormat="1" ht="330.75" x14ac:dyDescent="0.25">
      <c r="A119" s="6">
        <v>116</v>
      </c>
      <c r="B119" s="31">
        <v>155872</v>
      </c>
      <c r="C119" s="11">
        <v>1265</v>
      </c>
      <c r="D119" s="9" t="s">
        <v>1638</v>
      </c>
      <c r="E119" s="24" t="s">
        <v>2598</v>
      </c>
      <c r="F119" s="27" t="s">
        <v>3304</v>
      </c>
      <c r="G119" s="11" t="s">
        <v>3303</v>
      </c>
      <c r="H119" s="11" t="s">
        <v>3305</v>
      </c>
      <c r="I119" s="32" t="s">
        <v>3306</v>
      </c>
      <c r="J119" s="25">
        <v>44848</v>
      </c>
      <c r="K119" s="25">
        <v>45213</v>
      </c>
      <c r="L119" s="26">
        <f t="shared" si="48"/>
        <v>80</v>
      </c>
      <c r="M119" s="11">
        <v>8</v>
      </c>
      <c r="N119" s="11" t="s">
        <v>261</v>
      </c>
      <c r="O119" s="11" t="s">
        <v>261</v>
      </c>
      <c r="P119" s="11" t="s">
        <v>174</v>
      </c>
      <c r="Q119" s="11" t="s">
        <v>34</v>
      </c>
      <c r="R119" s="1">
        <f t="shared" si="49"/>
        <v>3191179.6</v>
      </c>
      <c r="S119" s="30">
        <v>0</v>
      </c>
      <c r="T119" s="2">
        <v>3191179.6</v>
      </c>
      <c r="U119" s="1">
        <f t="shared" si="50"/>
        <v>718015.42</v>
      </c>
      <c r="V119" s="42">
        <v>0</v>
      </c>
      <c r="W119" s="28">
        <v>718015.42</v>
      </c>
      <c r="X119" s="1">
        <f t="shared" si="51"/>
        <v>79779.48</v>
      </c>
      <c r="Y119" s="30">
        <v>0</v>
      </c>
      <c r="Z119" s="2">
        <v>79779.48</v>
      </c>
      <c r="AA119" s="2">
        <v>0</v>
      </c>
      <c r="AB119" s="30">
        <v>0</v>
      </c>
      <c r="AC119" s="30">
        <v>0</v>
      </c>
      <c r="AD119" s="16">
        <f t="shared" si="30"/>
        <v>3988974.5</v>
      </c>
      <c r="AE119" s="37">
        <v>0</v>
      </c>
      <c r="AF119" s="2">
        <f t="shared" si="52"/>
        <v>3988974.5</v>
      </c>
      <c r="AG119" s="38" t="s">
        <v>486</v>
      </c>
      <c r="AH119" s="35"/>
      <c r="AI119" s="30">
        <v>0</v>
      </c>
      <c r="AJ119" s="30">
        <v>0</v>
      </c>
    </row>
    <row r="120" spans="1:36" s="179" customFormat="1" ht="315" x14ac:dyDescent="0.25">
      <c r="A120" s="6">
        <v>117</v>
      </c>
      <c r="B120" s="31">
        <v>118335</v>
      </c>
      <c r="C120" s="31">
        <v>427</v>
      </c>
      <c r="D120" s="32" t="s">
        <v>1639</v>
      </c>
      <c r="E120" s="24" t="s">
        <v>507</v>
      </c>
      <c r="F120" s="27" t="s">
        <v>568</v>
      </c>
      <c r="G120" s="11" t="s">
        <v>569</v>
      </c>
      <c r="H120" s="8" t="s">
        <v>151</v>
      </c>
      <c r="I120" s="45" t="s">
        <v>573</v>
      </c>
      <c r="J120" s="25">
        <v>43284</v>
      </c>
      <c r="K120" s="25">
        <v>43711</v>
      </c>
      <c r="L120" s="26">
        <f t="shared" ref="L120:L129" si="54">R120/AD120*100</f>
        <v>85.000001775483071</v>
      </c>
      <c r="M120" s="11">
        <v>2</v>
      </c>
      <c r="N120" s="11" t="s">
        <v>570</v>
      </c>
      <c r="O120" s="11" t="s">
        <v>570</v>
      </c>
      <c r="P120" s="11" t="s">
        <v>174</v>
      </c>
      <c r="Q120" s="11" t="s">
        <v>34</v>
      </c>
      <c r="R120" s="1">
        <v>239371.48</v>
      </c>
      <c r="S120" s="2">
        <v>239371.48</v>
      </c>
      <c r="T120" s="30">
        <v>0</v>
      </c>
      <c r="U120" s="1">
        <f t="shared" si="50"/>
        <v>36609.75</v>
      </c>
      <c r="V120" s="28">
        <v>36609.75</v>
      </c>
      <c r="W120" s="55">
        <v>0</v>
      </c>
      <c r="X120" s="1">
        <f t="shared" si="51"/>
        <v>5632.27</v>
      </c>
      <c r="Y120" s="2">
        <v>5632.27</v>
      </c>
      <c r="Z120" s="30">
        <v>0</v>
      </c>
      <c r="AA120" s="2">
        <f>AB120+AC120</f>
        <v>0</v>
      </c>
      <c r="AB120" s="30">
        <v>0</v>
      </c>
      <c r="AC120" s="30">
        <v>0</v>
      </c>
      <c r="AD120" s="16">
        <f t="shared" si="30"/>
        <v>281613.5</v>
      </c>
      <c r="AE120" s="35">
        <v>0</v>
      </c>
      <c r="AF120" s="2">
        <f t="shared" ref="AF120:AF129" si="55">AD120+AE120</f>
        <v>281613.5</v>
      </c>
      <c r="AG120" s="21" t="s">
        <v>857</v>
      </c>
      <c r="AH120" s="35" t="s">
        <v>1048</v>
      </c>
      <c r="AI120" s="30">
        <v>238071.21999999997</v>
      </c>
      <c r="AJ120" s="30">
        <v>36410.870000000003</v>
      </c>
    </row>
    <row r="121" spans="1:36" s="179" customFormat="1" ht="362.25" x14ac:dyDescent="0.25">
      <c r="A121" s="6">
        <v>118</v>
      </c>
      <c r="B121" s="31">
        <v>118396</v>
      </c>
      <c r="C121" s="31">
        <v>428</v>
      </c>
      <c r="D121" s="32" t="s">
        <v>1639</v>
      </c>
      <c r="E121" s="24" t="s">
        <v>507</v>
      </c>
      <c r="F121" s="11" t="s">
        <v>696</v>
      </c>
      <c r="G121" s="11" t="s">
        <v>697</v>
      </c>
      <c r="H121" s="11" t="s">
        <v>659</v>
      </c>
      <c r="I121" s="74" t="s">
        <v>2663</v>
      </c>
      <c r="J121" s="25">
        <v>43312</v>
      </c>
      <c r="K121" s="25">
        <v>43861</v>
      </c>
      <c r="L121" s="26">
        <f t="shared" si="54"/>
        <v>84.167393553203468</v>
      </c>
      <c r="M121" s="47">
        <v>2</v>
      </c>
      <c r="N121" s="11" t="s">
        <v>570</v>
      </c>
      <c r="O121" s="11" t="s">
        <v>570</v>
      </c>
      <c r="P121" s="11" t="s">
        <v>174</v>
      </c>
      <c r="Q121" s="11" t="s">
        <v>34</v>
      </c>
      <c r="R121" s="30">
        <f>S121</f>
        <v>326686.85000000009</v>
      </c>
      <c r="S121" s="30">
        <v>326686.85000000009</v>
      </c>
      <c r="T121" s="30">
        <v>0</v>
      </c>
      <c r="U121" s="1">
        <f t="shared" si="50"/>
        <v>53689.799999999996</v>
      </c>
      <c r="V121" s="42">
        <v>53689.799999999996</v>
      </c>
      <c r="W121" s="42">
        <v>0</v>
      </c>
      <c r="X121" s="1">
        <f t="shared" si="51"/>
        <v>3960.82</v>
      </c>
      <c r="Y121" s="30">
        <v>3960.82</v>
      </c>
      <c r="Z121" s="30">
        <v>0</v>
      </c>
      <c r="AA121" s="2">
        <f>AB121+AC121</f>
        <v>3801.97</v>
      </c>
      <c r="AB121" s="30">
        <v>3801.97</v>
      </c>
      <c r="AC121" s="30">
        <v>0</v>
      </c>
      <c r="AD121" s="16">
        <f t="shared" si="30"/>
        <v>388139.44000000006</v>
      </c>
      <c r="AE121" s="35">
        <v>0</v>
      </c>
      <c r="AF121" s="2">
        <f t="shared" si="55"/>
        <v>388139.44000000006</v>
      </c>
      <c r="AG121" s="38" t="s">
        <v>857</v>
      </c>
      <c r="AH121" s="35" t="s">
        <v>1333</v>
      </c>
      <c r="AI121" s="30">
        <v>228534.63999999998</v>
      </c>
      <c r="AJ121" s="30">
        <v>38165.25</v>
      </c>
    </row>
    <row r="122" spans="1:36" s="179" customFormat="1" ht="189" x14ac:dyDescent="0.25">
      <c r="A122" s="6">
        <v>119</v>
      </c>
      <c r="B122" s="31">
        <v>119892</v>
      </c>
      <c r="C122" s="31">
        <v>480</v>
      </c>
      <c r="D122" s="9" t="s">
        <v>1638</v>
      </c>
      <c r="E122" s="24" t="s">
        <v>457</v>
      </c>
      <c r="F122" s="11" t="s">
        <v>872</v>
      </c>
      <c r="G122" s="11" t="s">
        <v>569</v>
      </c>
      <c r="H122" s="8" t="s">
        <v>151</v>
      </c>
      <c r="I122" s="12" t="s">
        <v>2664</v>
      </c>
      <c r="J122" s="75">
        <v>43389</v>
      </c>
      <c r="K122" s="25">
        <v>43906</v>
      </c>
      <c r="L122" s="26">
        <f t="shared" si="54"/>
        <v>85.000001891187381</v>
      </c>
      <c r="M122" s="31">
        <v>2</v>
      </c>
      <c r="N122" s="11" t="s">
        <v>570</v>
      </c>
      <c r="O122" s="11" t="s">
        <v>873</v>
      </c>
      <c r="P122" s="67" t="s">
        <v>174</v>
      </c>
      <c r="Q122" s="11" t="s">
        <v>460</v>
      </c>
      <c r="R122" s="76">
        <f t="shared" ref="R122:R129" si="56">S122+T122</f>
        <v>337089.82</v>
      </c>
      <c r="S122" s="30">
        <v>337089.82</v>
      </c>
      <c r="T122" s="30">
        <v>0</v>
      </c>
      <c r="U122" s="1">
        <f t="shared" si="50"/>
        <v>51554.92</v>
      </c>
      <c r="V122" s="28">
        <v>51554.92</v>
      </c>
      <c r="W122" s="77">
        <v>0</v>
      </c>
      <c r="X122" s="1">
        <f t="shared" si="51"/>
        <v>7931.51</v>
      </c>
      <c r="Y122" s="78">
        <v>7931.51</v>
      </c>
      <c r="Z122" s="30">
        <v>0</v>
      </c>
      <c r="AA122" s="11">
        <v>0</v>
      </c>
      <c r="AB122" s="11">
        <v>0</v>
      </c>
      <c r="AC122" s="30">
        <v>0</v>
      </c>
      <c r="AD122" s="16">
        <f t="shared" si="30"/>
        <v>396576.25</v>
      </c>
      <c r="AE122" s="79">
        <v>2189.6</v>
      </c>
      <c r="AF122" s="2">
        <f t="shared" si="55"/>
        <v>398765.85</v>
      </c>
      <c r="AG122" s="38" t="s">
        <v>857</v>
      </c>
      <c r="AH122" s="35" t="s">
        <v>1165</v>
      </c>
      <c r="AI122" s="30">
        <v>303728.18</v>
      </c>
      <c r="AJ122" s="30">
        <v>46452.54</v>
      </c>
    </row>
    <row r="123" spans="1:36" s="179" customFormat="1" ht="157.5" x14ac:dyDescent="0.25">
      <c r="A123" s="6">
        <v>120</v>
      </c>
      <c r="B123" s="31">
        <v>126446</v>
      </c>
      <c r="C123" s="31">
        <v>543</v>
      </c>
      <c r="D123" s="9" t="s">
        <v>1638</v>
      </c>
      <c r="E123" s="24" t="s">
        <v>899</v>
      </c>
      <c r="F123" s="11" t="s">
        <v>901</v>
      </c>
      <c r="G123" s="11" t="s">
        <v>569</v>
      </c>
      <c r="H123" s="8" t="s">
        <v>151</v>
      </c>
      <c r="I123" s="12" t="s">
        <v>2665</v>
      </c>
      <c r="J123" s="75">
        <v>43430</v>
      </c>
      <c r="K123" s="25">
        <v>44618</v>
      </c>
      <c r="L123" s="26">
        <f t="shared" si="54"/>
        <v>85.000000017455704</v>
      </c>
      <c r="M123" s="31">
        <v>2</v>
      </c>
      <c r="N123" s="11" t="s">
        <v>570</v>
      </c>
      <c r="O123" s="11" t="s">
        <v>873</v>
      </c>
      <c r="P123" s="67" t="s">
        <v>174</v>
      </c>
      <c r="Q123" s="11" t="s">
        <v>460</v>
      </c>
      <c r="R123" s="76">
        <f t="shared" si="56"/>
        <v>2434734.11</v>
      </c>
      <c r="S123" s="30">
        <v>2434734.11</v>
      </c>
      <c r="T123" s="30">
        <v>0</v>
      </c>
      <c r="U123" s="1">
        <f t="shared" si="50"/>
        <v>372371.1</v>
      </c>
      <c r="V123" s="28">
        <v>372371.1</v>
      </c>
      <c r="W123" s="77">
        <v>0</v>
      </c>
      <c r="X123" s="1">
        <f t="shared" si="51"/>
        <v>57287.86</v>
      </c>
      <c r="Y123" s="78">
        <v>57287.86</v>
      </c>
      <c r="Z123" s="30">
        <v>0</v>
      </c>
      <c r="AA123" s="2">
        <f t="shared" ref="AA123:AA128" si="57">AB123+AC123</f>
        <v>0</v>
      </c>
      <c r="AB123" s="30">
        <v>0</v>
      </c>
      <c r="AC123" s="30">
        <v>0</v>
      </c>
      <c r="AD123" s="16">
        <f t="shared" si="30"/>
        <v>2864393.07</v>
      </c>
      <c r="AE123" s="31"/>
      <c r="AF123" s="2">
        <f t="shared" si="55"/>
        <v>2864393.07</v>
      </c>
      <c r="AG123" s="38" t="s">
        <v>857</v>
      </c>
      <c r="AH123" s="38" t="s">
        <v>1734</v>
      </c>
      <c r="AI123" s="30">
        <f>148644.99+110292.95+91247.42+379969.97+164834.04+401292.39+387404.5+75948.62+414110.17</f>
        <v>2173745.0499999998</v>
      </c>
      <c r="AJ123" s="30">
        <f>22733.93+16868.33+13955.48+58113.06+25209.91+61374.14+59250.1+11615.67+63334.49</f>
        <v>332455.11</v>
      </c>
    </row>
    <row r="124" spans="1:36" s="179" customFormat="1" ht="189" x14ac:dyDescent="0.25">
      <c r="A124" s="6">
        <v>121</v>
      </c>
      <c r="B124" s="31">
        <v>120730</v>
      </c>
      <c r="C124" s="11">
        <v>92</v>
      </c>
      <c r="D124" s="9" t="s">
        <v>1638</v>
      </c>
      <c r="E124" s="24" t="s">
        <v>277</v>
      </c>
      <c r="F124" s="11" t="s">
        <v>197</v>
      </c>
      <c r="G124" s="11" t="s">
        <v>196</v>
      </c>
      <c r="H124" s="8" t="s">
        <v>151</v>
      </c>
      <c r="I124" s="12" t="s">
        <v>199</v>
      </c>
      <c r="J124" s="25">
        <v>43145</v>
      </c>
      <c r="K124" s="25">
        <v>43630</v>
      </c>
      <c r="L124" s="26">
        <f t="shared" si="54"/>
        <v>85.000000355065879</v>
      </c>
      <c r="M124" s="11">
        <v>2</v>
      </c>
      <c r="N124" s="11" t="s">
        <v>570</v>
      </c>
      <c r="O124" s="11" t="s">
        <v>1016</v>
      </c>
      <c r="P124" s="27" t="s">
        <v>174</v>
      </c>
      <c r="Q124" s="11" t="s">
        <v>34</v>
      </c>
      <c r="R124" s="2">
        <f t="shared" si="56"/>
        <v>359088.29</v>
      </c>
      <c r="S124" s="2">
        <v>359088.29</v>
      </c>
      <c r="T124" s="2">
        <v>0</v>
      </c>
      <c r="U124" s="1">
        <f t="shared" si="50"/>
        <v>54919.39</v>
      </c>
      <c r="V124" s="28">
        <v>54919.39</v>
      </c>
      <c r="W124" s="28">
        <v>0</v>
      </c>
      <c r="X124" s="1">
        <f t="shared" si="51"/>
        <v>8449.1299999999992</v>
      </c>
      <c r="Y124" s="2">
        <v>8449.1299999999992</v>
      </c>
      <c r="Z124" s="2">
        <v>0</v>
      </c>
      <c r="AA124" s="2">
        <f t="shared" si="57"/>
        <v>0</v>
      </c>
      <c r="AB124" s="2">
        <v>0</v>
      </c>
      <c r="AC124" s="2">
        <v>0</v>
      </c>
      <c r="AD124" s="16">
        <f t="shared" si="30"/>
        <v>422456.81</v>
      </c>
      <c r="AE124" s="2">
        <v>66435.22</v>
      </c>
      <c r="AF124" s="2">
        <f t="shared" si="55"/>
        <v>488892.03</v>
      </c>
      <c r="AG124" s="21" t="s">
        <v>857</v>
      </c>
      <c r="AH124" s="29" t="s">
        <v>151</v>
      </c>
      <c r="AI124" s="30">
        <v>331095.73</v>
      </c>
      <c r="AJ124" s="30">
        <v>50638.16</v>
      </c>
    </row>
    <row r="125" spans="1:36" s="179" customFormat="1" ht="141.75" x14ac:dyDescent="0.25">
      <c r="A125" s="6">
        <v>122</v>
      </c>
      <c r="B125" s="31">
        <v>129270</v>
      </c>
      <c r="C125" s="11">
        <v>647</v>
      </c>
      <c r="D125" s="9" t="s">
        <v>1638</v>
      </c>
      <c r="E125" s="24" t="s">
        <v>1071</v>
      </c>
      <c r="F125" s="31" t="s">
        <v>1149</v>
      </c>
      <c r="G125" s="11" t="s">
        <v>196</v>
      </c>
      <c r="H125" s="8" t="s">
        <v>151</v>
      </c>
      <c r="I125" s="12" t="s">
        <v>2666</v>
      </c>
      <c r="J125" s="25">
        <v>43656</v>
      </c>
      <c r="K125" s="25">
        <v>44296</v>
      </c>
      <c r="L125" s="26">
        <f t="shared" si="54"/>
        <v>84.999999975703545</v>
      </c>
      <c r="M125" s="11">
        <v>2</v>
      </c>
      <c r="N125" s="11" t="s">
        <v>570</v>
      </c>
      <c r="O125" s="11" t="s">
        <v>1016</v>
      </c>
      <c r="P125" s="27" t="s">
        <v>174</v>
      </c>
      <c r="Q125" s="11" t="s">
        <v>34</v>
      </c>
      <c r="R125" s="2">
        <f t="shared" si="56"/>
        <v>1749225.82</v>
      </c>
      <c r="S125" s="2">
        <v>1749225.82</v>
      </c>
      <c r="T125" s="2">
        <v>0</v>
      </c>
      <c r="U125" s="1">
        <f t="shared" si="50"/>
        <v>267528.65999999997</v>
      </c>
      <c r="V125" s="28">
        <v>267528.65999999997</v>
      </c>
      <c r="W125" s="28">
        <v>0</v>
      </c>
      <c r="X125" s="1">
        <f t="shared" si="51"/>
        <v>41158.25</v>
      </c>
      <c r="Y125" s="2">
        <v>41158.25</v>
      </c>
      <c r="Z125" s="2">
        <v>0</v>
      </c>
      <c r="AA125" s="2">
        <f t="shared" si="57"/>
        <v>0</v>
      </c>
      <c r="AB125" s="2">
        <v>0</v>
      </c>
      <c r="AC125" s="2">
        <v>0</v>
      </c>
      <c r="AD125" s="16">
        <f t="shared" si="30"/>
        <v>2057912.73</v>
      </c>
      <c r="AE125" s="2">
        <v>0</v>
      </c>
      <c r="AF125" s="2">
        <f t="shared" si="55"/>
        <v>2057912.73</v>
      </c>
      <c r="AG125" s="38" t="s">
        <v>857</v>
      </c>
      <c r="AH125" s="29" t="s">
        <v>1723</v>
      </c>
      <c r="AI125" s="30">
        <f>166775.7+14801.9+886408.22+130598.51+13288.05+485288.13+13655.25</f>
        <v>1710815.7600000002</v>
      </c>
      <c r="AJ125" s="30">
        <f>25506.87+2263.82+135568.33+19973.88+2032.29+74220.54+2088.45</f>
        <v>261654.18</v>
      </c>
    </row>
    <row r="126" spans="1:36" s="179" customFormat="1" ht="157.5" x14ac:dyDescent="0.25">
      <c r="A126" s="6">
        <v>123</v>
      </c>
      <c r="B126" s="31">
        <v>128948</v>
      </c>
      <c r="C126" s="11">
        <v>664</v>
      </c>
      <c r="D126" s="9" t="s">
        <v>1638</v>
      </c>
      <c r="E126" s="24" t="s">
        <v>1071</v>
      </c>
      <c r="F126" s="31" t="s">
        <v>1259</v>
      </c>
      <c r="G126" s="11" t="s">
        <v>569</v>
      </c>
      <c r="H126" s="8" t="s">
        <v>151</v>
      </c>
      <c r="I126" s="12" t="s">
        <v>2667</v>
      </c>
      <c r="J126" s="25">
        <v>43712</v>
      </c>
      <c r="K126" s="25">
        <v>44838</v>
      </c>
      <c r="L126" s="26">
        <f t="shared" si="54"/>
        <v>85.000000102885792</v>
      </c>
      <c r="M126" s="11">
        <v>2</v>
      </c>
      <c r="N126" s="11" t="s">
        <v>570</v>
      </c>
      <c r="O126" s="11" t="s">
        <v>873</v>
      </c>
      <c r="P126" s="27" t="s">
        <v>174</v>
      </c>
      <c r="Q126" s="11" t="s">
        <v>34</v>
      </c>
      <c r="R126" s="2">
        <f t="shared" si="56"/>
        <v>826158.81</v>
      </c>
      <c r="S126" s="2">
        <v>826158.81</v>
      </c>
      <c r="T126" s="2">
        <v>0</v>
      </c>
      <c r="U126" s="1">
        <f t="shared" si="50"/>
        <v>126353.7</v>
      </c>
      <c r="V126" s="28">
        <v>126353.7</v>
      </c>
      <c r="W126" s="28">
        <v>0</v>
      </c>
      <c r="X126" s="1">
        <f t="shared" si="51"/>
        <v>19439.03</v>
      </c>
      <c r="Y126" s="2">
        <v>19439.03</v>
      </c>
      <c r="Z126" s="2">
        <v>0</v>
      </c>
      <c r="AA126" s="2">
        <f t="shared" si="57"/>
        <v>0</v>
      </c>
      <c r="AB126" s="2">
        <v>0</v>
      </c>
      <c r="AC126" s="2">
        <v>0</v>
      </c>
      <c r="AD126" s="16">
        <f t="shared" si="30"/>
        <v>971951.54</v>
      </c>
      <c r="AE126" s="2">
        <v>0</v>
      </c>
      <c r="AF126" s="2">
        <f t="shared" si="55"/>
        <v>971951.54</v>
      </c>
      <c r="AG126" s="38" t="s">
        <v>857</v>
      </c>
      <c r="AH126" s="29" t="s">
        <v>2006</v>
      </c>
      <c r="AI126" s="30">
        <f>270562.09+154557.2</f>
        <v>425119.29000000004</v>
      </c>
      <c r="AJ126" s="30">
        <f>41380.08+23638.16</f>
        <v>65018.240000000005</v>
      </c>
    </row>
    <row r="127" spans="1:36" s="179" customFormat="1" ht="141.75" x14ac:dyDescent="0.25">
      <c r="A127" s="6">
        <v>124</v>
      </c>
      <c r="B127" s="31">
        <v>135741</v>
      </c>
      <c r="C127" s="11">
        <v>772</v>
      </c>
      <c r="D127" s="9" t="s">
        <v>1638</v>
      </c>
      <c r="E127" s="24" t="s">
        <v>1441</v>
      </c>
      <c r="F127" s="31" t="s">
        <v>1443</v>
      </c>
      <c r="G127" s="11" t="s">
        <v>569</v>
      </c>
      <c r="H127" s="8" t="s">
        <v>151</v>
      </c>
      <c r="I127" s="12" t="s">
        <v>2668</v>
      </c>
      <c r="J127" s="25">
        <v>43949</v>
      </c>
      <c r="K127" s="25">
        <v>44558</v>
      </c>
      <c r="L127" s="26">
        <f t="shared" si="54"/>
        <v>85</v>
      </c>
      <c r="M127" s="11">
        <v>2</v>
      </c>
      <c r="N127" s="11" t="s">
        <v>570</v>
      </c>
      <c r="O127" s="11" t="s">
        <v>873</v>
      </c>
      <c r="P127" s="27" t="s">
        <v>174</v>
      </c>
      <c r="Q127" s="11" t="s">
        <v>34</v>
      </c>
      <c r="R127" s="2">
        <f t="shared" si="56"/>
        <v>849255.4</v>
      </c>
      <c r="S127" s="2">
        <v>849255.4</v>
      </c>
      <c r="T127" s="2">
        <v>0</v>
      </c>
      <c r="U127" s="1">
        <f t="shared" si="50"/>
        <v>129886.12</v>
      </c>
      <c r="V127" s="28">
        <v>129886.12</v>
      </c>
      <c r="W127" s="28">
        <v>0</v>
      </c>
      <c r="X127" s="1">
        <f t="shared" si="51"/>
        <v>19982.48</v>
      </c>
      <c r="Y127" s="2">
        <v>19982.48</v>
      </c>
      <c r="Z127" s="2">
        <v>0</v>
      </c>
      <c r="AA127" s="2">
        <f t="shared" si="57"/>
        <v>0</v>
      </c>
      <c r="AB127" s="2">
        <v>0</v>
      </c>
      <c r="AC127" s="2">
        <v>0</v>
      </c>
      <c r="AD127" s="16">
        <f t="shared" si="30"/>
        <v>999124</v>
      </c>
      <c r="AE127" s="2">
        <v>0</v>
      </c>
      <c r="AF127" s="2">
        <f t="shared" si="55"/>
        <v>999124</v>
      </c>
      <c r="AG127" s="38" t="s">
        <v>857</v>
      </c>
      <c r="AH127" s="29" t="s">
        <v>1796</v>
      </c>
      <c r="AI127" s="30">
        <f>35402.5+6069+633502.45+8698.9</f>
        <v>683672.85</v>
      </c>
      <c r="AJ127" s="30">
        <f>5414.5+928.2+96888.61+1330.42</f>
        <v>104561.73</v>
      </c>
    </row>
    <row r="128" spans="1:36" s="179" customFormat="1" ht="141.75" x14ac:dyDescent="0.25">
      <c r="A128" s="6">
        <v>125</v>
      </c>
      <c r="B128" s="31">
        <v>136038</v>
      </c>
      <c r="C128" s="11">
        <v>794</v>
      </c>
      <c r="D128" s="9" t="s">
        <v>1638</v>
      </c>
      <c r="E128" s="24" t="s">
        <v>1441</v>
      </c>
      <c r="F128" s="31" t="s">
        <v>1478</v>
      </c>
      <c r="G128" s="11" t="s">
        <v>697</v>
      </c>
      <c r="H128" s="8" t="s">
        <v>151</v>
      </c>
      <c r="I128" s="12" t="s">
        <v>1479</v>
      </c>
      <c r="J128" s="25">
        <v>43969</v>
      </c>
      <c r="K128" s="25">
        <v>44760</v>
      </c>
      <c r="L128" s="26">
        <f t="shared" si="54"/>
        <v>85</v>
      </c>
      <c r="M128" s="11">
        <v>2</v>
      </c>
      <c r="N128" s="11" t="s">
        <v>570</v>
      </c>
      <c r="O128" s="11" t="s">
        <v>873</v>
      </c>
      <c r="P128" s="27" t="s">
        <v>174</v>
      </c>
      <c r="Q128" s="11" t="s">
        <v>34</v>
      </c>
      <c r="R128" s="2">
        <f t="shared" si="56"/>
        <v>3210818.0500000003</v>
      </c>
      <c r="S128" s="2">
        <v>3210818.0500000003</v>
      </c>
      <c r="T128" s="2">
        <v>0</v>
      </c>
      <c r="U128" s="1">
        <f t="shared" si="50"/>
        <v>491066.29</v>
      </c>
      <c r="V128" s="28">
        <v>491066.29</v>
      </c>
      <c r="W128" s="28">
        <v>0</v>
      </c>
      <c r="X128" s="1">
        <f t="shared" si="51"/>
        <v>75548.66</v>
      </c>
      <c r="Y128" s="2">
        <v>75548.66</v>
      </c>
      <c r="Z128" s="2">
        <v>0</v>
      </c>
      <c r="AA128" s="2">
        <f t="shared" si="57"/>
        <v>0</v>
      </c>
      <c r="AB128" s="2">
        <v>0</v>
      </c>
      <c r="AC128" s="2">
        <v>0</v>
      </c>
      <c r="AD128" s="16">
        <f t="shared" si="30"/>
        <v>3777433.0000000005</v>
      </c>
      <c r="AE128" s="2">
        <v>95200</v>
      </c>
      <c r="AF128" s="2">
        <f t="shared" si="55"/>
        <v>3872633.0000000005</v>
      </c>
      <c r="AG128" s="38" t="s">
        <v>857</v>
      </c>
      <c r="AH128" s="29"/>
      <c r="AI128" s="30">
        <f>61207.73+24043.1+329688.24+507642.44+512725.95+972952.5+27467.33</f>
        <v>2435727.29</v>
      </c>
      <c r="AJ128" s="30">
        <f>9361.18+3677.18+50422.91+77639.44+78416.91+148804.5+4200.89</f>
        <v>372523.01</v>
      </c>
    </row>
    <row r="129" spans="1:36" s="179" customFormat="1" ht="267.75" x14ac:dyDescent="0.25">
      <c r="A129" s="6">
        <v>126</v>
      </c>
      <c r="B129" s="31">
        <v>135535</v>
      </c>
      <c r="C129" s="11">
        <v>781</v>
      </c>
      <c r="D129" s="9" t="s">
        <v>1638</v>
      </c>
      <c r="E129" s="24" t="s">
        <v>1441</v>
      </c>
      <c r="F129" s="31" t="s">
        <v>1552</v>
      </c>
      <c r="G129" s="11" t="s">
        <v>196</v>
      </c>
      <c r="H129" s="8" t="s">
        <v>151</v>
      </c>
      <c r="I129" s="12" t="s">
        <v>2669</v>
      </c>
      <c r="J129" s="25">
        <v>44008</v>
      </c>
      <c r="K129" s="25">
        <v>44646</v>
      </c>
      <c r="L129" s="26">
        <f t="shared" si="54"/>
        <v>85.000000029541837</v>
      </c>
      <c r="M129" s="11">
        <v>2</v>
      </c>
      <c r="N129" s="11" t="s">
        <v>570</v>
      </c>
      <c r="O129" s="11" t="s">
        <v>1016</v>
      </c>
      <c r="P129" s="27" t="s">
        <v>174</v>
      </c>
      <c r="Q129" s="11" t="s">
        <v>34</v>
      </c>
      <c r="R129" s="2">
        <f t="shared" si="56"/>
        <v>2877274.6</v>
      </c>
      <c r="S129" s="2">
        <v>2877274.6</v>
      </c>
      <c r="T129" s="2">
        <v>0</v>
      </c>
      <c r="U129" s="1">
        <f t="shared" si="50"/>
        <v>440053.75</v>
      </c>
      <c r="V129" s="28">
        <v>440053.75</v>
      </c>
      <c r="W129" s="28">
        <v>0</v>
      </c>
      <c r="X129" s="1">
        <f t="shared" si="51"/>
        <v>67700.59</v>
      </c>
      <c r="Y129" s="2">
        <v>67700.59</v>
      </c>
      <c r="Z129" s="2">
        <v>0</v>
      </c>
      <c r="AA129" s="2">
        <f>AB129+AC129</f>
        <v>0</v>
      </c>
      <c r="AB129" s="2">
        <v>0</v>
      </c>
      <c r="AC129" s="2">
        <v>0</v>
      </c>
      <c r="AD129" s="16">
        <f t="shared" si="30"/>
        <v>3385028.94</v>
      </c>
      <c r="AE129" s="2">
        <v>0</v>
      </c>
      <c r="AF129" s="2">
        <f t="shared" si="55"/>
        <v>3385028.94</v>
      </c>
      <c r="AG129" s="38" t="s">
        <v>857</v>
      </c>
      <c r="AH129" s="29" t="s">
        <v>1817</v>
      </c>
      <c r="AI129" s="30">
        <f>117553.13+25953.16+132751.52+1335382.3+278036.7+18344.7+13393.45+856740.5+34501.76</f>
        <v>2812657.2199999997</v>
      </c>
      <c r="AJ129" s="30">
        <f>17978.71+3969.31+20303.16+204234.94+42523.26+2805.66+2048.41+131030.9+5276.74</f>
        <v>430171.08999999997</v>
      </c>
    </row>
    <row r="130" spans="1:36" s="179" customFormat="1" ht="267.75" x14ac:dyDescent="0.25">
      <c r="A130" s="6">
        <v>127</v>
      </c>
      <c r="B130" s="31">
        <v>118879</v>
      </c>
      <c r="C130" s="11">
        <v>452</v>
      </c>
      <c r="D130" s="32" t="s">
        <v>1639</v>
      </c>
      <c r="E130" s="24" t="s">
        <v>507</v>
      </c>
      <c r="F130" s="11" t="s">
        <v>655</v>
      </c>
      <c r="G130" s="11" t="s">
        <v>656</v>
      </c>
      <c r="H130" s="8" t="s">
        <v>151</v>
      </c>
      <c r="I130" s="32" t="s">
        <v>2670</v>
      </c>
      <c r="J130" s="25">
        <v>43293</v>
      </c>
      <c r="K130" s="25">
        <v>43781</v>
      </c>
      <c r="L130" s="26">
        <f t="shared" ref="L130:L138" si="58">R130/AD130*100</f>
        <v>85</v>
      </c>
      <c r="M130" s="11">
        <v>3</v>
      </c>
      <c r="N130" s="11" t="s">
        <v>1469</v>
      </c>
      <c r="O130" s="11" t="s">
        <v>1469</v>
      </c>
      <c r="P130" s="11" t="s">
        <v>174</v>
      </c>
      <c r="Q130" s="11" t="s">
        <v>34</v>
      </c>
      <c r="R130" s="30">
        <v>338205.65</v>
      </c>
      <c r="S130" s="30">
        <v>338205.65</v>
      </c>
      <c r="T130" s="30">
        <v>0</v>
      </c>
      <c r="U130" s="1">
        <f t="shared" ref="U130:U142" si="59">V130+W130</f>
        <v>51725.57</v>
      </c>
      <c r="V130" s="42">
        <v>51725.57</v>
      </c>
      <c r="W130" s="42">
        <v>0</v>
      </c>
      <c r="X130" s="1">
        <f t="shared" ref="X130:X145" si="60">Y130+Z130</f>
        <v>7957.78</v>
      </c>
      <c r="Y130" s="30">
        <v>7957.78</v>
      </c>
      <c r="Z130" s="30">
        <v>0</v>
      </c>
      <c r="AA130" s="2">
        <v>0</v>
      </c>
      <c r="AB130" s="30">
        <v>0</v>
      </c>
      <c r="AC130" s="30">
        <v>0</v>
      </c>
      <c r="AD130" s="16">
        <f t="shared" si="30"/>
        <v>397889.00000000006</v>
      </c>
      <c r="AE130" s="38">
        <v>0</v>
      </c>
      <c r="AF130" s="30">
        <f t="shared" ref="AF130:AF138" si="61">AD130+AE130</f>
        <v>397889.00000000006</v>
      </c>
      <c r="AG130" s="21" t="s">
        <v>857</v>
      </c>
      <c r="AH130" s="73" t="s">
        <v>1049</v>
      </c>
      <c r="AI130" s="30">
        <v>324878.98</v>
      </c>
      <c r="AJ130" s="30">
        <v>49687.360000000001</v>
      </c>
    </row>
    <row r="131" spans="1:36" s="179" customFormat="1" ht="157.5" x14ac:dyDescent="0.25">
      <c r="A131" s="6">
        <v>128</v>
      </c>
      <c r="B131" s="31">
        <v>118774</v>
      </c>
      <c r="C131" s="11">
        <v>442</v>
      </c>
      <c r="D131" s="32" t="s">
        <v>1639</v>
      </c>
      <c r="E131" s="24" t="s">
        <v>507</v>
      </c>
      <c r="F131" s="11" t="s">
        <v>792</v>
      </c>
      <c r="G131" s="11" t="s">
        <v>793</v>
      </c>
      <c r="H131" s="11"/>
      <c r="I131" s="32" t="s">
        <v>862</v>
      </c>
      <c r="J131" s="25">
        <v>43341</v>
      </c>
      <c r="K131" s="25">
        <v>43798</v>
      </c>
      <c r="L131" s="26">
        <f t="shared" si="58"/>
        <v>84.999996337824783</v>
      </c>
      <c r="M131" s="40">
        <v>3</v>
      </c>
      <c r="N131" s="11" t="s">
        <v>1469</v>
      </c>
      <c r="O131" s="11" t="s">
        <v>1469</v>
      </c>
      <c r="P131" s="11" t="s">
        <v>174</v>
      </c>
      <c r="Q131" s="11" t="s">
        <v>34</v>
      </c>
      <c r="R131" s="30">
        <f t="shared" ref="R131:R138" si="62">S131+T131</f>
        <v>220497.36</v>
      </c>
      <c r="S131" s="30">
        <v>220497.36</v>
      </c>
      <c r="T131" s="30">
        <v>0</v>
      </c>
      <c r="U131" s="1">
        <f t="shared" si="59"/>
        <v>33723.14</v>
      </c>
      <c r="V131" s="80">
        <v>33723.14</v>
      </c>
      <c r="W131" s="42">
        <v>0</v>
      </c>
      <c r="X131" s="1">
        <f t="shared" si="60"/>
        <v>5188.17</v>
      </c>
      <c r="Y131" s="30">
        <v>5188.17</v>
      </c>
      <c r="Z131" s="30">
        <v>0</v>
      </c>
      <c r="AA131" s="2">
        <f t="shared" ref="AA131:AA138" si="63">AB131+AC131</f>
        <v>0</v>
      </c>
      <c r="AB131" s="30">
        <v>0</v>
      </c>
      <c r="AC131" s="30">
        <v>0</v>
      </c>
      <c r="AD131" s="16">
        <f t="shared" si="30"/>
        <v>259408.67</v>
      </c>
      <c r="AE131" s="35"/>
      <c r="AF131" s="2">
        <f t="shared" si="61"/>
        <v>259408.67</v>
      </c>
      <c r="AG131" s="21" t="s">
        <v>857</v>
      </c>
      <c r="AH131" s="73" t="s">
        <v>151</v>
      </c>
      <c r="AI131" s="30">
        <v>202807.57</v>
      </c>
      <c r="AJ131" s="30">
        <v>31017.620000000003</v>
      </c>
    </row>
    <row r="132" spans="1:36" s="179" customFormat="1" ht="112.5" customHeight="1" x14ac:dyDescent="0.25">
      <c r="A132" s="6">
        <v>129</v>
      </c>
      <c r="B132" s="31">
        <v>119901</v>
      </c>
      <c r="C132" s="11">
        <v>486</v>
      </c>
      <c r="D132" s="9" t="s">
        <v>1638</v>
      </c>
      <c r="E132" s="32" t="s">
        <v>457</v>
      </c>
      <c r="F132" s="11" t="s">
        <v>880</v>
      </c>
      <c r="G132" s="11" t="s">
        <v>656</v>
      </c>
      <c r="H132" s="8" t="s">
        <v>151</v>
      </c>
      <c r="I132" s="12" t="s">
        <v>881</v>
      </c>
      <c r="J132" s="25">
        <v>43377</v>
      </c>
      <c r="K132" s="25">
        <v>43925</v>
      </c>
      <c r="L132" s="26">
        <f t="shared" si="58"/>
        <v>85.000004041383775</v>
      </c>
      <c r="M132" s="40">
        <v>3</v>
      </c>
      <c r="N132" s="11" t="s">
        <v>1469</v>
      </c>
      <c r="O132" s="11" t="s">
        <v>1469</v>
      </c>
      <c r="P132" s="11" t="s">
        <v>174</v>
      </c>
      <c r="Q132" s="11" t="s">
        <v>460</v>
      </c>
      <c r="R132" s="30">
        <f t="shared" si="62"/>
        <v>420648.02</v>
      </c>
      <c r="S132" s="30">
        <v>420648.02</v>
      </c>
      <c r="T132" s="36">
        <v>0</v>
      </c>
      <c r="U132" s="1">
        <f t="shared" si="59"/>
        <v>64334.38</v>
      </c>
      <c r="V132" s="81">
        <v>64334.38</v>
      </c>
      <c r="W132" s="55">
        <v>0</v>
      </c>
      <c r="X132" s="1">
        <f t="shared" si="60"/>
        <v>9897.6</v>
      </c>
      <c r="Y132" s="51">
        <v>9897.6</v>
      </c>
      <c r="Z132" s="51">
        <v>0</v>
      </c>
      <c r="AA132" s="2">
        <f t="shared" si="63"/>
        <v>0</v>
      </c>
      <c r="AB132" s="36">
        <v>0</v>
      </c>
      <c r="AC132" s="36">
        <v>0</v>
      </c>
      <c r="AD132" s="16">
        <f t="shared" si="30"/>
        <v>494880</v>
      </c>
      <c r="AE132" s="35"/>
      <c r="AF132" s="2">
        <f t="shared" si="61"/>
        <v>494880</v>
      </c>
      <c r="AG132" s="38" t="s">
        <v>857</v>
      </c>
      <c r="AH132" s="38" t="s">
        <v>1424</v>
      </c>
      <c r="AI132" s="30">
        <v>352319.13999999996</v>
      </c>
      <c r="AJ132" s="30">
        <v>53884.060000000019</v>
      </c>
    </row>
    <row r="133" spans="1:36" s="179" customFormat="1" ht="243.75" customHeight="1" x14ac:dyDescent="0.25">
      <c r="A133" s="6">
        <v>130</v>
      </c>
      <c r="B133" s="31">
        <v>126537</v>
      </c>
      <c r="C133" s="11">
        <v>569</v>
      </c>
      <c r="D133" s="9" t="s">
        <v>1638</v>
      </c>
      <c r="E133" s="24" t="s">
        <v>899</v>
      </c>
      <c r="F133" s="11" t="s">
        <v>1042</v>
      </c>
      <c r="G133" s="11" t="s">
        <v>656</v>
      </c>
      <c r="H133" s="8" t="s">
        <v>151</v>
      </c>
      <c r="I133" s="12" t="s">
        <v>1043</v>
      </c>
      <c r="J133" s="25">
        <v>43567</v>
      </c>
      <c r="K133" s="25">
        <v>44542</v>
      </c>
      <c r="L133" s="26">
        <f t="shared" si="58"/>
        <v>85.000000206342506</v>
      </c>
      <c r="M133" s="40">
        <v>3</v>
      </c>
      <c r="N133" s="11" t="s">
        <v>1469</v>
      </c>
      <c r="O133" s="11" t="s">
        <v>1469</v>
      </c>
      <c r="P133" s="11" t="s">
        <v>174</v>
      </c>
      <c r="Q133" s="11" t="s">
        <v>460</v>
      </c>
      <c r="R133" s="30">
        <f t="shared" si="62"/>
        <v>3089523.44</v>
      </c>
      <c r="S133" s="30">
        <v>3089523.44</v>
      </c>
      <c r="T133" s="34">
        <v>0</v>
      </c>
      <c r="U133" s="1">
        <f t="shared" si="59"/>
        <v>472515.34</v>
      </c>
      <c r="V133" s="81">
        <v>472515.34</v>
      </c>
      <c r="W133" s="42">
        <v>0</v>
      </c>
      <c r="X133" s="1">
        <f t="shared" si="60"/>
        <v>72694.67</v>
      </c>
      <c r="Y133" s="30">
        <v>72694.67</v>
      </c>
      <c r="Z133" s="34">
        <v>0</v>
      </c>
      <c r="AA133" s="2">
        <f t="shared" si="63"/>
        <v>0</v>
      </c>
      <c r="AB133" s="34">
        <v>0</v>
      </c>
      <c r="AC133" s="34">
        <v>0</v>
      </c>
      <c r="AD133" s="16">
        <f t="shared" ref="AD133:AD196" si="64">R133+U133+X133+AA133</f>
        <v>3634733.4499999997</v>
      </c>
      <c r="AE133" s="30">
        <v>0</v>
      </c>
      <c r="AF133" s="2">
        <f t="shared" si="61"/>
        <v>3634733.4499999997</v>
      </c>
      <c r="AG133" s="38" t="s">
        <v>857</v>
      </c>
      <c r="AH133" s="38" t="s">
        <v>1779</v>
      </c>
      <c r="AI133" s="30">
        <f>101326.08+67116+473703.3+529750.17-28548.49+365060-26190.17+363473-46589.69+424740.4+162696.98+58778.47</f>
        <v>2445316.0500000003</v>
      </c>
      <c r="AJ133" s="30">
        <f>15496.93+26880.76+85630.48+46856.66+51827.17+46589.69+11245.13+80473.05+8989.65</f>
        <v>373989.52</v>
      </c>
    </row>
    <row r="134" spans="1:36" s="179" customFormat="1" ht="141.75" x14ac:dyDescent="0.25">
      <c r="A134" s="6">
        <v>131</v>
      </c>
      <c r="B134" s="31">
        <v>129241</v>
      </c>
      <c r="C134" s="31">
        <v>650</v>
      </c>
      <c r="D134" s="9" t="s">
        <v>1638</v>
      </c>
      <c r="E134" s="82" t="s">
        <v>1071</v>
      </c>
      <c r="F134" s="31" t="s">
        <v>1078</v>
      </c>
      <c r="G134" s="11" t="s">
        <v>1650</v>
      </c>
      <c r="H134" s="8" t="s">
        <v>151</v>
      </c>
      <c r="I134" s="12" t="s">
        <v>1072</v>
      </c>
      <c r="J134" s="25">
        <v>43608</v>
      </c>
      <c r="K134" s="25">
        <v>44462</v>
      </c>
      <c r="L134" s="26">
        <f t="shared" si="58"/>
        <v>85.000000168986716</v>
      </c>
      <c r="M134" s="40">
        <v>3</v>
      </c>
      <c r="N134" s="11" t="s">
        <v>1469</v>
      </c>
      <c r="O134" s="11" t="s">
        <v>1469</v>
      </c>
      <c r="P134" s="11" t="s">
        <v>174</v>
      </c>
      <c r="Q134" s="11" t="s">
        <v>460</v>
      </c>
      <c r="R134" s="30">
        <f t="shared" si="62"/>
        <v>2514990.63</v>
      </c>
      <c r="S134" s="30">
        <v>2514990.63</v>
      </c>
      <c r="T134" s="34">
        <v>0</v>
      </c>
      <c r="U134" s="1">
        <f t="shared" si="59"/>
        <v>384645.62</v>
      </c>
      <c r="V134" s="81">
        <v>384645.62</v>
      </c>
      <c r="W134" s="42">
        <v>0</v>
      </c>
      <c r="X134" s="1">
        <f t="shared" si="60"/>
        <v>59176.25</v>
      </c>
      <c r="Y134" s="30">
        <v>59176.25</v>
      </c>
      <c r="Z134" s="30">
        <v>0</v>
      </c>
      <c r="AA134" s="2">
        <f t="shared" si="63"/>
        <v>0</v>
      </c>
      <c r="AB134" s="34">
        <v>0</v>
      </c>
      <c r="AC134" s="34">
        <v>0</v>
      </c>
      <c r="AD134" s="16">
        <f t="shared" si="64"/>
        <v>2958812.5</v>
      </c>
      <c r="AE134" s="30">
        <v>0</v>
      </c>
      <c r="AF134" s="2">
        <f t="shared" si="61"/>
        <v>2958812.5</v>
      </c>
      <c r="AG134" s="38" t="s">
        <v>857</v>
      </c>
      <c r="AH134" s="35"/>
      <c r="AI134" s="30">
        <f>81663.7+16254.4+2062406.83-2565.16+19337.36-2397.2+18071.2-2468.57+59069.22-2436.33+151871.2+1232.93</f>
        <v>2400039.5800000005</v>
      </c>
      <c r="AJ134" s="30">
        <f>9110.66+2608.32+315426.93+2565.16+2397.2+2468.57+6188+2436.33+23227.36+636.35</f>
        <v>367064.87999999995</v>
      </c>
    </row>
    <row r="135" spans="1:36" s="179" customFormat="1" ht="141.75" x14ac:dyDescent="0.25">
      <c r="A135" s="6">
        <v>132</v>
      </c>
      <c r="B135" s="31">
        <v>129152</v>
      </c>
      <c r="C135" s="31">
        <v>656</v>
      </c>
      <c r="D135" s="9" t="s">
        <v>1638</v>
      </c>
      <c r="E135" s="82" t="str">
        <f>E134</f>
        <v>CP 12 less/2018</v>
      </c>
      <c r="F135" s="31" t="s">
        <v>1086</v>
      </c>
      <c r="G135" s="31" t="s">
        <v>793</v>
      </c>
      <c r="H135" s="8" t="s">
        <v>151</v>
      </c>
      <c r="I135" s="12" t="s">
        <v>1087</v>
      </c>
      <c r="J135" s="25">
        <v>43621</v>
      </c>
      <c r="K135" s="25">
        <v>44352</v>
      </c>
      <c r="L135" s="26">
        <f t="shared" si="58"/>
        <v>85.000000171199162</v>
      </c>
      <c r="M135" s="40">
        <f>M134</f>
        <v>3</v>
      </c>
      <c r="N135" s="11" t="s">
        <v>1469</v>
      </c>
      <c r="O135" s="11" t="s">
        <v>1469</v>
      </c>
      <c r="P135" s="11" t="s">
        <v>174</v>
      </c>
      <c r="Q135" s="11" t="s">
        <v>460</v>
      </c>
      <c r="R135" s="30">
        <f t="shared" si="62"/>
        <v>2482488.84</v>
      </c>
      <c r="S135" s="30">
        <v>2482488.84</v>
      </c>
      <c r="T135" s="34">
        <v>0</v>
      </c>
      <c r="U135" s="1">
        <f t="shared" si="59"/>
        <v>379674.76</v>
      </c>
      <c r="V135" s="81">
        <v>379674.76</v>
      </c>
      <c r="W135" s="42">
        <v>0</v>
      </c>
      <c r="X135" s="1">
        <f t="shared" si="60"/>
        <v>58411.5</v>
      </c>
      <c r="Y135" s="30">
        <v>58411.5</v>
      </c>
      <c r="Z135" s="30">
        <v>0</v>
      </c>
      <c r="AA135" s="2">
        <f t="shared" si="63"/>
        <v>0</v>
      </c>
      <c r="AB135" s="34">
        <v>0</v>
      </c>
      <c r="AC135" s="34">
        <v>0</v>
      </c>
      <c r="AD135" s="16">
        <f t="shared" si="64"/>
        <v>2920575.0999999996</v>
      </c>
      <c r="AE135" s="30">
        <v>11900</v>
      </c>
      <c r="AF135" s="2">
        <f t="shared" si="61"/>
        <v>2932475.0999999996</v>
      </c>
      <c r="AG135" s="38" t="s">
        <v>857</v>
      </c>
      <c r="AH135" s="35"/>
      <c r="AI135" s="30">
        <f>80009.94+18030.19+9429.9+12478.84+487781.48+546784.53+1249054.82+24937.15</f>
        <v>2428506.85</v>
      </c>
      <c r="AJ135" s="30">
        <f>12236.81+2757.56+1442.22+1908.53+74601.87+83625.87+191031.92+3813.91</f>
        <v>371418.69</v>
      </c>
    </row>
    <row r="136" spans="1:36" s="179" customFormat="1" ht="189" x14ac:dyDescent="0.25">
      <c r="A136" s="6">
        <v>133</v>
      </c>
      <c r="B136" s="31">
        <v>135232</v>
      </c>
      <c r="C136" s="11">
        <v>816</v>
      </c>
      <c r="D136" s="9" t="s">
        <v>1638</v>
      </c>
      <c r="E136" s="24" t="s">
        <v>1441</v>
      </c>
      <c r="F136" s="11" t="s">
        <v>1468</v>
      </c>
      <c r="G136" s="31" t="s">
        <v>793</v>
      </c>
      <c r="H136" s="8" t="s">
        <v>151</v>
      </c>
      <c r="I136" s="12" t="s">
        <v>2671</v>
      </c>
      <c r="J136" s="25">
        <v>43969</v>
      </c>
      <c r="K136" s="25">
        <v>45064</v>
      </c>
      <c r="L136" s="26">
        <f t="shared" si="58"/>
        <v>85</v>
      </c>
      <c r="M136" s="11">
        <v>3</v>
      </c>
      <c r="N136" s="11" t="s">
        <v>1469</v>
      </c>
      <c r="O136" s="11" t="s">
        <v>1469</v>
      </c>
      <c r="P136" s="27" t="s">
        <v>174</v>
      </c>
      <c r="Q136" s="11" t="s">
        <v>34</v>
      </c>
      <c r="R136" s="30">
        <f t="shared" si="62"/>
        <v>2589746</v>
      </c>
      <c r="S136" s="2">
        <v>2589746</v>
      </c>
      <c r="T136" s="2">
        <v>0</v>
      </c>
      <c r="U136" s="1">
        <f t="shared" si="59"/>
        <v>396078.8</v>
      </c>
      <c r="V136" s="28">
        <v>396078.8</v>
      </c>
      <c r="W136" s="28">
        <v>0</v>
      </c>
      <c r="X136" s="1">
        <f t="shared" si="60"/>
        <v>60935.199999999997</v>
      </c>
      <c r="Y136" s="2">
        <v>60935.199999999997</v>
      </c>
      <c r="Z136" s="2">
        <v>0</v>
      </c>
      <c r="AA136" s="2">
        <f t="shared" si="63"/>
        <v>0</v>
      </c>
      <c r="AB136" s="2">
        <v>0</v>
      </c>
      <c r="AC136" s="2">
        <v>0</v>
      </c>
      <c r="AD136" s="16">
        <f t="shared" si="64"/>
        <v>3046760</v>
      </c>
      <c r="AE136" s="30">
        <v>0</v>
      </c>
      <c r="AF136" s="2">
        <f t="shared" si="61"/>
        <v>3046760</v>
      </c>
      <c r="AG136" s="38" t="s">
        <v>486</v>
      </c>
      <c r="AH136" s="38" t="s">
        <v>2202</v>
      </c>
      <c r="AI136" s="30">
        <f>51670.8+45861.75+67740.75+57973.4+510133.45</f>
        <v>733380.15</v>
      </c>
      <c r="AJ136" s="30">
        <f>7902.59+7014.15+10360.35+8866.52+78020.41</f>
        <v>112164.02</v>
      </c>
    </row>
    <row r="137" spans="1:36" s="179" customFormat="1" ht="157.5" x14ac:dyDescent="0.25">
      <c r="A137" s="6">
        <v>134</v>
      </c>
      <c r="B137" s="31">
        <v>151944</v>
      </c>
      <c r="C137" s="11">
        <v>1124</v>
      </c>
      <c r="D137" s="9" t="s">
        <v>1639</v>
      </c>
      <c r="E137" s="24" t="s">
        <v>1801</v>
      </c>
      <c r="F137" s="31" t="s">
        <v>1849</v>
      </c>
      <c r="G137" s="31" t="s">
        <v>1650</v>
      </c>
      <c r="H137" s="11" t="s">
        <v>1828</v>
      </c>
      <c r="I137" s="12" t="s">
        <v>1851</v>
      </c>
      <c r="J137" s="25">
        <v>44498</v>
      </c>
      <c r="K137" s="25">
        <v>44955</v>
      </c>
      <c r="L137" s="26">
        <f t="shared" si="58"/>
        <v>85.000002989355309</v>
      </c>
      <c r="M137" s="11">
        <v>3</v>
      </c>
      <c r="N137" s="11" t="s">
        <v>1469</v>
      </c>
      <c r="O137" s="11" t="s">
        <v>1850</v>
      </c>
      <c r="P137" s="27" t="s">
        <v>174</v>
      </c>
      <c r="Q137" s="11" t="s">
        <v>34</v>
      </c>
      <c r="R137" s="30">
        <f t="shared" si="62"/>
        <v>255908.03</v>
      </c>
      <c r="S137" s="2">
        <v>255908.03</v>
      </c>
      <c r="T137" s="2">
        <v>0</v>
      </c>
      <c r="U137" s="1">
        <f t="shared" si="59"/>
        <v>32497.08</v>
      </c>
      <c r="V137" s="28">
        <v>32497.08</v>
      </c>
      <c r="W137" s="28">
        <v>0</v>
      </c>
      <c r="X137" s="1">
        <f t="shared" si="60"/>
        <v>12663.15</v>
      </c>
      <c r="Y137" s="2">
        <v>12663.15</v>
      </c>
      <c r="Z137" s="2">
        <v>0</v>
      </c>
      <c r="AA137" s="2">
        <f t="shared" si="63"/>
        <v>0</v>
      </c>
      <c r="AB137" s="2">
        <v>0</v>
      </c>
      <c r="AC137" s="2">
        <v>0</v>
      </c>
      <c r="AD137" s="16">
        <f t="shared" si="64"/>
        <v>301068.26</v>
      </c>
      <c r="AE137" s="30">
        <v>0</v>
      </c>
      <c r="AF137" s="2">
        <f t="shared" si="61"/>
        <v>301068.26</v>
      </c>
      <c r="AG137" s="38" t="s">
        <v>486</v>
      </c>
      <c r="AH137" s="35"/>
      <c r="AI137" s="30">
        <f>24900-3094.38+58702.4+13426.89+37172.63</f>
        <v>131107.54</v>
      </c>
      <c r="AJ137" s="30">
        <f>3094.38+8978.02+5685.22</f>
        <v>17757.620000000003</v>
      </c>
    </row>
    <row r="138" spans="1:36" s="179" customFormat="1" ht="157.5" x14ac:dyDescent="0.25">
      <c r="A138" s="6">
        <v>135</v>
      </c>
      <c r="B138" s="31">
        <v>155166</v>
      </c>
      <c r="C138" s="11">
        <v>1210</v>
      </c>
      <c r="D138" s="9" t="s">
        <v>1638</v>
      </c>
      <c r="E138" s="24" t="s">
        <v>2014</v>
      </c>
      <c r="F138" s="31" t="s">
        <v>2223</v>
      </c>
      <c r="G138" s="31" t="s">
        <v>656</v>
      </c>
      <c r="H138" s="8" t="s">
        <v>151</v>
      </c>
      <c r="I138" s="12" t="s">
        <v>2224</v>
      </c>
      <c r="J138" s="25">
        <v>44706</v>
      </c>
      <c r="K138" s="25">
        <v>45194</v>
      </c>
      <c r="L138" s="26">
        <f t="shared" si="58"/>
        <v>84.999999949699884</v>
      </c>
      <c r="M138" s="11">
        <v>3</v>
      </c>
      <c r="N138" s="11" t="s">
        <v>1469</v>
      </c>
      <c r="O138" s="11" t="s">
        <v>1469</v>
      </c>
      <c r="P138" s="27" t="s">
        <v>174</v>
      </c>
      <c r="Q138" s="11" t="s">
        <v>34</v>
      </c>
      <c r="R138" s="30">
        <f t="shared" si="62"/>
        <v>2534785.84</v>
      </c>
      <c r="S138" s="2">
        <v>2534785.84</v>
      </c>
      <c r="T138" s="2">
        <v>0</v>
      </c>
      <c r="U138" s="1">
        <f t="shared" si="59"/>
        <v>387673.13</v>
      </c>
      <c r="V138" s="28">
        <v>387673.13</v>
      </c>
      <c r="W138" s="28">
        <v>0</v>
      </c>
      <c r="X138" s="1">
        <f t="shared" si="60"/>
        <v>59642.02</v>
      </c>
      <c r="Y138" s="2">
        <v>59642.02</v>
      </c>
      <c r="Z138" s="2">
        <v>0</v>
      </c>
      <c r="AA138" s="2">
        <f t="shared" si="63"/>
        <v>0</v>
      </c>
      <c r="AB138" s="2">
        <v>0</v>
      </c>
      <c r="AC138" s="2">
        <v>0</v>
      </c>
      <c r="AD138" s="16">
        <f t="shared" si="64"/>
        <v>2982100.9899999998</v>
      </c>
      <c r="AE138" s="30">
        <v>0</v>
      </c>
      <c r="AF138" s="2">
        <f t="shared" si="61"/>
        <v>2982100.9899999998</v>
      </c>
      <c r="AG138" s="38" t="s">
        <v>486</v>
      </c>
      <c r="AH138" s="35"/>
      <c r="AI138" s="30">
        <v>298210.09000000003</v>
      </c>
      <c r="AJ138" s="30">
        <v>0</v>
      </c>
    </row>
    <row r="139" spans="1:36" s="179" customFormat="1" ht="220.5" x14ac:dyDescent="0.25">
      <c r="A139" s="6">
        <v>136</v>
      </c>
      <c r="B139" s="31">
        <v>120791</v>
      </c>
      <c r="C139" s="11">
        <v>88</v>
      </c>
      <c r="D139" s="9" t="s">
        <v>1638</v>
      </c>
      <c r="E139" s="24" t="s">
        <v>277</v>
      </c>
      <c r="F139" s="11" t="s">
        <v>282</v>
      </c>
      <c r="G139" s="11" t="s">
        <v>1659</v>
      </c>
      <c r="H139" s="27" t="s">
        <v>283</v>
      </c>
      <c r="I139" s="45" t="s">
        <v>284</v>
      </c>
      <c r="J139" s="25">
        <v>43180</v>
      </c>
      <c r="K139" s="25">
        <v>43667</v>
      </c>
      <c r="L139" s="26">
        <f t="shared" ref="L139:L145" si="65">R139/AD139*100</f>
        <v>84.174275146898083</v>
      </c>
      <c r="M139" s="11">
        <v>5</v>
      </c>
      <c r="N139" s="11" t="s">
        <v>285</v>
      </c>
      <c r="O139" s="11" t="s">
        <v>286</v>
      </c>
      <c r="P139" s="27" t="s">
        <v>174</v>
      </c>
      <c r="Q139" s="11" t="s">
        <v>34</v>
      </c>
      <c r="R139" s="1">
        <f t="shared" ref="R139:R145" si="66">S139+T139</f>
        <v>316573.06</v>
      </c>
      <c r="S139" s="2">
        <v>316573.06</v>
      </c>
      <c r="T139" s="2">
        <v>0</v>
      </c>
      <c r="U139" s="1">
        <f t="shared" si="59"/>
        <v>51997.5</v>
      </c>
      <c r="V139" s="28">
        <v>51997.5</v>
      </c>
      <c r="W139" s="28">
        <v>0</v>
      </c>
      <c r="X139" s="1">
        <f t="shared" si="60"/>
        <v>7521.85</v>
      </c>
      <c r="Y139" s="2">
        <v>7521.85</v>
      </c>
      <c r="Z139" s="2">
        <v>0</v>
      </c>
      <c r="AA139" s="2">
        <f t="shared" ref="AA139:AA145" si="67">AB139+AC139</f>
        <v>0</v>
      </c>
      <c r="AB139" s="2">
        <v>0</v>
      </c>
      <c r="AC139" s="2">
        <v>0</v>
      </c>
      <c r="AD139" s="16">
        <f t="shared" si="64"/>
        <v>376092.41</v>
      </c>
      <c r="AE139" s="2">
        <v>0</v>
      </c>
      <c r="AF139" s="2">
        <f t="shared" ref="AF139:AF145" si="68">AD139+AE139</f>
        <v>376092.41</v>
      </c>
      <c r="AG139" s="21" t="s">
        <v>857</v>
      </c>
      <c r="AH139" s="29" t="s">
        <v>151</v>
      </c>
      <c r="AI139" s="30">
        <v>249647.94000000006</v>
      </c>
      <c r="AJ139" s="30">
        <v>41012.170000000006</v>
      </c>
    </row>
    <row r="140" spans="1:36" s="179" customFormat="1" ht="189" x14ac:dyDescent="0.25">
      <c r="A140" s="6">
        <v>137</v>
      </c>
      <c r="B140" s="11">
        <v>128386</v>
      </c>
      <c r="C140" s="11">
        <v>657</v>
      </c>
      <c r="D140" s="9" t="s">
        <v>1638</v>
      </c>
      <c r="E140" s="82" t="s">
        <v>1071</v>
      </c>
      <c r="F140" s="11" t="s">
        <v>1076</v>
      </c>
      <c r="G140" s="83" t="s">
        <v>1473</v>
      </c>
      <c r="H140" s="8" t="s">
        <v>151</v>
      </c>
      <c r="I140" s="84" t="s">
        <v>2672</v>
      </c>
      <c r="J140" s="25">
        <v>43613</v>
      </c>
      <c r="K140" s="25">
        <v>45074</v>
      </c>
      <c r="L140" s="26">
        <f t="shared" si="65"/>
        <v>84.999999962468991</v>
      </c>
      <c r="M140" s="11">
        <v>5</v>
      </c>
      <c r="N140" s="11" t="s">
        <v>285</v>
      </c>
      <c r="O140" s="85" t="s">
        <v>1077</v>
      </c>
      <c r="P140" s="27" t="s">
        <v>174</v>
      </c>
      <c r="Q140" s="11" t="s">
        <v>34</v>
      </c>
      <c r="R140" s="1">
        <f t="shared" si="66"/>
        <v>3397190.5700000003</v>
      </c>
      <c r="S140" s="2">
        <v>3397190.5700000003</v>
      </c>
      <c r="T140" s="2">
        <v>0</v>
      </c>
      <c r="U140" s="1">
        <f t="shared" si="59"/>
        <v>519570.32000000007</v>
      </c>
      <c r="V140" s="28">
        <v>519570.32000000007</v>
      </c>
      <c r="W140" s="28">
        <v>0</v>
      </c>
      <c r="X140" s="1">
        <f t="shared" si="60"/>
        <v>79933.900000000009</v>
      </c>
      <c r="Y140" s="2">
        <v>79933.900000000009</v>
      </c>
      <c r="Z140" s="2">
        <v>0</v>
      </c>
      <c r="AA140" s="2">
        <f t="shared" si="67"/>
        <v>0</v>
      </c>
      <c r="AB140" s="2">
        <v>0</v>
      </c>
      <c r="AC140" s="2">
        <v>0</v>
      </c>
      <c r="AD140" s="16">
        <f t="shared" si="64"/>
        <v>3996694.7900000005</v>
      </c>
      <c r="AE140" s="2">
        <v>78502.27</v>
      </c>
      <c r="AF140" s="2">
        <f t="shared" si="68"/>
        <v>4075197.0600000005</v>
      </c>
      <c r="AG140" s="38" t="s">
        <v>486</v>
      </c>
      <c r="AH140" s="29" t="s">
        <v>2375</v>
      </c>
      <c r="AI140" s="30">
        <f>361593.44+96748.7+399669-26609.64-12754.89+399669-50426.81+380140.61</f>
        <v>1548029.4099999997</v>
      </c>
      <c r="AJ140" s="30">
        <f>55302.51+14796.86+26609.64+28495.74+50426.81</f>
        <v>175631.56</v>
      </c>
    </row>
    <row r="141" spans="1:36" s="179" customFormat="1" ht="130.5" customHeight="1" x14ac:dyDescent="0.25">
      <c r="A141" s="6">
        <v>138</v>
      </c>
      <c r="B141" s="11">
        <v>128739</v>
      </c>
      <c r="C141" s="11">
        <v>630</v>
      </c>
      <c r="D141" s="9" t="s">
        <v>1638</v>
      </c>
      <c r="E141" s="82" t="s">
        <v>1071</v>
      </c>
      <c r="F141" s="31" t="s">
        <v>1140</v>
      </c>
      <c r="G141" s="11" t="s">
        <v>1659</v>
      </c>
      <c r="H141" s="8" t="s">
        <v>151</v>
      </c>
      <c r="I141" s="84" t="s">
        <v>2673</v>
      </c>
      <c r="J141" s="25">
        <v>43654</v>
      </c>
      <c r="K141" s="25">
        <v>44965</v>
      </c>
      <c r="L141" s="26">
        <f t="shared" si="65"/>
        <v>85.000000167824169</v>
      </c>
      <c r="M141" s="11">
        <v>5</v>
      </c>
      <c r="N141" s="11" t="s">
        <v>285</v>
      </c>
      <c r="O141" s="11" t="s">
        <v>286</v>
      </c>
      <c r="P141" s="27" t="s">
        <v>174</v>
      </c>
      <c r="Q141" s="11" t="s">
        <v>34</v>
      </c>
      <c r="R141" s="1">
        <f t="shared" si="66"/>
        <v>2532412.23</v>
      </c>
      <c r="S141" s="2">
        <v>2532412.23</v>
      </c>
      <c r="T141" s="2">
        <v>0</v>
      </c>
      <c r="U141" s="1">
        <f t="shared" si="59"/>
        <v>387310.1</v>
      </c>
      <c r="V141" s="28">
        <v>387310.1</v>
      </c>
      <c r="W141" s="28">
        <v>0</v>
      </c>
      <c r="X141" s="1">
        <f t="shared" si="60"/>
        <v>59586.17</v>
      </c>
      <c r="Y141" s="2">
        <v>59586.17</v>
      </c>
      <c r="Z141" s="2">
        <v>0</v>
      </c>
      <c r="AA141" s="2">
        <f t="shared" si="67"/>
        <v>0</v>
      </c>
      <c r="AB141" s="2">
        <v>0</v>
      </c>
      <c r="AC141" s="2">
        <v>0</v>
      </c>
      <c r="AD141" s="16">
        <f t="shared" si="64"/>
        <v>2979308.5</v>
      </c>
      <c r="AE141" s="2">
        <v>0</v>
      </c>
      <c r="AF141" s="2">
        <f t="shared" si="68"/>
        <v>2979308.5</v>
      </c>
      <c r="AG141" s="38" t="s">
        <v>486</v>
      </c>
      <c r="AH141" s="29" t="s">
        <v>3265</v>
      </c>
      <c r="AI141" s="30">
        <f>61209.43-1190.67+16783.71+51674+5984.38+156268</f>
        <v>290728.84999999998</v>
      </c>
      <c r="AJ141" s="30">
        <f>4447.07+1190.67+6108.52+8818.34</f>
        <v>20564.599999999999</v>
      </c>
    </row>
    <row r="142" spans="1:36" s="179" customFormat="1" ht="130.5" customHeight="1" x14ac:dyDescent="0.25">
      <c r="A142" s="6">
        <v>139</v>
      </c>
      <c r="B142" s="11">
        <v>135523</v>
      </c>
      <c r="C142" s="11">
        <v>831</v>
      </c>
      <c r="D142" s="9" t="s">
        <v>1638</v>
      </c>
      <c r="E142" s="24" t="s">
        <v>1441</v>
      </c>
      <c r="F142" s="31" t="s">
        <v>1471</v>
      </c>
      <c r="G142" s="83" t="s">
        <v>1473</v>
      </c>
      <c r="H142" s="11" t="s">
        <v>1472</v>
      </c>
      <c r="I142" s="12" t="s">
        <v>2674</v>
      </c>
      <c r="J142" s="25">
        <v>43969</v>
      </c>
      <c r="K142" s="25">
        <v>45064</v>
      </c>
      <c r="L142" s="26">
        <f t="shared" si="65"/>
        <v>85.000000126847326</v>
      </c>
      <c r="M142" s="11">
        <v>5</v>
      </c>
      <c r="N142" s="11" t="s">
        <v>285</v>
      </c>
      <c r="O142" s="11" t="s">
        <v>1473</v>
      </c>
      <c r="P142" s="27" t="s">
        <v>174</v>
      </c>
      <c r="Q142" s="11" t="s">
        <v>34</v>
      </c>
      <c r="R142" s="1">
        <f>S142+T142</f>
        <v>3350484.53</v>
      </c>
      <c r="S142" s="2">
        <v>3350484.53</v>
      </c>
      <c r="T142" s="2">
        <v>0</v>
      </c>
      <c r="U142" s="1">
        <f t="shared" si="59"/>
        <v>512427.03</v>
      </c>
      <c r="V142" s="28">
        <v>512427.03</v>
      </c>
      <c r="W142" s="28">
        <v>0</v>
      </c>
      <c r="X142" s="1">
        <f t="shared" si="60"/>
        <v>78834.94</v>
      </c>
      <c r="Y142" s="2">
        <v>78834.94</v>
      </c>
      <c r="Z142" s="2">
        <v>0</v>
      </c>
      <c r="AA142" s="2">
        <f t="shared" si="67"/>
        <v>0</v>
      </c>
      <c r="AB142" s="2">
        <v>0</v>
      </c>
      <c r="AC142" s="2">
        <v>0</v>
      </c>
      <c r="AD142" s="16">
        <f t="shared" si="64"/>
        <v>3941746.4999999995</v>
      </c>
      <c r="AE142" s="2">
        <v>0</v>
      </c>
      <c r="AF142" s="2">
        <f t="shared" si="68"/>
        <v>3941746.4999999995</v>
      </c>
      <c r="AG142" s="38" t="s">
        <v>486</v>
      </c>
      <c r="AH142" s="29" t="s">
        <v>2545</v>
      </c>
      <c r="AI142" s="30">
        <f>226408.43-15004.21+54632.06+92434.65+226408.43+163483.98+81420.63+335505.45</f>
        <v>1165289.4200000002</v>
      </c>
      <c r="AJ142" s="30">
        <f>15004.21+39820.75+54121.31+17961.87</f>
        <v>126908.13999999998</v>
      </c>
    </row>
    <row r="143" spans="1:36" s="179" customFormat="1" ht="130.5" customHeight="1" x14ac:dyDescent="0.25">
      <c r="A143" s="6">
        <v>140</v>
      </c>
      <c r="B143" s="11">
        <v>136349</v>
      </c>
      <c r="C143" s="11">
        <v>834</v>
      </c>
      <c r="D143" s="9" t="s">
        <v>1638</v>
      </c>
      <c r="E143" s="24" t="s">
        <v>1441</v>
      </c>
      <c r="F143" s="31" t="s">
        <v>1485</v>
      </c>
      <c r="G143" s="11" t="s">
        <v>1659</v>
      </c>
      <c r="H143" s="8" t="s">
        <v>151</v>
      </c>
      <c r="I143" s="12" t="s">
        <v>2675</v>
      </c>
      <c r="J143" s="25">
        <v>43969</v>
      </c>
      <c r="K143" s="25">
        <v>44883</v>
      </c>
      <c r="L143" s="26">
        <f t="shared" si="65"/>
        <v>85</v>
      </c>
      <c r="M143" s="11">
        <v>5</v>
      </c>
      <c r="N143" s="11" t="s">
        <v>285</v>
      </c>
      <c r="O143" s="11" t="s">
        <v>286</v>
      </c>
      <c r="P143" s="27" t="s">
        <v>174</v>
      </c>
      <c r="Q143" s="11" t="s">
        <v>34</v>
      </c>
      <c r="R143" s="1">
        <f t="shared" si="66"/>
        <v>2447700.7999999998</v>
      </c>
      <c r="S143" s="2">
        <v>2447700.7999999998</v>
      </c>
      <c r="T143" s="2">
        <v>0</v>
      </c>
      <c r="U143" s="1">
        <f>V143+W143</f>
        <v>374354.24</v>
      </c>
      <c r="V143" s="28">
        <v>374354.24</v>
      </c>
      <c r="W143" s="28">
        <v>0</v>
      </c>
      <c r="X143" s="1">
        <f t="shared" si="60"/>
        <v>57592.959999999999</v>
      </c>
      <c r="Y143" s="2">
        <v>57592.959999999999</v>
      </c>
      <c r="Z143" s="2">
        <v>0</v>
      </c>
      <c r="AA143" s="2">
        <f t="shared" si="67"/>
        <v>0</v>
      </c>
      <c r="AB143" s="2">
        <v>0</v>
      </c>
      <c r="AC143" s="2">
        <v>0</v>
      </c>
      <c r="AD143" s="16">
        <f t="shared" si="64"/>
        <v>2879648</v>
      </c>
      <c r="AE143" s="2">
        <v>0</v>
      </c>
      <c r="AF143" s="2">
        <f t="shared" si="68"/>
        <v>2879648</v>
      </c>
      <c r="AG143" s="38" t="s">
        <v>486</v>
      </c>
      <c r="AH143" s="29" t="s">
        <v>151</v>
      </c>
      <c r="AI143" s="30">
        <f>85000+81913.12-6938.61+68223.46</f>
        <v>228197.97000000003</v>
      </c>
      <c r="AJ143" s="30">
        <f>16086.88+6938.61+11875.37</f>
        <v>34900.86</v>
      </c>
    </row>
    <row r="144" spans="1:36" s="179" customFormat="1" ht="130.5" customHeight="1" x14ac:dyDescent="0.25">
      <c r="A144" s="6">
        <v>141</v>
      </c>
      <c r="B144" s="11">
        <v>135786</v>
      </c>
      <c r="C144" s="11">
        <v>818</v>
      </c>
      <c r="D144" s="9" t="s">
        <v>1638</v>
      </c>
      <c r="E144" s="24" t="s">
        <v>1441</v>
      </c>
      <c r="F144" s="31" t="s">
        <v>1593</v>
      </c>
      <c r="G144" s="31" t="s">
        <v>1592</v>
      </c>
      <c r="H144" s="8" t="s">
        <v>151</v>
      </c>
      <c r="I144" s="12" t="s">
        <v>2676</v>
      </c>
      <c r="J144" s="25">
        <v>44035</v>
      </c>
      <c r="K144" s="25">
        <v>44765</v>
      </c>
      <c r="L144" s="26">
        <f t="shared" si="65"/>
        <v>84.999999898090948</v>
      </c>
      <c r="M144" s="11">
        <v>5</v>
      </c>
      <c r="N144" s="11" t="s">
        <v>285</v>
      </c>
      <c r="O144" s="11" t="s">
        <v>286</v>
      </c>
      <c r="P144" s="27" t="s">
        <v>174</v>
      </c>
      <c r="Q144" s="11" t="s">
        <v>34</v>
      </c>
      <c r="R144" s="1">
        <f t="shared" si="66"/>
        <v>2502231</v>
      </c>
      <c r="S144" s="2">
        <v>2502231</v>
      </c>
      <c r="T144" s="2">
        <v>0</v>
      </c>
      <c r="U144" s="1">
        <f>V144+W144</f>
        <v>382694.15</v>
      </c>
      <c r="V144" s="28">
        <v>382694.15</v>
      </c>
      <c r="W144" s="28">
        <v>0</v>
      </c>
      <c r="X144" s="1">
        <f t="shared" si="60"/>
        <v>58876.03</v>
      </c>
      <c r="Y144" s="2">
        <v>58876.03</v>
      </c>
      <c r="Z144" s="2">
        <v>0</v>
      </c>
      <c r="AA144" s="2">
        <f t="shared" si="67"/>
        <v>0</v>
      </c>
      <c r="AB144" s="2">
        <v>0</v>
      </c>
      <c r="AC144" s="2">
        <v>0</v>
      </c>
      <c r="AD144" s="16">
        <f t="shared" si="64"/>
        <v>2943801.1799999997</v>
      </c>
      <c r="AE144" s="2">
        <v>0</v>
      </c>
      <c r="AF144" s="2">
        <f t="shared" si="68"/>
        <v>2943801.1799999997</v>
      </c>
      <c r="AG144" s="38" t="s">
        <v>857</v>
      </c>
      <c r="AH144" s="29" t="s">
        <v>151</v>
      </c>
      <c r="AI144" s="30">
        <f>155929.74+96350.05+226793.38+174305.99+318622.5+217396.4+318622.5</f>
        <v>1508020.5599999998</v>
      </c>
      <c r="AJ144" s="30">
        <f>23848.08+14735.89+34686.04+26658.56+48730.5+33248.86+48730.5</f>
        <v>230638.43</v>
      </c>
    </row>
    <row r="145" spans="1:36" s="179" customFormat="1" ht="130.5" customHeight="1" x14ac:dyDescent="0.25">
      <c r="A145" s="6">
        <v>142</v>
      </c>
      <c r="B145" s="11">
        <v>154621</v>
      </c>
      <c r="C145" s="11">
        <v>1243</v>
      </c>
      <c r="D145" s="9" t="s">
        <v>1638</v>
      </c>
      <c r="E145" s="24" t="s">
        <v>2014</v>
      </c>
      <c r="F145" s="31" t="s">
        <v>2217</v>
      </c>
      <c r="G145" s="31" t="s">
        <v>2216</v>
      </c>
      <c r="H145" s="8" t="s">
        <v>151</v>
      </c>
      <c r="I145" s="12" t="s">
        <v>2677</v>
      </c>
      <c r="J145" s="25">
        <v>44700</v>
      </c>
      <c r="K145" s="25">
        <v>45188</v>
      </c>
      <c r="L145" s="26">
        <f t="shared" si="65"/>
        <v>85.000000644961489</v>
      </c>
      <c r="M145" s="11">
        <v>5</v>
      </c>
      <c r="N145" s="11" t="s">
        <v>285</v>
      </c>
      <c r="O145" s="11" t="s">
        <v>286</v>
      </c>
      <c r="P145" s="27" t="s">
        <v>174</v>
      </c>
      <c r="Q145" s="11" t="s">
        <v>34</v>
      </c>
      <c r="R145" s="1">
        <f t="shared" si="66"/>
        <v>1515594.39</v>
      </c>
      <c r="S145" s="2">
        <v>1515594.39</v>
      </c>
      <c r="T145" s="2">
        <v>0</v>
      </c>
      <c r="U145" s="1">
        <f>V145+W145</f>
        <v>231796.78</v>
      </c>
      <c r="V145" s="28">
        <v>231796.78</v>
      </c>
      <c r="W145" s="28">
        <v>0</v>
      </c>
      <c r="X145" s="1">
        <f t="shared" si="60"/>
        <v>35661.040000000001</v>
      </c>
      <c r="Y145" s="2">
        <v>35661.040000000001</v>
      </c>
      <c r="Z145" s="2">
        <v>0</v>
      </c>
      <c r="AA145" s="2">
        <f t="shared" si="67"/>
        <v>0</v>
      </c>
      <c r="AB145" s="2">
        <v>0</v>
      </c>
      <c r="AC145" s="2">
        <v>0</v>
      </c>
      <c r="AD145" s="16">
        <f t="shared" si="64"/>
        <v>1783052.21</v>
      </c>
      <c r="AE145" s="2">
        <v>0</v>
      </c>
      <c r="AF145" s="2">
        <f t="shared" si="68"/>
        <v>1783052.21</v>
      </c>
      <c r="AG145" s="38" t="s">
        <v>486</v>
      </c>
      <c r="AH145" s="29" t="s">
        <v>151</v>
      </c>
      <c r="AI145" s="30">
        <v>178305.21</v>
      </c>
      <c r="AJ145" s="30">
        <v>0</v>
      </c>
    </row>
    <row r="146" spans="1:36" s="179" customFormat="1" ht="220.5" x14ac:dyDescent="0.25">
      <c r="A146" s="6">
        <v>143</v>
      </c>
      <c r="B146" s="31">
        <v>120583</v>
      </c>
      <c r="C146" s="11">
        <v>77</v>
      </c>
      <c r="D146" s="9" t="s">
        <v>1638</v>
      </c>
      <c r="E146" s="24" t="s">
        <v>277</v>
      </c>
      <c r="F146" s="11" t="s">
        <v>176</v>
      </c>
      <c r="G146" s="11" t="s">
        <v>947</v>
      </c>
      <c r="H146" s="8" t="s">
        <v>151</v>
      </c>
      <c r="I146" s="46" t="s">
        <v>180</v>
      </c>
      <c r="J146" s="25">
        <v>43126</v>
      </c>
      <c r="K146" s="25">
        <v>43369</v>
      </c>
      <c r="L146" s="26">
        <f t="shared" ref="L146:L162" si="69">R146/AD146*100</f>
        <v>84.999999763641128</v>
      </c>
      <c r="M146" s="11">
        <v>6</v>
      </c>
      <c r="N146" s="11" t="s">
        <v>182</v>
      </c>
      <c r="O146" s="11" t="s">
        <v>183</v>
      </c>
      <c r="P146" s="27" t="s">
        <v>174</v>
      </c>
      <c r="Q146" s="11" t="s">
        <v>34</v>
      </c>
      <c r="R146" s="1">
        <f t="shared" ref="R146:R162" si="70">S146+T146</f>
        <v>359622.64</v>
      </c>
      <c r="S146" s="2">
        <v>359622.64</v>
      </c>
      <c r="T146" s="2">
        <v>0</v>
      </c>
      <c r="U146" s="1">
        <f t="shared" ref="U146:U160" si="71">V146+W146</f>
        <v>55001.11</v>
      </c>
      <c r="V146" s="28">
        <v>55001.11</v>
      </c>
      <c r="W146" s="28">
        <v>0</v>
      </c>
      <c r="X146" s="1">
        <f t="shared" ref="X146:X162" si="72">Y146+Z146</f>
        <v>8461.7099999999991</v>
      </c>
      <c r="Y146" s="2">
        <v>8461.7099999999991</v>
      </c>
      <c r="Z146" s="2">
        <v>0</v>
      </c>
      <c r="AA146" s="2">
        <f t="shared" ref="AA146:AA162" si="73">AB146+AC146</f>
        <v>0</v>
      </c>
      <c r="AB146" s="2">
        <v>0</v>
      </c>
      <c r="AC146" s="2">
        <v>0</v>
      </c>
      <c r="AD146" s="16">
        <f t="shared" si="64"/>
        <v>423085.46</v>
      </c>
      <c r="AE146" s="2">
        <v>0</v>
      </c>
      <c r="AF146" s="2">
        <f t="shared" ref="AF146:AF162" si="74">AD146+AE146</f>
        <v>423085.46</v>
      </c>
      <c r="AG146" s="21" t="s">
        <v>857</v>
      </c>
      <c r="AH146" s="29" t="s">
        <v>151</v>
      </c>
      <c r="AI146" s="30">
        <v>300081.25</v>
      </c>
      <c r="AJ146" s="30">
        <v>45894.78</v>
      </c>
    </row>
    <row r="147" spans="1:36" s="179" customFormat="1" ht="141.75" x14ac:dyDescent="0.25">
      <c r="A147" s="6">
        <v>144</v>
      </c>
      <c r="B147" s="31">
        <v>110080</v>
      </c>
      <c r="C147" s="11">
        <v>118</v>
      </c>
      <c r="D147" s="9" t="s">
        <v>1638</v>
      </c>
      <c r="E147" s="24" t="s">
        <v>277</v>
      </c>
      <c r="F147" s="11" t="s">
        <v>256</v>
      </c>
      <c r="G147" s="11" t="s">
        <v>257</v>
      </c>
      <c r="H147" s="8" t="s">
        <v>151</v>
      </c>
      <c r="I147" s="12" t="s">
        <v>258</v>
      </c>
      <c r="J147" s="25">
        <v>43171</v>
      </c>
      <c r="K147" s="25">
        <v>43658</v>
      </c>
      <c r="L147" s="26">
        <f t="shared" si="69"/>
        <v>84.9999996799977</v>
      </c>
      <c r="M147" s="11">
        <v>6</v>
      </c>
      <c r="N147" s="11" t="s">
        <v>182</v>
      </c>
      <c r="O147" s="11" t="s">
        <v>394</v>
      </c>
      <c r="P147" s="27" t="s">
        <v>174</v>
      </c>
      <c r="Q147" s="11" t="s">
        <v>34</v>
      </c>
      <c r="R147" s="1">
        <f t="shared" si="70"/>
        <v>531246.18999999994</v>
      </c>
      <c r="S147" s="2">
        <v>531246.18999999994</v>
      </c>
      <c r="T147" s="2">
        <v>0</v>
      </c>
      <c r="U147" s="1">
        <f t="shared" si="71"/>
        <v>81249.41</v>
      </c>
      <c r="V147" s="28">
        <v>81249.41</v>
      </c>
      <c r="W147" s="28">
        <v>0</v>
      </c>
      <c r="X147" s="1">
        <f t="shared" si="72"/>
        <v>12499.92</v>
      </c>
      <c r="Y147" s="2">
        <v>12499.92</v>
      </c>
      <c r="Z147" s="2">
        <v>0</v>
      </c>
      <c r="AA147" s="2">
        <f t="shared" si="73"/>
        <v>0</v>
      </c>
      <c r="AB147" s="2">
        <v>0</v>
      </c>
      <c r="AC147" s="2">
        <v>0</v>
      </c>
      <c r="AD147" s="16">
        <f t="shared" si="64"/>
        <v>624995.52</v>
      </c>
      <c r="AE147" s="2">
        <v>0</v>
      </c>
      <c r="AF147" s="2">
        <f t="shared" si="74"/>
        <v>624995.52</v>
      </c>
      <c r="AG147" s="21" t="s">
        <v>857</v>
      </c>
      <c r="AH147" s="29" t="s">
        <v>151</v>
      </c>
      <c r="AI147" s="30">
        <v>425198.5</v>
      </c>
      <c r="AJ147" s="30">
        <v>65030.360000000015</v>
      </c>
    </row>
    <row r="148" spans="1:36" s="179" customFormat="1" ht="204.75" x14ac:dyDescent="0.25">
      <c r="A148" s="6">
        <v>145</v>
      </c>
      <c r="B148" s="31">
        <v>120588</v>
      </c>
      <c r="C148" s="11">
        <v>104</v>
      </c>
      <c r="D148" s="9" t="s">
        <v>1638</v>
      </c>
      <c r="E148" s="24" t="s">
        <v>277</v>
      </c>
      <c r="F148" s="11" t="s">
        <v>326</v>
      </c>
      <c r="G148" s="11" t="s">
        <v>1651</v>
      </c>
      <c r="H148" s="8" t="s">
        <v>151</v>
      </c>
      <c r="I148" s="12" t="s">
        <v>327</v>
      </c>
      <c r="J148" s="25">
        <v>43201</v>
      </c>
      <c r="K148" s="25">
        <v>43749</v>
      </c>
      <c r="L148" s="26">
        <f t="shared" si="69"/>
        <v>85.000000000000014</v>
      </c>
      <c r="M148" s="11">
        <v>6</v>
      </c>
      <c r="N148" s="11" t="s">
        <v>182</v>
      </c>
      <c r="O148" s="11" t="s">
        <v>394</v>
      </c>
      <c r="P148" s="27" t="s">
        <v>174</v>
      </c>
      <c r="Q148" s="11" t="s">
        <v>34</v>
      </c>
      <c r="R148" s="1">
        <f t="shared" si="70"/>
        <v>354701.26</v>
      </c>
      <c r="S148" s="2">
        <v>354701.26</v>
      </c>
      <c r="T148" s="2">
        <v>0</v>
      </c>
      <c r="U148" s="1">
        <f t="shared" si="71"/>
        <v>54248.43</v>
      </c>
      <c r="V148" s="28">
        <v>54248.43</v>
      </c>
      <c r="W148" s="28">
        <v>0</v>
      </c>
      <c r="X148" s="1">
        <f t="shared" si="72"/>
        <v>8345.91</v>
      </c>
      <c r="Y148" s="2">
        <v>8345.91</v>
      </c>
      <c r="Z148" s="2">
        <v>0</v>
      </c>
      <c r="AA148" s="2">
        <f t="shared" si="73"/>
        <v>0</v>
      </c>
      <c r="AB148" s="2">
        <v>0</v>
      </c>
      <c r="AC148" s="2">
        <v>0</v>
      </c>
      <c r="AD148" s="16">
        <f t="shared" si="64"/>
        <v>417295.6</v>
      </c>
      <c r="AE148" s="2">
        <v>0</v>
      </c>
      <c r="AF148" s="2">
        <f t="shared" si="74"/>
        <v>417295.6</v>
      </c>
      <c r="AG148" s="21" t="s">
        <v>857</v>
      </c>
      <c r="AH148" s="29" t="s">
        <v>1047</v>
      </c>
      <c r="AI148" s="30">
        <v>329554.89999999997</v>
      </c>
      <c r="AJ148" s="30">
        <v>50402.509999999987</v>
      </c>
    </row>
    <row r="149" spans="1:36" s="179" customFormat="1" ht="207" customHeight="1" x14ac:dyDescent="0.25">
      <c r="A149" s="6">
        <v>146</v>
      </c>
      <c r="B149" s="31">
        <v>126485</v>
      </c>
      <c r="C149" s="11">
        <v>546</v>
      </c>
      <c r="D149" s="9" t="s">
        <v>1638</v>
      </c>
      <c r="E149" s="24" t="s">
        <v>899</v>
      </c>
      <c r="F149" s="11" t="s">
        <v>2137</v>
      </c>
      <c r="G149" s="11" t="s">
        <v>947</v>
      </c>
      <c r="H149" s="8" t="s">
        <v>151</v>
      </c>
      <c r="I149" s="12" t="s">
        <v>2678</v>
      </c>
      <c r="J149" s="25">
        <v>43455</v>
      </c>
      <c r="K149" s="25">
        <v>44398</v>
      </c>
      <c r="L149" s="26">
        <f t="shared" si="69"/>
        <v>85</v>
      </c>
      <c r="M149" s="11">
        <v>6</v>
      </c>
      <c r="N149" s="11" t="s">
        <v>182</v>
      </c>
      <c r="O149" s="11" t="s">
        <v>183</v>
      </c>
      <c r="P149" s="27" t="s">
        <v>174</v>
      </c>
      <c r="Q149" s="11" t="s">
        <v>34</v>
      </c>
      <c r="R149" s="1">
        <f t="shared" si="70"/>
        <v>3257796.87</v>
      </c>
      <c r="S149" s="2">
        <v>3257796.87</v>
      </c>
      <c r="T149" s="2">
        <v>0</v>
      </c>
      <c r="U149" s="1">
        <f t="shared" si="71"/>
        <v>498251.29</v>
      </c>
      <c r="V149" s="28">
        <v>498251.29</v>
      </c>
      <c r="W149" s="28">
        <v>0</v>
      </c>
      <c r="X149" s="1">
        <f t="shared" si="72"/>
        <v>76654.039999999994</v>
      </c>
      <c r="Y149" s="2">
        <v>76654.039999999994</v>
      </c>
      <c r="Z149" s="2">
        <v>0</v>
      </c>
      <c r="AA149" s="2">
        <f t="shared" si="73"/>
        <v>0</v>
      </c>
      <c r="AB149" s="2">
        <v>0</v>
      </c>
      <c r="AC149" s="2">
        <v>0</v>
      </c>
      <c r="AD149" s="16">
        <f t="shared" si="64"/>
        <v>3832702.2</v>
      </c>
      <c r="AE149" s="2"/>
      <c r="AF149" s="2">
        <f t="shared" si="74"/>
        <v>3832702.2</v>
      </c>
      <c r="AG149" s="38" t="s">
        <v>857</v>
      </c>
      <c r="AH149" s="29" t="s">
        <v>1754</v>
      </c>
      <c r="AI149" s="30">
        <f>526834.95+248284.81+380000+318918.04+380000-24455.26+1290656.83</f>
        <v>3120239.37</v>
      </c>
      <c r="AJ149" s="30">
        <f>80574.74+37972.97+106893.35+24455.26+227316.75</f>
        <v>477213.07</v>
      </c>
    </row>
    <row r="150" spans="1:36" s="179" customFormat="1" ht="240.75" customHeight="1" x14ac:dyDescent="0.25">
      <c r="A150" s="6">
        <v>147</v>
      </c>
      <c r="B150" s="31">
        <v>126214</v>
      </c>
      <c r="C150" s="11">
        <v>527</v>
      </c>
      <c r="D150" s="9" t="s">
        <v>1638</v>
      </c>
      <c r="E150" s="24" t="s">
        <v>899</v>
      </c>
      <c r="F150" s="11" t="s">
        <v>975</v>
      </c>
      <c r="G150" s="11" t="s">
        <v>1652</v>
      </c>
      <c r="H150" s="8" t="s">
        <v>151</v>
      </c>
      <c r="I150" s="12" t="s">
        <v>976</v>
      </c>
      <c r="J150" s="25">
        <v>43507</v>
      </c>
      <c r="K150" s="25">
        <v>45057</v>
      </c>
      <c r="L150" s="26">
        <f t="shared" si="69"/>
        <v>85.000000000000014</v>
      </c>
      <c r="M150" s="11">
        <v>6</v>
      </c>
      <c r="N150" s="11" t="s">
        <v>182</v>
      </c>
      <c r="O150" s="11" t="s">
        <v>394</v>
      </c>
      <c r="P150" s="27" t="s">
        <v>174</v>
      </c>
      <c r="Q150" s="11" t="s">
        <v>34</v>
      </c>
      <c r="R150" s="1">
        <f t="shared" si="70"/>
        <v>3316506.2</v>
      </c>
      <c r="S150" s="2">
        <v>3316506.2</v>
      </c>
      <c r="T150" s="2">
        <v>0</v>
      </c>
      <c r="U150" s="1">
        <f t="shared" si="71"/>
        <v>507230.36</v>
      </c>
      <c r="V150" s="28">
        <v>507230.36</v>
      </c>
      <c r="W150" s="28">
        <v>0</v>
      </c>
      <c r="X150" s="1">
        <f t="shared" si="72"/>
        <v>78035.44</v>
      </c>
      <c r="Y150" s="2">
        <v>78035.44</v>
      </c>
      <c r="Z150" s="2">
        <v>0</v>
      </c>
      <c r="AA150" s="2">
        <f t="shared" si="73"/>
        <v>0</v>
      </c>
      <c r="AB150" s="2">
        <v>0</v>
      </c>
      <c r="AC150" s="2">
        <v>0</v>
      </c>
      <c r="AD150" s="16">
        <f t="shared" si="64"/>
        <v>3901772</v>
      </c>
      <c r="AE150" s="2">
        <v>0</v>
      </c>
      <c r="AF150" s="2">
        <f t="shared" si="74"/>
        <v>3901772</v>
      </c>
      <c r="AG150" s="38" t="s">
        <v>486</v>
      </c>
      <c r="AH150" s="29" t="s">
        <v>3116</v>
      </c>
      <c r="AI150" s="30">
        <f>369954.38+411573.28+44291.56+44291.56+44291.56</f>
        <v>914402.34000000008</v>
      </c>
      <c r="AJ150" s="30">
        <f>56581.26+62946.51+6774.01+6774.01+6774.01</f>
        <v>139849.80000000002</v>
      </c>
    </row>
    <row r="151" spans="1:36" s="179" customFormat="1" ht="240.75" customHeight="1" x14ac:dyDescent="0.25">
      <c r="A151" s="6">
        <v>148</v>
      </c>
      <c r="B151" s="11">
        <v>128473</v>
      </c>
      <c r="C151" s="11">
        <v>629</v>
      </c>
      <c r="D151" s="9" t="s">
        <v>1638</v>
      </c>
      <c r="E151" s="24" t="s">
        <v>1071</v>
      </c>
      <c r="F151" s="11" t="s">
        <v>1123</v>
      </c>
      <c r="G151" s="11" t="s">
        <v>1651</v>
      </c>
      <c r="H151" s="8" t="s">
        <v>151</v>
      </c>
      <c r="I151" s="12" t="s">
        <v>2679</v>
      </c>
      <c r="J151" s="25">
        <v>43640</v>
      </c>
      <c r="K151" s="25">
        <v>45009</v>
      </c>
      <c r="L151" s="26">
        <f t="shared" si="69"/>
        <v>85</v>
      </c>
      <c r="M151" s="11">
        <v>6</v>
      </c>
      <c r="N151" s="11" t="s">
        <v>182</v>
      </c>
      <c r="O151" s="11" t="s">
        <v>394</v>
      </c>
      <c r="P151" s="27" t="s">
        <v>174</v>
      </c>
      <c r="Q151" s="11" t="s">
        <v>34</v>
      </c>
      <c r="R151" s="1">
        <f t="shared" si="70"/>
        <v>2773068.05</v>
      </c>
      <c r="S151" s="2">
        <v>2773068.05</v>
      </c>
      <c r="T151" s="2">
        <v>0</v>
      </c>
      <c r="U151" s="1">
        <f t="shared" si="71"/>
        <v>424116.29</v>
      </c>
      <c r="V151" s="28">
        <v>424116.29</v>
      </c>
      <c r="W151" s="28">
        <v>0</v>
      </c>
      <c r="X151" s="1">
        <f t="shared" si="72"/>
        <v>65248.66</v>
      </c>
      <c r="Y151" s="2">
        <v>65248.66</v>
      </c>
      <c r="Z151" s="2">
        <v>0</v>
      </c>
      <c r="AA151" s="2">
        <f t="shared" si="73"/>
        <v>0</v>
      </c>
      <c r="AB151" s="2">
        <v>0</v>
      </c>
      <c r="AC151" s="2">
        <v>0</v>
      </c>
      <c r="AD151" s="16">
        <f t="shared" si="64"/>
        <v>3262433</v>
      </c>
      <c r="AE151" s="2">
        <v>102340</v>
      </c>
      <c r="AF151" s="2">
        <f t="shared" si="74"/>
        <v>3364773</v>
      </c>
      <c r="AG151" s="38" t="s">
        <v>486</v>
      </c>
      <c r="AH151" s="29" t="s">
        <v>1953</v>
      </c>
      <c r="AI151" s="30">
        <f>219757.88+193444.4+564412.61</f>
        <v>977614.89</v>
      </c>
      <c r="AJ151" s="30">
        <f>33610.02+29585.59+86321.93</f>
        <v>149517.53999999998</v>
      </c>
    </row>
    <row r="152" spans="1:36" s="179" customFormat="1" ht="409.6" customHeight="1" x14ac:dyDescent="0.25">
      <c r="A152" s="6">
        <v>149</v>
      </c>
      <c r="B152" s="11">
        <v>129268</v>
      </c>
      <c r="C152" s="86">
        <v>655</v>
      </c>
      <c r="D152" s="9" t="s">
        <v>1638</v>
      </c>
      <c r="E152" s="24" t="s">
        <v>1071</v>
      </c>
      <c r="F152" s="11" t="s">
        <v>1114</v>
      </c>
      <c r="G152" s="11" t="s">
        <v>1150</v>
      </c>
      <c r="H152" s="8" t="s">
        <v>151</v>
      </c>
      <c r="I152" s="12" t="s">
        <v>2680</v>
      </c>
      <c r="J152" s="25">
        <v>43634</v>
      </c>
      <c r="K152" s="25">
        <v>44214</v>
      </c>
      <c r="L152" s="26">
        <f t="shared" si="69"/>
        <v>84.999999999999986</v>
      </c>
      <c r="M152" s="11">
        <v>5</v>
      </c>
      <c r="N152" s="11" t="s">
        <v>182</v>
      </c>
      <c r="O152" s="11" t="s">
        <v>1115</v>
      </c>
      <c r="P152" s="27" t="str">
        <f>P150</f>
        <v>APL</v>
      </c>
      <c r="Q152" s="11" t="str">
        <f>Q150</f>
        <v>119 - Investiții în capacitatea instituțională și în eficiența administrațiilor și a serviciilor publice la nivel național, regional și local, în perspectiva realizării de reforme, a unei mai bune legiferări și a bunei guvernanțe</v>
      </c>
      <c r="R152" s="1">
        <f t="shared" si="70"/>
        <v>1962765.6</v>
      </c>
      <c r="S152" s="2">
        <v>1962765.6</v>
      </c>
      <c r="T152" s="2">
        <v>0</v>
      </c>
      <c r="U152" s="1">
        <f t="shared" si="71"/>
        <v>300187.68</v>
      </c>
      <c r="V152" s="28">
        <v>300187.68</v>
      </c>
      <c r="W152" s="28">
        <v>0</v>
      </c>
      <c r="X152" s="1">
        <f t="shared" si="72"/>
        <v>46182.720000000001</v>
      </c>
      <c r="Y152" s="2">
        <v>46182.720000000001</v>
      </c>
      <c r="Z152" s="2">
        <v>0</v>
      </c>
      <c r="AA152" s="2">
        <f t="shared" si="73"/>
        <v>0</v>
      </c>
      <c r="AB152" s="2">
        <v>0</v>
      </c>
      <c r="AC152" s="2">
        <v>0</v>
      </c>
      <c r="AD152" s="16">
        <f t="shared" si="64"/>
        <v>2309136.0000000005</v>
      </c>
      <c r="AE152" s="2">
        <v>0</v>
      </c>
      <c r="AF152" s="2">
        <f t="shared" si="74"/>
        <v>2309136.0000000005</v>
      </c>
      <c r="AG152" s="38" t="s">
        <v>857</v>
      </c>
      <c r="AH152" s="29" t="s">
        <v>151</v>
      </c>
      <c r="AI152" s="30">
        <f>72304.61+19204.05+710933.79+92672.62+673975.2+37295.79+12775.25</f>
        <v>1619161.31</v>
      </c>
      <c r="AJ152" s="30">
        <f>3424.24+3817.06+3817.06+2937.09+108731.04+14173.46+103078.56+5704.06+1953.86</f>
        <v>247636.42999999996</v>
      </c>
    </row>
    <row r="153" spans="1:36" s="179" customFormat="1" ht="220.5" x14ac:dyDescent="0.25">
      <c r="A153" s="6">
        <v>150</v>
      </c>
      <c r="B153" s="11">
        <v>135879</v>
      </c>
      <c r="C153" s="86">
        <v>774</v>
      </c>
      <c r="D153" s="9" t="s">
        <v>1638</v>
      </c>
      <c r="E153" s="24" t="s">
        <v>1441</v>
      </c>
      <c r="F153" s="11" t="s">
        <v>1495</v>
      </c>
      <c r="G153" s="31" t="s">
        <v>1150</v>
      </c>
      <c r="H153" s="8" t="s">
        <v>151</v>
      </c>
      <c r="I153" s="12" t="s">
        <v>2681</v>
      </c>
      <c r="J153" s="25">
        <v>43969</v>
      </c>
      <c r="K153" s="25">
        <v>44822</v>
      </c>
      <c r="L153" s="26">
        <f t="shared" si="69"/>
        <v>85.000000000000014</v>
      </c>
      <c r="M153" s="11">
        <v>5</v>
      </c>
      <c r="N153" s="11" t="s">
        <v>182</v>
      </c>
      <c r="O153" s="11" t="s">
        <v>1115</v>
      </c>
      <c r="P153" s="27" t="s">
        <v>174</v>
      </c>
      <c r="Q153" s="11" t="s">
        <v>34</v>
      </c>
      <c r="R153" s="1">
        <f t="shared" si="70"/>
        <v>528564.85</v>
      </c>
      <c r="S153" s="2">
        <v>528564.85</v>
      </c>
      <c r="T153" s="2">
        <v>0</v>
      </c>
      <c r="U153" s="1">
        <f t="shared" si="71"/>
        <v>80839.33</v>
      </c>
      <c r="V153" s="28">
        <v>80839.33</v>
      </c>
      <c r="W153" s="28">
        <v>0</v>
      </c>
      <c r="X153" s="1">
        <f t="shared" si="72"/>
        <v>12436.82</v>
      </c>
      <c r="Y153" s="2">
        <v>12436.82</v>
      </c>
      <c r="Z153" s="2">
        <v>0</v>
      </c>
      <c r="AA153" s="2">
        <f t="shared" si="73"/>
        <v>0</v>
      </c>
      <c r="AB153" s="2">
        <v>0</v>
      </c>
      <c r="AC153" s="2">
        <v>0</v>
      </c>
      <c r="AD153" s="16">
        <f t="shared" si="64"/>
        <v>621840.99999999988</v>
      </c>
      <c r="AE153" s="2">
        <v>75327</v>
      </c>
      <c r="AF153" s="2">
        <f t="shared" si="74"/>
        <v>697167.99999999988</v>
      </c>
      <c r="AG153" s="38" t="s">
        <v>857</v>
      </c>
      <c r="AH153" s="29" t="s">
        <v>2045</v>
      </c>
      <c r="AI153" s="30">
        <f>12254.02+11395.1+30554.27+10719.35+8992.15+16116.85+53558.14+9529.83+99127</f>
        <v>252246.71</v>
      </c>
      <c r="AJ153" s="30">
        <f>1874.15+1742.78+4673.01+1639.43+1375.27+2464.93+8191.25+1457.5+15160.6</f>
        <v>38578.92</v>
      </c>
    </row>
    <row r="154" spans="1:36" s="179" customFormat="1" ht="204.75" x14ac:dyDescent="0.25">
      <c r="A154" s="6">
        <v>151</v>
      </c>
      <c r="B154" s="11">
        <v>136177</v>
      </c>
      <c r="C154" s="86">
        <v>819</v>
      </c>
      <c r="D154" s="9" t="s">
        <v>1638</v>
      </c>
      <c r="E154" s="24" t="s">
        <v>1441</v>
      </c>
      <c r="F154" s="11" t="s">
        <v>1532</v>
      </c>
      <c r="G154" s="31" t="s">
        <v>1533</v>
      </c>
      <c r="H154" s="8" t="s">
        <v>151</v>
      </c>
      <c r="I154" s="12" t="s">
        <v>2682</v>
      </c>
      <c r="J154" s="25">
        <v>43998</v>
      </c>
      <c r="K154" s="25">
        <v>44850</v>
      </c>
      <c r="L154" s="26">
        <f t="shared" si="69"/>
        <v>85</v>
      </c>
      <c r="M154" s="11">
        <v>5</v>
      </c>
      <c r="N154" s="11" t="s">
        <v>182</v>
      </c>
      <c r="O154" s="11" t="s">
        <v>1534</v>
      </c>
      <c r="P154" s="27" t="s">
        <v>174</v>
      </c>
      <c r="Q154" s="11" t="s">
        <v>34</v>
      </c>
      <c r="R154" s="1">
        <f t="shared" si="70"/>
        <v>2537310.1800000002</v>
      </c>
      <c r="S154" s="2">
        <v>2537310.1800000002</v>
      </c>
      <c r="T154" s="2">
        <v>0</v>
      </c>
      <c r="U154" s="1">
        <f t="shared" si="71"/>
        <v>388059.2</v>
      </c>
      <c r="V154" s="28">
        <v>388059.2</v>
      </c>
      <c r="W154" s="28">
        <v>0</v>
      </c>
      <c r="X154" s="1">
        <f t="shared" si="72"/>
        <v>59701.42</v>
      </c>
      <c r="Y154" s="2">
        <v>59701.42</v>
      </c>
      <c r="Z154" s="2">
        <v>0</v>
      </c>
      <c r="AA154" s="2">
        <f t="shared" si="73"/>
        <v>0</v>
      </c>
      <c r="AB154" s="2">
        <v>0</v>
      </c>
      <c r="AC154" s="2">
        <v>0</v>
      </c>
      <c r="AD154" s="16">
        <f t="shared" si="64"/>
        <v>2985070.8000000003</v>
      </c>
      <c r="AE154" s="2">
        <v>0</v>
      </c>
      <c r="AF154" s="2">
        <f t="shared" si="74"/>
        <v>2985070.8000000003</v>
      </c>
      <c r="AG154" s="38" t="s">
        <v>857</v>
      </c>
      <c r="AH154" s="29" t="s">
        <v>1941</v>
      </c>
      <c r="AI154" s="30">
        <f>33929.88+132830.35+55079.15+30068.75+39902.4+31300.4+353070.46</f>
        <v>676181.39000000013</v>
      </c>
      <c r="AJ154" s="30">
        <f>5189.27+20315.23+8423.87+4598.75+6102.72+4787.12+53999.01</f>
        <v>103415.97</v>
      </c>
    </row>
    <row r="155" spans="1:36" s="179" customFormat="1" ht="267.75" x14ac:dyDescent="0.25">
      <c r="A155" s="6">
        <v>152</v>
      </c>
      <c r="B155" s="11">
        <v>135941</v>
      </c>
      <c r="C155" s="86">
        <v>775</v>
      </c>
      <c r="D155" s="9" t="s">
        <v>1638</v>
      </c>
      <c r="E155" s="24" t="s">
        <v>1441</v>
      </c>
      <c r="F155" s="11" t="s">
        <v>1557</v>
      </c>
      <c r="G155" s="31" t="s">
        <v>1558</v>
      </c>
      <c r="H155" s="8" t="s">
        <v>151</v>
      </c>
      <c r="I155" s="12" t="s">
        <v>2683</v>
      </c>
      <c r="J155" s="25">
        <v>44014</v>
      </c>
      <c r="K155" s="25">
        <v>44653</v>
      </c>
      <c r="L155" s="26">
        <f t="shared" si="69"/>
        <v>85.000000048627584</v>
      </c>
      <c r="M155" s="11">
        <v>5</v>
      </c>
      <c r="N155" s="11" t="s">
        <v>182</v>
      </c>
      <c r="O155" s="11" t="s">
        <v>1559</v>
      </c>
      <c r="P155" s="27" t="s">
        <v>174</v>
      </c>
      <c r="Q155" s="11" t="s">
        <v>34</v>
      </c>
      <c r="R155" s="1">
        <f t="shared" si="70"/>
        <v>2621969</v>
      </c>
      <c r="S155" s="2">
        <v>2621969</v>
      </c>
      <c r="T155" s="2">
        <v>0</v>
      </c>
      <c r="U155" s="1">
        <f t="shared" si="71"/>
        <v>401007.02</v>
      </c>
      <c r="V155" s="28">
        <v>401007.02</v>
      </c>
      <c r="W155" s="28">
        <v>0</v>
      </c>
      <c r="X155" s="1">
        <f t="shared" si="72"/>
        <v>61693.39</v>
      </c>
      <c r="Y155" s="2">
        <v>61693.39</v>
      </c>
      <c r="Z155" s="2">
        <v>0</v>
      </c>
      <c r="AA155" s="2">
        <f t="shared" si="73"/>
        <v>0</v>
      </c>
      <c r="AB155" s="2">
        <v>0</v>
      </c>
      <c r="AC155" s="2">
        <v>0</v>
      </c>
      <c r="AD155" s="16">
        <f t="shared" si="64"/>
        <v>3084669.41</v>
      </c>
      <c r="AE155" s="2">
        <v>0</v>
      </c>
      <c r="AF155" s="2">
        <f t="shared" si="74"/>
        <v>3084669.41</v>
      </c>
      <c r="AG155" s="38" t="s">
        <v>857</v>
      </c>
      <c r="AH155" s="29" t="s">
        <v>1835</v>
      </c>
      <c r="AI155" s="30">
        <f>180987.13-16741.02+34854.48+1698328.73-7065.69+18264.47+298392.5+73210.4+299097.91+1255.3</f>
        <v>2580584.21</v>
      </c>
      <c r="AJ155" s="30">
        <f>16741.02+3003.78+259744.4+7065.69+45636.5+3305.12+56593.09+2587.99</f>
        <v>394677.58999999997</v>
      </c>
    </row>
    <row r="156" spans="1:36" s="179" customFormat="1" ht="204.75" x14ac:dyDescent="0.25">
      <c r="A156" s="6">
        <v>153</v>
      </c>
      <c r="B156" s="11">
        <v>135985</v>
      </c>
      <c r="C156" s="86">
        <v>776</v>
      </c>
      <c r="D156" s="9" t="s">
        <v>1638</v>
      </c>
      <c r="E156" s="24" t="s">
        <v>1441</v>
      </c>
      <c r="F156" s="11" t="s">
        <v>1560</v>
      </c>
      <c r="G156" s="31" t="s">
        <v>947</v>
      </c>
      <c r="H156" s="8" t="s">
        <v>151</v>
      </c>
      <c r="I156" s="12" t="s">
        <v>2684</v>
      </c>
      <c r="J156" s="25">
        <v>44014</v>
      </c>
      <c r="K156" s="25">
        <v>44744</v>
      </c>
      <c r="L156" s="26">
        <f t="shared" si="69"/>
        <v>85.000000029098828</v>
      </c>
      <c r="M156" s="11">
        <v>5</v>
      </c>
      <c r="N156" s="11" t="s">
        <v>182</v>
      </c>
      <c r="O156" s="11" t="s">
        <v>183</v>
      </c>
      <c r="P156" s="27" t="s">
        <v>174</v>
      </c>
      <c r="Q156" s="11" t="s">
        <v>34</v>
      </c>
      <c r="R156" s="1">
        <f t="shared" si="70"/>
        <v>1460540.61</v>
      </c>
      <c r="S156" s="2">
        <v>1460540.61</v>
      </c>
      <c r="T156" s="2">
        <v>0</v>
      </c>
      <c r="U156" s="1">
        <f t="shared" si="71"/>
        <v>223376.8</v>
      </c>
      <c r="V156" s="28">
        <v>223376.8</v>
      </c>
      <c r="W156" s="28">
        <v>0</v>
      </c>
      <c r="X156" s="1">
        <f t="shared" si="72"/>
        <v>34365.660000000003</v>
      </c>
      <c r="Y156" s="2">
        <v>34365.660000000003</v>
      </c>
      <c r="Z156" s="2">
        <v>0</v>
      </c>
      <c r="AA156" s="2">
        <f t="shared" si="73"/>
        <v>0</v>
      </c>
      <c r="AB156" s="2">
        <v>0</v>
      </c>
      <c r="AC156" s="2">
        <v>0</v>
      </c>
      <c r="AD156" s="16">
        <f t="shared" si="64"/>
        <v>1718283.07</v>
      </c>
      <c r="AE156" s="2">
        <v>0</v>
      </c>
      <c r="AF156" s="2">
        <f t="shared" si="74"/>
        <v>1718283.07</v>
      </c>
      <c r="AG156" s="38" t="s">
        <v>857</v>
      </c>
      <c r="AH156" s="29" t="s">
        <v>1945</v>
      </c>
      <c r="AI156" s="30">
        <f>47797.2+219320.51+594785.37+201288.5+289440.07</f>
        <v>1352631.6500000001</v>
      </c>
      <c r="AJ156" s="30">
        <f>7310.16+33543.14+90967.18+30785.3+44267.31</f>
        <v>206873.08999999997</v>
      </c>
    </row>
    <row r="157" spans="1:36" s="179" customFormat="1" ht="141.75" x14ac:dyDescent="0.25">
      <c r="A157" s="6">
        <v>154</v>
      </c>
      <c r="B157" s="11">
        <v>135341</v>
      </c>
      <c r="C157" s="11">
        <v>835</v>
      </c>
      <c r="D157" s="9" t="s">
        <v>1638</v>
      </c>
      <c r="E157" s="24" t="s">
        <v>1441</v>
      </c>
      <c r="F157" s="11" t="s">
        <v>1599</v>
      </c>
      <c r="G157" s="11" t="s">
        <v>1651</v>
      </c>
      <c r="H157" s="8" t="s">
        <v>151</v>
      </c>
      <c r="I157" s="12" t="s">
        <v>2685</v>
      </c>
      <c r="J157" s="25">
        <v>44048</v>
      </c>
      <c r="K157" s="25">
        <v>44870</v>
      </c>
      <c r="L157" s="26">
        <f t="shared" si="69"/>
        <v>85</v>
      </c>
      <c r="M157" s="11">
        <v>5</v>
      </c>
      <c r="N157" s="11" t="s">
        <v>182</v>
      </c>
      <c r="O157" s="11" t="s">
        <v>394</v>
      </c>
      <c r="P157" s="27" t="s">
        <v>174</v>
      </c>
      <c r="Q157" s="11" t="s">
        <v>34</v>
      </c>
      <c r="R157" s="1">
        <f t="shared" si="70"/>
        <v>3399981.3</v>
      </c>
      <c r="S157" s="2">
        <v>3399981.3</v>
      </c>
      <c r="T157" s="2">
        <v>0</v>
      </c>
      <c r="U157" s="1">
        <f t="shared" si="71"/>
        <v>519997.14</v>
      </c>
      <c r="V157" s="28">
        <v>519997.14</v>
      </c>
      <c r="W157" s="28">
        <v>0</v>
      </c>
      <c r="X157" s="1">
        <f t="shared" si="72"/>
        <v>79999.56</v>
      </c>
      <c r="Y157" s="2">
        <v>79999.56</v>
      </c>
      <c r="Z157" s="2">
        <v>0</v>
      </c>
      <c r="AA157" s="2">
        <f t="shared" si="73"/>
        <v>0</v>
      </c>
      <c r="AB157" s="2">
        <v>0</v>
      </c>
      <c r="AC157" s="2">
        <v>0</v>
      </c>
      <c r="AD157" s="16">
        <f t="shared" si="64"/>
        <v>3999978</v>
      </c>
      <c r="AE157" s="2">
        <v>49980</v>
      </c>
      <c r="AF157" s="2">
        <f t="shared" si="74"/>
        <v>4049958</v>
      </c>
      <c r="AG157" s="38" t="s">
        <v>486</v>
      </c>
      <c r="AH157" s="29" t="s">
        <v>151</v>
      </c>
      <c r="AI157" s="30">
        <f>859.78+2743800</f>
        <v>2744659.78</v>
      </c>
      <c r="AJ157" s="30">
        <f>131.5+419640</f>
        <v>419771.5</v>
      </c>
    </row>
    <row r="158" spans="1:36" s="179" customFormat="1" ht="141.75" x14ac:dyDescent="0.25">
      <c r="A158" s="6">
        <v>155</v>
      </c>
      <c r="B158" s="11">
        <v>152139</v>
      </c>
      <c r="C158" s="86">
        <v>1137</v>
      </c>
      <c r="D158" s="9" t="s">
        <v>1639</v>
      </c>
      <c r="E158" s="24" t="s">
        <v>1801</v>
      </c>
      <c r="F158" s="11" t="s">
        <v>1837</v>
      </c>
      <c r="G158" s="11" t="s">
        <v>1651</v>
      </c>
      <c r="H158" s="8" t="s">
        <v>151</v>
      </c>
      <c r="I158" s="12" t="s">
        <v>1838</v>
      </c>
      <c r="J158" s="25">
        <v>44496</v>
      </c>
      <c r="K158" s="25">
        <v>44861</v>
      </c>
      <c r="L158" s="26">
        <f t="shared" si="69"/>
        <v>85.000000000000014</v>
      </c>
      <c r="M158" s="11">
        <v>5</v>
      </c>
      <c r="N158" s="11" t="s">
        <v>182</v>
      </c>
      <c r="O158" s="11" t="s">
        <v>394</v>
      </c>
      <c r="P158" s="27" t="s">
        <v>174</v>
      </c>
      <c r="Q158" s="11" t="s">
        <v>34</v>
      </c>
      <c r="R158" s="1">
        <f t="shared" si="70"/>
        <v>352608.9</v>
      </c>
      <c r="S158" s="2">
        <v>352608.9</v>
      </c>
      <c r="T158" s="2">
        <v>0</v>
      </c>
      <c r="U158" s="1">
        <f t="shared" si="71"/>
        <v>53928.42</v>
      </c>
      <c r="V158" s="28">
        <v>53928.42</v>
      </c>
      <c r="W158" s="28">
        <v>0</v>
      </c>
      <c r="X158" s="1">
        <f t="shared" si="72"/>
        <v>8296.68</v>
      </c>
      <c r="Y158" s="2">
        <v>8296.68</v>
      </c>
      <c r="Z158" s="2">
        <v>0</v>
      </c>
      <c r="AA158" s="2">
        <f t="shared" si="73"/>
        <v>0</v>
      </c>
      <c r="AB158" s="2">
        <v>0</v>
      </c>
      <c r="AC158" s="2">
        <v>0</v>
      </c>
      <c r="AD158" s="16">
        <f t="shared" si="64"/>
        <v>414834</v>
      </c>
      <c r="AE158" s="2">
        <v>0</v>
      </c>
      <c r="AF158" s="2">
        <f t="shared" si="74"/>
        <v>414834</v>
      </c>
      <c r="AG158" s="38" t="s">
        <v>486</v>
      </c>
      <c r="AH158" s="29" t="s">
        <v>151</v>
      </c>
      <c r="AI158" s="30">
        <v>631.91</v>
      </c>
      <c r="AJ158" s="30">
        <v>96.64</v>
      </c>
    </row>
    <row r="159" spans="1:36" s="179" customFormat="1" ht="393.75" x14ac:dyDescent="0.25">
      <c r="A159" s="6">
        <v>156</v>
      </c>
      <c r="B159" s="11">
        <v>155153</v>
      </c>
      <c r="C159" s="86">
        <v>1235</v>
      </c>
      <c r="D159" s="9" t="s">
        <v>1638</v>
      </c>
      <c r="E159" s="24" t="s">
        <v>2014</v>
      </c>
      <c r="F159" s="11" t="s">
        <v>2082</v>
      </c>
      <c r="G159" s="31" t="s">
        <v>1150</v>
      </c>
      <c r="H159" s="8" t="s">
        <v>151</v>
      </c>
      <c r="I159" s="12" t="s">
        <v>2083</v>
      </c>
      <c r="J159" s="25">
        <v>44655</v>
      </c>
      <c r="K159" s="25">
        <v>45142</v>
      </c>
      <c r="L159" s="26">
        <f t="shared" si="69"/>
        <v>85</v>
      </c>
      <c r="M159" s="11">
        <v>5</v>
      </c>
      <c r="N159" s="11" t="s">
        <v>182</v>
      </c>
      <c r="O159" s="11" t="s">
        <v>1115</v>
      </c>
      <c r="P159" s="27" t="str">
        <f>P157</f>
        <v>APL</v>
      </c>
      <c r="Q159" s="11" t="str">
        <f>Q157</f>
        <v>119 - Investiții în capacitatea instituțională și în eficiența administrațiilor și a serviciilor publice la nivel național, regional și local, în perspectiva realizării de reforme, a unei mai bune legiferări și a bunei guvernanțe</v>
      </c>
      <c r="R159" s="1">
        <f t="shared" si="70"/>
        <v>2876408.5</v>
      </c>
      <c r="S159" s="2">
        <v>2876408.5</v>
      </c>
      <c r="T159" s="2">
        <v>0</v>
      </c>
      <c r="U159" s="1">
        <f t="shared" si="71"/>
        <v>439921.3</v>
      </c>
      <c r="V159" s="28">
        <v>439921.3</v>
      </c>
      <c r="W159" s="28">
        <v>0</v>
      </c>
      <c r="X159" s="1">
        <f t="shared" si="72"/>
        <v>67680.2</v>
      </c>
      <c r="Y159" s="2">
        <v>67680.2</v>
      </c>
      <c r="Z159" s="2">
        <v>0</v>
      </c>
      <c r="AA159" s="2">
        <f t="shared" si="73"/>
        <v>0</v>
      </c>
      <c r="AB159" s="2">
        <v>0</v>
      </c>
      <c r="AC159" s="2">
        <v>0</v>
      </c>
      <c r="AD159" s="16">
        <f t="shared" si="64"/>
        <v>3384010</v>
      </c>
      <c r="AE159" s="2">
        <v>0</v>
      </c>
      <c r="AF159" s="2">
        <f t="shared" si="74"/>
        <v>3384010</v>
      </c>
      <c r="AG159" s="38" t="s">
        <v>486</v>
      </c>
      <c r="AH159" s="29"/>
      <c r="AI159" s="30">
        <v>18153.53</v>
      </c>
      <c r="AJ159" s="30">
        <v>2776.42</v>
      </c>
    </row>
    <row r="160" spans="1:36" s="179" customFormat="1" ht="283.5" x14ac:dyDescent="0.25">
      <c r="A160" s="6">
        <v>157</v>
      </c>
      <c r="B160" s="11">
        <v>155157</v>
      </c>
      <c r="C160" s="86">
        <v>1240</v>
      </c>
      <c r="D160" s="9" t="s">
        <v>1638</v>
      </c>
      <c r="E160" s="24" t="s">
        <v>2014</v>
      </c>
      <c r="F160" s="11" t="s">
        <v>2126</v>
      </c>
      <c r="G160" s="31" t="s">
        <v>1533</v>
      </c>
      <c r="H160" s="8" t="s">
        <v>151</v>
      </c>
      <c r="I160" s="12" t="s">
        <v>2127</v>
      </c>
      <c r="J160" s="25">
        <v>44664</v>
      </c>
      <c r="K160" s="25">
        <v>45151</v>
      </c>
      <c r="L160" s="26">
        <f t="shared" si="69"/>
        <v>85</v>
      </c>
      <c r="M160" s="11">
        <v>5</v>
      </c>
      <c r="N160" s="11" t="s">
        <v>182</v>
      </c>
      <c r="O160" s="11" t="s">
        <v>1534</v>
      </c>
      <c r="P160" s="27" t="s">
        <v>174</v>
      </c>
      <c r="Q160" s="11" t="s">
        <v>34</v>
      </c>
      <c r="R160" s="1">
        <f t="shared" si="70"/>
        <v>2839590.75</v>
      </c>
      <c r="S160" s="2">
        <v>2839590.75</v>
      </c>
      <c r="T160" s="2">
        <v>0</v>
      </c>
      <c r="U160" s="1">
        <f t="shared" si="71"/>
        <v>434290.35</v>
      </c>
      <c r="V160" s="28">
        <v>434290.35</v>
      </c>
      <c r="W160" s="28">
        <v>0</v>
      </c>
      <c r="X160" s="1">
        <f t="shared" si="72"/>
        <v>66813.899999999994</v>
      </c>
      <c r="Y160" s="2">
        <v>66813.899999999994</v>
      </c>
      <c r="Z160" s="2">
        <v>0</v>
      </c>
      <c r="AA160" s="2">
        <f t="shared" si="73"/>
        <v>0</v>
      </c>
      <c r="AB160" s="2">
        <v>0</v>
      </c>
      <c r="AC160" s="2">
        <v>0</v>
      </c>
      <c r="AD160" s="16">
        <f t="shared" si="64"/>
        <v>3340695</v>
      </c>
      <c r="AE160" s="2">
        <v>0</v>
      </c>
      <c r="AF160" s="2">
        <f t="shared" si="74"/>
        <v>3340695</v>
      </c>
      <c r="AG160" s="38" t="s">
        <v>486</v>
      </c>
      <c r="AH160" s="29"/>
      <c r="AI160" s="30">
        <v>0</v>
      </c>
      <c r="AJ160" s="30">
        <v>0</v>
      </c>
    </row>
    <row r="161" spans="1:36" s="179" customFormat="1" ht="236.25" x14ac:dyDescent="0.25">
      <c r="A161" s="6">
        <v>158</v>
      </c>
      <c r="B161" s="11">
        <v>154788</v>
      </c>
      <c r="C161" s="86">
        <v>1178</v>
      </c>
      <c r="D161" s="9" t="s">
        <v>1638</v>
      </c>
      <c r="E161" s="24" t="s">
        <v>2014</v>
      </c>
      <c r="F161" s="11" t="s">
        <v>2166</v>
      </c>
      <c r="G161" s="31" t="s">
        <v>1558</v>
      </c>
      <c r="H161" s="8" t="s">
        <v>151</v>
      </c>
      <c r="I161" s="12" t="s">
        <v>2686</v>
      </c>
      <c r="J161" s="25">
        <v>44672</v>
      </c>
      <c r="K161" s="25">
        <v>45159</v>
      </c>
      <c r="L161" s="26">
        <f t="shared" si="69"/>
        <v>85.000000387650871</v>
      </c>
      <c r="M161" s="11">
        <v>5</v>
      </c>
      <c r="N161" s="11" t="s">
        <v>182</v>
      </c>
      <c r="O161" s="11" t="s">
        <v>1559</v>
      </c>
      <c r="P161" s="27" t="s">
        <v>174</v>
      </c>
      <c r="Q161" s="11" t="s">
        <v>34</v>
      </c>
      <c r="R161" s="1">
        <f t="shared" si="70"/>
        <v>2740868.49</v>
      </c>
      <c r="S161" s="2">
        <v>2740868.49</v>
      </c>
      <c r="T161" s="2">
        <v>0</v>
      </c>
      <c r="U161" s="1">
        <f>V161+W161</f>
        <v>419191.63</v>
      </c>
      <c r="V161" s="28">
        <v>419191.63</v>
      </c>
      <c r="W161" s="28">
        <v>0</v>
      </c>
      <c r="X161" s="1">
        <f t="shared" si="72"/>
        <v>64491.03</v>
      </c>
      <c r="Y161" s="2">
        <v>64491.03</v>
      </c>
      <c r="Z161" s="2">
        <v>0</v>
      </c>
      <c r="AA161" s="2">
        <f t="shared" si="73"/>
        <v>0</v>
      </c>
      <c r="AB161" s="2">
        <v>0</v>
      </c>
      <c r="AC161" s="2">
        <v>0</v>
      </c>
      <c r="AD161" s="16">
        <f t="shared" si="64"/>
        <v>3224551.15</v>
      </c>
      <c r="AE161" s="2">
        <v>0</v>
      </c>
      <c r="AF161" s="2">
        <f t="shared" si="74"/>
        <v>3224551.15</v>
      </c>
      <c r="AG161" s="38" t="s">
        <v>486</v>
      </c>
      <c r="AH161" s="29"/>
      <c r="AI161" s="30">
        <v>32000</v>
      </c>
      <c r="AJ161" s="30">
        <v>0</v>
      </c>
    </row>
    <row r="162" spans="1:36" s="179" customFormat="1" ht="157.5" x14ac:dyDescent="0.25">
      <c r="A162" s="6">
        <v>159</v>
      </c>
      <c r="B162" s="11">
        <v>155147</v>
      </c>
      <c r="C162" s="86">
        <v>1205</v>
      </c>
      <c r="D162" s="9" t="s">
        <v>1638</v>
      </c>
      <c r="E162" s="24" t="s">
        <v>2014</v>
      </c>
      <c r="F162" s="11" t="s">
        <v>2173</v>
      </c>
      <c r="G162" s="31" t="s">
        <v>947</v>
      </c>
      <c r="H162" s="8" t="s">
        <v>151</v>
      </c>
      <c r="I162" s="12" t="s">
        <v>2687</v>
      </c>
      <c r="J162" s="25">
        <v>44679</v>
      </c>
      <c r="K162" s="25">
        <v>45105</v>
      </c>
      <c r="L162" s="26">
        <f t="shared" si="69"/>
        <v>84.999999999999986</v>
      </c>
      <c r="M162" s="11">
        <v>5</v>
      </c>
      <c r="N162" s="11" t="s">
        <v>182</v>
      </c>
      <c r="O162" s="11" t="s">
        <v>183</v>
      </c>
      <c r="P162" s="27" t="s">
        <v>174</v>
      </c>
      <c r="Q162" s="11" t="s">
        <v>34</v>
      </c>
      <c r="R162" s="1">
        <f t="shared" si="70"/>
        <v>2541158.98</v>
      </c>
      <c r="S162" s="2">
        <v>2541158.98</v>
      </c>
      <c r="T162" s="2">
        <v>0</v>
      </c>
      <c r="U162" s="1">
        <f>V162+W162</f>
        <v>388647.85</v>
      </c>
      <c r="V162" s="28">
        <v>388647.85</v>
      </c>
      <c r="W162" s="28">
        <v>0</v>
      </c>
      <c r="X162" s="1">
        <f t="shared" si="72"/>
        <v>59791.97</v>
      </c>
      <c r="Y162" s="2">
        <v>59791.97</v>
      </c>
      <c r="Z162" s="2">
        <v>0</v>
      </c>
      <c r="AA162" s="2">
        <f t="shared" si="73"/>
        <v>0</v>
      </c>
      <c r="AB162" s="2">
        <v>0</v>
      </c>
      <c r="AC162" s="2">
        <v>0</v>
      </c>
      <c r="AD162" s="16">
        <f t="shared" si="64"/>
        <v>2989598.8000000003</v>
      </c>
      <c r="AE162" s="2">
        <v>0</v>
      </c>
      <c r="AF162" s="2">
        <f t="shared" si="74"/>
        <v>2989598.8000000003</v>
      </c>
      <c r="AG162" s="38" t="s">
        <v>486</v>
      </c>
      <c r="AH162" s="29"/>
      <c r="AI162" s="30">
        <v>0</v>
      </c>
      <c r="AJ162" s="30">
        <v>0</v>
      </c>
    </row>
    <row r="163" spans="1:36" s="179" customFormat="1" ht="141.75" x14ac:dyDescent="0.25">
      <c r="A163" s="6">
        <v>160</v>
      </c>
      <c r="B163" s="11">
        <v>120642</v>
      </c>
      <c r="C163" s="11">
        <v>84</v>
      </c>
      <c r="D163" s="9" t="s">
        <v>1638</v>
      </c>
      <c r="E163" s="24" t="s">
        <v>277</v>
      </c>
      <c r="F163" s="11" t="s">
        <v>278</v>
      </c>
      <c r="G163" s="11" t="s">
        <v>279</v>
      </c>
      <c r="H163" s="8" t="s">
        <v>151</v>
      </c>
      <c r="I163" s="45" t="s">
        <v>431</v>
      </c>
      <c r="J163" s="25">
        <v>43175</v>
      </c>
      <c r="K163" s="25">
        <v>43662</v>
      </c>
      <c r="L163" s="26">
        <f t="shared" ref="L163:L177" si="75">R163/AD163*100</f>
        <v>84.999998716744599</v>
      </c>
      <c r="M163" s="11">
        <v>2</v>
      </c>
      <c r="N163" s="11" t="s">
        <v>280</v>
      </c>
      <c r="O163" s="11" t="s">
        <v>281</v>
      </c>
      <c r="P163" s="27" t="s">
        <v>174</v>
      </c>
      <c r="Q163" s="11" t="s">
        <v>34</v>
      </c>
      <c r="R163" s="1">
        <f t="shared" ref="R163:R177" si="76">S163+T163</f>
        <v>264951.15000000002</v>
      </c>
      <c r="S163" s="2">
        <v>264951.15000000002</v>
      </c>
      <c r="T163" s="2">
        <v>0</v>
      </c>
      <c r="U163" s="1">
        <f t="shared" ref="U163:U179" si="77">V163+W163</f>
        <v>40521.949999999997</v>
      </c>
      <c r="V163" s="28">
        <v>40521.949999999997</v>
      </c>
      <c r="W163" s="28">
        <v>0</v>
      </c>
      <c r="X163" s="1">
        <f t="shared" ref="X163:X179" si="78">Y163+Z163</f>
        <v>6234.14</v>
      </c>
      <c r="Y163" s="2">
        <v>6234.14</v>
      </c>
      <c r="Z163" s="2">
        <v>0</v>
      </c>
      <c r="AA163" s="2">
        <f t="shared" ref="AA163:AA177" si="79">AB163+AC163</f>
        <v>0</v>
      </c>
      <c r="AB163" s="2">
        <v>0</v>
      </c>
      <c r="AC163" s="2">
        <v>0</v>
      </c>
      <c r="AD163" s="16">
        <f t="shared" si="64"/>
        <v>311707.24000000005</v>
      </c>
      <c r="AE163" s="2">
        <v>0</v>
      </c>
      <c r="AF163" s="2">
        <f t="shared" ref="AF163:AF177" si="80">AD163+AE163</f>
        <v>311707.24000000005</v>
      </c>
      <c r="AG163" s="21" t="s">
        <v>857</v>
      </c>
      <c r="AH163" s="29" t="s">
        <v>151</v>
      </c>
      <c r="AI163" s="30">
        <v>161700.98000000001</v>
      </c>
      <c r="AJ163" s="30">
        <v>24730.730000000003</v>
      </c>
    </row>
    <row r="164" spans="1:36" s="179" customFormat="1" ht="141.75" x14ac:dyDescent="0.25">
      <c r="A164" s="6">
        <v>161</v>
      </c>
      <c r="B164" s="31">
        <v>116521</v>
      </c>
      <c r="C164" s="11">
        <v>405</v>
      </c>
      <c r="D164" s="32" t="s">
        <v>1639</v>
      </c>
      <c r="E164" s="32" t="s">
        <v>507</v>
      </c>
      <c r="F164" s="11" t="s">
        <v>661</v>
      </c>
      <c r="G164" s="11" t="s">
        <v>1589</v>
      </c>
      <c r="H164" s="8" t="s">
        <v>151</v>
      </c>
      <c r="I164" s="32" t="s">
        <v>662</v>
      </c>
      <c r="J164" s="25">
        <v>43304</v>
      </c>
      <c r="K164" s="25">
        <v>43792</v>
      </c>
      <c r="L164" s="26">
        <f t="shared" si="75"/>
        <v>85.000001706742694</v>
      </c>
      <c r="M164" s="11">
        <v>2</v>
      </c>
      <c r="N164" s="11" t="s">
        <v>280</v>
      </c>
      <c r="O164" s="11" t="s">
        <v>280</v>
      </c>
      <c r="P164" s="11" t="s">
        <v>174</v>
      </c>
      <c r="Q164" s="11" t="s">
        <v>34</v>
      </c>
      <c r="R164" s="1">
        <f t="shared" si="76"/>
        <v>249012.35</v>
      </c>
      <c r="S164" s="30">
        <v>249012.35</v>
      </c>
      <c r="T164" s="30">
        <v>0</v>
      </c>
      <c r="U164" s="1">
        <f t="shared" si="77"/>
        <v>38084.239999999998</v>
      </c>
      <c r="V164" s="42">
        <v>38084.239999999998</v>
      </c>
      <c r="W164" s="42">
        <v>0</v>
      </c>
      <c r="X164" s="1">
        <f t="shared" si="78"/>
        <v>5859.11</v>
      </c>
      <c r="Y164" s="30">
        <v>5859.11</v>
      </c>
      <c r="Z164" s="30">
        <v>0</v>
      </c>
      <c r="AA164" s="2">
        <f t="shared" si="79"/>
        <v>0</v>
      </c>
      <c r="AB164" s="30">
        <v>0</v>
      </c>
      <c r="AC164" s="30">
        <v>0</v>
      </c>
      <c r="AD164" s="16">
        <f t="shared" si="64"/>
        <v>292955.7</v>
      </c>
      <c r="AE164" s="38">
        <v>0</v>
      </c>
      <c r="AF164" s="2">
        <f t="shared" si="80"/>
        <v>292955.7</v>
      </c>
      <c r="AG164" s="21" t="s">
        <v>857</v>
      </c>
      <c r="AH164" s="38"/>
      <c r="AI164" s="30">
        <v>201942.88</v>
      </c>
      <c r="AJ164" s="30">
        <f>9579.42+5275.29+1268.05+14762.58</f>
        <v>30885.339999999997</v>
      </c>
    </row>
    <row r="165" spans="1:36" s="179" customFormat="1" ht="189" x14ac:dyDescent="0.25">
      <c r="A165" s="6">
        <v>162</v>
      </c>
      <c r="B165" s="31">
        <v>126409</v>
      </c>
      <c r="C165" s="11">
        <v>551</v>
      </c>
      <c r="D165" s="9" t="s">
        <v>1638</v>
      </c>
      <c r="E165" s="32" t="s">
        <v>899</v>
      </c>
      <c r="F165" s="11" t="s">
        <v>917</v>
      </c>
      <c r="G165" s="11" t="s">
        <v>1589</v>
      </c>
      <c r="H165" s="8" t="s">
        <v>151</v>
      </c>
      <c r="I165" s="32" t="s">
        <v>2688</v>
      </c>
      <c r="J165" s="25">
        <v>43439</v>
      </c>
      <c r="K165" s="25">
        <v>44931</v>
      </c>
      <c r="L165" s="26">
        <f t="shared" si="75"/>
        <v>85.000000607988994</v>
      </c>
      <c r="M165" s="11">
        <v>2</v>
      </c>
      <c r="N165" s="11" t="s">
        <v>280</v>
      </c>
      <c r="O165" s="11" t="s">
        <v>280</v>
      </c>
      <c r="P165" s="11" t="s">
        <v>174</v>
      </c>
      <c r="Q165" s="11" t="s">
        <v>34</v>
      </c>
      <c r="R165" s="1">
        <f t="shared" si="76"/>
        <v>3075713.53</v>
      </c>
      <c r="S165" s="30">
        <v>3075713.53</v>
      </c>
      <c r="T165" s="30">
        <v>0</v>
      </c>
      <c r="U165" s="1">
        <f t="shared" si="77"/>
        <v>470403.21</v>
      </c>
      <c r="V165" s="42">
        <v>470403.21</v>
      </c>
      <c r="W165" s="42">
        <v>0</v>
      </c>
      <c r="X165" s="1">
        <f t="shared" si="78"/>
        <v>72369.740000000005</v>
      </c>
      <c r="Y165" s="30">
        <v>72369.740000000005</v>
      </c>
      <c r="Z165" s="30">
        <v>0</v>
      </c>
      <c r="AA165" s="2">
        <f t="shared" si="79"/>
        <v>0</v>
      </c>
      <c r="AB165" s="30">
        <v>0</v>
      </c>
      <c r="AC165" s="30">
        <v>0</v>
      </c>
      <c r="AD165" s="16">
        <f t="shared" si="64"/>
        <v>3618486.48</v>
      </c>
      <c r="AE165" s="38">
        <v>0</v>
      </c>
      <c r="AF165" s="2">
        <f t="shared" si="80"/>
        <v>3618486.48</v>
      </c>
      <c r="AG165" s="38" t="s">
        <v>486</v>
      </c>
      <c r="AH165" s="38" t="s">
        <v>1668</v>
      </c>
      <c r="AI165" s="30">
        <f>183107.25+130271.09+133951.13+97196.32+126539.04+168904.53+126539.04+199170.93</f>
        <v>1165679.33</v>
      </c>
      <c r="AJ165" s="30">
        <f>28004.63+19923.81+20486.64+14865.32+19353.03+25832.46+19353.03+30461.42</f>
        <v>178280.33999999997</v>
      </c>
    </row>
    <row r="166" spans="1:36" s="179" customFormat="1" ht="141.75" x14ac:dyDescent="0.25">
      <c r="A166" s="6">
        <v>163</v>
      </c>
      <c r="B166" s="31">
        <v>125745</v>
      </c>
      <c r="C166" s="11">
        <v>531</v>
      </c>
      <c r="D166" s="9" t="s">
        <v>1638</v>
      </c>
      <c r="E166" s="32" t="s">
        <v>899</v>
      </c>
      <c r="F166" s="11" t="s">
        <v>1884</v>
      </c>
      <c r="G166" s="11" t="s">
        <v>1653</v>
      </c>
      <c r="H166" s="8" t="s">
        <v>151</v>
      </c>
      <c r="I166" s="32" t="s">
        <v>2689</v>
      </c>
      <c r="J166" s="25">
        <v>43550</v>
      </c>
      <c r="K166" s="25">
        <v>45011</v>
      </c>
      <c r="L166" s="26">
        <f t="shared" si="75"/>
        <v>85</v>
      </c>
      <c r="M166" s="11">
        <v>2</v>
      </c>
      <c r="N166" s="11" t="s">
        <v>280</v>
      </c>
      <c r="O166" s="11" t="s">
        <v>280</v>
      </c>
      <c r="P166" s="11" t="s">
        <v>174</v>
      </c>
      <c r="Q166" s="11" t="s">
        <v>34</v>
      </c>
      <c r="R166" s="1">
        <f t="shared" si="76"/>
        <v>1983050</v>
      </c>
      <c r="S166" s="30">
        <v>1983050</v>
      </c>
      <c r="T166" s="30">
        <v>0</v>
      </c>
      <c r="U166" s="1">
        <f t="shared" si="77"/>
        <v>303290</v>
      </c>
      <c r="V166" s="42">
        <v>303290</v>
      </c>
      <c r="W166" s="42">
        <v>0</v>
      </c>
      <c r="X166" s="1">
        <f t="shared" si="78"/>
        <v>46660</v>
      </c>
      <c r="Y166" s="30">
        <v>46660</v>
      </c>
      <c r="Z166" s="30">
        <v>0</v>
      </c>
      <c r="AA166" s="2">
        <f t="shared" si="79"/>
        <v>0</v>
      </c>
      <c r="AB166" s="30">
        <v>0</v>
      </c>
      <c r="AC166" s="30">
        <v>0</v>
      </c>
      <c r="AD166" s="16">
        <f t="shared" si="64"/>
        <v>2333000</v>
      </c>
      <c r="AE166" s="38">
        <v>0</v>
      </c>
      <c r="AF166" s="2">
        <f t="shared" si="80"/>
        <v>2333000</v>
      </c>
      <c r="AG166" s="38" t="s">
        <v>486</v>
      </c>
      <c r="AH166" s="38" t="s">
        <v>2010</v>
      </c>
      <c r="AI166" s="30">
        <f>1517.25+775063.14+83364.29+145583.17+1001.38+72791.59</f>
        <v>1079320.82</v>
      </c>
      <c r="AJ166" s="30">
        <f>232.05+118539.09+12749.84+22265.66+153.16+11132.83</f>
        <v>165072.63</v>
      </c>
    </row>
    <row r="167" spans="1:36" s="179" customFormat="1" ht="189" x14ac:dyDescent="0.25">
      <c r="A167" s="6">
        <v>164</v>
      </c>
      <c r="B167" s="31">
        <v>109686</v>
      </c>
      <c r="C167" s="31">
        <v>122</v>
      </c>
      <c r="D167" s="9" t="s">
        <v>1638</v>
      </c>
      <c r="E167" s="24" t="s">
        <v>277</v>
      </c>
      <c r="F167" s="11" t="s">
        <v>1175</v>
      </c>
      <c r="G167" s="11" t="s">
        <v>1589</v>
      </c>
      <c r="H167" s="8" t="s">
        <v>151</v>
      </c>
      <c r="I167" s="12" t="s">
        <v>539</v>
      </c>
      <c r="J167" s="25">
        <v>43276</v>
      </c>
      <c r="K167" s="25">
        <v>43763</v>
      </c>
      <c r="L167" s="26">
        <f t="shared" si="75"/>
        <v>85.000000118226325</v>
      </c>
      <c r="M167" s="11">
        <v>2</v>
      </c>
      <c r="N167" s="11" t="s">
        <v>280</v>
      </c>
      <c r="O167" s="11" t="s">
        <v>280</v>
      </c>
      <c r="P167" s="27" t="s">
        <v>174</v>
      </c>
      <c r="Q167" s="11" t="s">
        <v>34</v>
      </c>
      <c r="R167" s="2">
        <f t="shared" si="76"/>
        <v>359480.02</v>
      </c>
      <c r="S167" s="2">
        <v>359480.02</v>
      </c>
      <c r="T167" s="2">
        <v>0</v>
      </c>
      <c r="U167" s="1">
        <f t="shared" si="77"/>
        <v>54979.3</v>
      </c>
      <c r="V167" s="28">
        <v>54979.3</v>
      </c>
      <c r="W167" s="28">
        <v>0</v>
      </c>
      <c r="X167" s="1">
        <f t="shared" si="78"/>
        <v>8458.35</v>
      </c>
      <c r="Y167" s="2">
        <v>8458.35</v>
      </c>
      <c r="Z167" s="2">
        <v>0</v>
      </c>
      <c r="AA167" s="2">
        <f t="shared" si="79"/>
        <v>0</v>
      </c>
      <c r="AB167" s="2">
        <v>0</v>
      </c>
      <c r="AC167" s="2">
        <v>0</v>
      </c>
      <c r="AD167" s="16">
        <f t="shared" si="64"/>
        <v>422917.67</v>
      </c>
      <c r="AE167" s="2">
        <v>0</v>
      </c>
      <c r="AF167" s="2">
        <f t="shared" si="80"/>
        <v>422917.67</v>
      </c>
      <c r="AG167" s="21" t="s">
        <v>857</v>
      </c>
      <c r="AH167" s="29" t="s">
        <v>151</v>
      </c>
      <c r="AI167" s="30">
        <v>258837.34</v>
      </c>
      <c r="AJ167" s="30">
        <v>39586.89</v>
      </c>
    </row>
    <row r="168" spans="1:36" s="179" customFormat="1" ht="267.75" x14ac:dyDescent="0.25">
      <c r="A168" s="6">
        <v>165</v>
      </c>
      <c r="B168" s="31">
        <v>136064</v>
      </c>
      <c r="C168" s="31">
        <v>828</v>
      </c>
      <c r="D168" s="9" t="s">
        <v>1638</v>
      </c>
      <c r="E168" s="24" t="s">
        <v>1441</v>
      </c>
      <c r="F168" s="11" t="s">
        <v>1586</v>
      </c>
      <c r="G168" s="31" t="s">
        <v>279</v>
      </c>
      <c r="H168" s="8" t="s">
        <v>151</v>
      </c>
      <c r="I168" s="12" t="s">
        <v>2690</v>
      </c>
      <c r="J168" s="25">
        <v>44025</v>
      </c>
      <c r="K168" s="25">
        <v>44878</v>
      </c>
      <c r="L168" s="26">
        <f t="shared" si="75"/>
        <v>85.000000030293194</v>
      </c>
      <c r="M168" s="11">
        <v>2</v>
      </c>
      <c r="N168" s="11" t="s">
        <v>280</v>
      </c>
      <c r="O168" s="11" t="s">
        <v>281</v>
      </c>
      <c r="P168" s="27" t="s">
        <v>174</v>
      </c>
      <c r="Q168" s="11" t="s">
        <v>34</v>
      </c>
      <c r="R168" s="2">
        <f t="shared" si="76"/>
        <v>2805910.13</v>
      </c>
      <c r="S168" s="2">
        <v>2805910.13</v>
      </c>
      <c r="T168" s="2">
        <v>0</v>
      </c>
      <c r="U168" s="1">
        <f t="shared" si="77"/>
        <v>429139.20000000001</v>
      </c>
      <c r="V168" s="28">
        <v>429139.20000000001</v>
      </c>
      <c r="W168" s="28">
        <v>0</v>
      </c>
      <c r="X168" s="1">
        <f t="shared" si="78"/>
        <v>66021.41</v>
      </c>
      <c r="Y168" s="2">
        <v>66021.41</v>
      </c>
      <c r="Z168" s="2">
        <v>0</v>
      </c>
      <c r="AA168" s="2">
        <f t="shared" si="79"/>
        <v>0</v>
      </c>
      <c r="AB168" s="2">
        <v>0</v>
      </c>
      <c r="AC168" s="2">
        <v>0</v>
      </c>
      <c r="AD168" s="16">
        <f t="shared" si="64"/>
        <v>3301070.74</v>
      </c>
      <c r="AE168" s="2">
        <v>0</v>
      </c>
      <c r="AF168" s="2">
        <f t="shared" si="80"/>
        <v>3301070.74</v>
      </c>
      <c r="AG168" s="38" t="s">
        <v>486</v>
      </c>
      <c r="AH168" s="29" t="s">
        <v>1858</v>
      </c>
      <c r="AI168" s="30">
        <f>255188.7+321492.74+23599.4</f>
        <v>600280.84</v>
      </c>
      <c r="AJ168" s="30">
        <f>39028.86+49169.48+3609.32</f>
        <v>91807.66</v>
      </c>
    </row>
    <row r="169" spans="1:36" s="179" customFormat="1" ht="157.5" x14ac:dyDescent="0.25">
      <c r="A169" s="6">
        <v>166</v>
      </c>
      <c r="B169" s="31">
        <v>135502</v>
      </c>
      <c r="C169" s="31">
        <v>849</v>
      </c>
      <c r="D169" s="9" t="s">
        <v>1638</v>
      </c>
      <c r="E169" s="24" t="s">
        <v>1441</v>
      </c>
      <c r="F169" s="11" t="s">
        <v>1895</v>
      </c>
      <c r="G169" s="31" t="s">
        <v>1589</v>
      </c>
      <c r="H169" s="11" t="s">
        <v>1590</v>
      </c>
      <c r="I169" s="12" t="s">
        <v>2691</v>
      </c>
      <c r="J169" s="25">
        <v>44032</v>
      </c>
      <c r="K169" s="25">
        <v>44946</v>
      </c>
      <c r="L169" s="26">
        <f t="shared" si="75"/>
        <v>84.492445397023275</v>
      </c>
      <c r="M169" s="11">
        <v>2</v>
      </c>
      <c r="N169" s="11" t="s">
        <v>280</v>
      </c>
      <c r="O169" s="11" t="s">
        <v>280</v>
      </c>
      <c r="P169" s="27" t="s">
        <v>174</v>
      </c>
      <c r="Q169" s="11" t="s">
        <v>34</v>
      </c>
      <c r="R169" s="2">
        <f t="shared" si="76"/>
        <v>3125976.55</v>
      </c>
      <c r="S169" s="2">
        <v>3125976.55</v>
      </c>
      <c r="T169" s="2">
        <v>0</v>
      </c>
      <c r="U169" s="1">
        <f t="shared" si="77"/>
        <v>499740.52</v>
      </c>
      <c r="V169" s="28">
        <v>499740.52</v>
      </c>
      <c r="W169" s="28">
        <v>0</v>
      </c>
      <c r="X169" s="1">
        <f t="shared" si="78"/>
        <v>73994.23</v>
      </c>
      <c r="Y169" s="2">
        <v>73994.23</v>
      </c>
      <c r="Z169" s="2">
        <v>0</v>
      </c>
      <c r="AA169" s="2">
        <f t="shared" si="79"/>
        <v>0</v>
      </c>
      <c r="AB169" s="2">
        <v>0</v>
      </c>
      <c r="AC169" s="2">
        <v>0</v>
      </c>
      <c r="AD169" s="16">
        <f t="shared" si="64"/>
        <v>3699711.3</v>
      </c>
      <c r="AE169" s="2">
        <v>0</v>
      </c>
      <c r="AF169" s="2">
        <f t="shared" si="80"/>
        <v>3699711.3</v>
      </c>
      <c r="AG169" s="38" t="s">
        <v>486</v>
      </c>
      <c r="AH169" s="29" t="s">
        <v>3235</v>
      </c>
      <c r="AI169" s="30">
        <f>101000-5334.64-7508.09+112268.94+60282.54+93296+115256.38+13832.64+101000+92451.86+107528.1+81718.97</f>
        <v>865792.7</v>
      </c>
      <c r="AJ169" s="30">
        <f>5334.64+10222.53+1723.49+10638.1+16464+20339.36+20185.71+16100.84+18901.32+14420.99</f>
        <v>134330.97999999998</v>
      </c>
    </row>
    <row r="170" spans="1:36" s="179" customFormat="1" ht="189" x14ac:dyDescent="0.25">
      <c r="A170" s="6">
        <v>167</v>
      </c>
      <c r="B170" s="31">
        <v>135880</v>
      </c>
      <c r="C170" s="31">
        <v>854</v>
      </c>
      <c r="D170" s="9" t="s">
        <v>1638</v>
      </c>
      <c r="E170" s="24" t="s">
        <v>1441</v>
      </c>
      <c r="F170" s="11" t="s">
        <v>1610</v>
      </c>
      <c r="G170" s="31" t="s">
        <v>1611</v>
      </c>
      <c r="H170" s="11" t="s">
        <v>1612</v>
      </c>
      <c r="I170" s="12" t="s">
        <v>1613</v>
      </c>
      <c r="J170" s="25">
        <v>44050</v>
      </c>
      <c r="K170" s="25">
        <v>45206</v>
      </c>
      <c r="L170" s="26">
        <f t="shared" si="75"/>
        <v>84.337001452313444</v>
      </c>
      <c r="M170" s="11">
        <v>2</v>
      </c>
      <c r="N170" s="11" t="s">
        <v>280</v>
      </c>
      <c r="O170" s="11" t="s">
        <v>1614</v>
      </c>
      <c r="P170" s="27" t="s">
        <v>174</v>
      </c>
      <c r="Q170" s="11" t="s">
        <v>34</v>
      </c>
      <c r="R170" s="2">
        <f t="shared" si="76"/>
        <v>2240754.7000000002</v>
      </c>
      <c r="S170" s="2">
        <v>2240754.7000000002</v>
      </c>
      <c r="T170" s="2">
        <v>0</v>
      </c>
      <c r="U170" s="1">
        <f t="shared" si="77"/>
        <v>363013.19</v>
      </c>
      <c r="V170" s="28">
        <v>363013.19</v>
      </c>
      <c r="W170" s="28">
        <v>0</v>
      </c>
      <c r="X170" s="1">
        <f t="shared" si="78"/>
        <v>32414.09</v>
      </c>
      <c r="Y170" s="2">
        <v>32414.09</v>
      </c>
      <c r="Z170" s="2">
        <v>0</v>
      </c>
      <c r="AA170" s="2">
        <f t="shared" si="79"/>
        <v>20723.84</v>
      </c>
      <c r="AB170" s="2">
        <v>20723.84</v>
      </c>
      <c r="AC170" s="2">
        <v>0</v>
      </c>
      <c r="AD170" s="16">
        <f t="shared" si="64"/>
        <v>2656905.8199999998</v>
      </c>
      <c r="AE170" s="2">
        <v>0</v>
      </c>
      <c r="AF170" s="2">
        <f t="shared" si="80"/>
        <v>2656905.8199999998</v>
      </c>
      <c r="AG170" s="38" t="s">
        <v>486</v>
      </c>
      <c r="AH170" s="29" t="s">
        <v>3293</v>
      </c>
      <c r="AI170" s="30">
        <f>265690.57-11802.77+78685.18-11027.93+167825.48-8670.03+192124.91+162070.57+21342.65+151276.14-11322.39</f>
        <v>996192.38</v>
      </c>
      <c r="AJ170" s="30">
        <f>11802.77+11027.93+25667.43+8670.03+34683.88+3264.17+26695.78+11322.39</f>
        <v>133134.38</v>
      </c>
    </row>
    <row r="171" spans="1:36" s="179" customFormat="1" ht="299.25" x14ac:dyDescent="0.25">
      <c r="A171" s="6">
        <v>168</v>
      </c>
      <c r="B171" s="31">
        <v>152010</v>
      </c>
      <c r="C171" s="31">
        <v>1116</v>
      </c>
      <c r="D171" s="9" t="s">
        <v>1639</v>
      </c>
      <c r="E171" s="24" t="s">
        <v>1801</v>
      </c>
      <c r="F171" s="11" t="s">
        <v>1831</v>
      </c>
      <c r="G171" s="31" t="s">
        <v>1653</v>
      </c>
      <c r="H171" s="11" t="s">
        <v>1832</v>
      </c>
      <c r="I171" s="12" t="s">
        <v>2692</v>
      </c>
      <c r="J171" s="25">
        <v>44489</v>
      </c>
      <c r="K171" s="25">
        <v>44977</v>
      </c>
      <c r="L171" s="26">
        <f t="shared" si="75"/>
        <v>84.999998848548771</v>
      </c>
      <c r="M171" s="11">
        <v>2</v>
      </c>
      <c r="N171" s="11" t="s">
        <v>280</v>
      </c>
      <c r="O171" s="11" t="s">
        <v>280</v>
      </c>
      <c r="P171" s="27" t="s">
        <v>174</v>
      </c>
      <c r="Q171" s="11" t="s">
        <v>34</v>
      </c>
      <c r="R171" s="2">
        <f t="shared" si="76"/>
        <v>332189.49</v>
      </c>
      <c r="S171" s="2">
        <v>332189.49</v>
      </c>
      <c r="T171" s="2">
        <v>0</v>
      </c>
      <c r="U171" s="1">
        <f t="shared" si="77"/>
        <v>46217.52</v>
      </c>
      <c r="V171" s="28">
        <v>46217.52</v>
      </c>
      <c r="W171" s="28">
        <v>0</v>
      </c>
      <c r="X171" s="1">
        <f t="shared" si="78"/>
        <v>12404.16</v>
      </c>
      <c r="Y171" s="2">
        <v>12404.16</v>
      </c>
      <c r="Z171" s="2">
        <v>0</v>
      </c>
      <c r="AA171" s="2">
        <f t="shared" si="79"/>
        <v>0</v>
      </c>
      <c r="AB171" s="2">
        <v>0</v>
      </c>
      <c r="AC171" s="2">
        <v>0</v>
      </c>
      <c r="AD171" s="16">
        <f t="shared" si="64"/>
        <v>390811.17</v>
      </c>
      <c r="AE171" s="2">
        <v>0</v>
      </c>
      <c r="AF171" s="2">
        <f t="shared" si="80"/>
        <v>390811.17</v>
      </c>
      <c r="AG171" s="38" t="s">
        <v>486</v>
      </c>
      <c r="AH171" s="29"/>
      <c r="AI171" s="30">
        <f>768.74+5744.31+44414.97</f>
        <v>50928.020000000004</v>
      </c>
      <c r="AJ171" s="30">
        <f>117.57+878.54+6792.88</f>
        <v>7788.99</v>
      </c>
    </row>
    <row r="172" spans="1:36" s="179" customFormat="1" ht="173.25" x14ac:dyDescent="0.25">
      <c r="A172" s="6">
        <v>169</v>
      </c>
      <c r="B172" s="31">
        <v>152221</v>
      </c>
      <c r="C172" s="31">
        <v>1122</v>
      </c>
      <c r="D172" s="9" t="s">
        <v>1639</v>
      </c>
      <c r="E172" s="24" t="s">
        <v>1801</v>
      </c>
      <c r="F172" s="11" t="s">
        <v>1859</v>
      </c>
      <c r="G172" s="31" t="s">
        <v>1611</v>
      </c>
      <c r="H172" s="8" t="s">
        <v>151</v>
      </c>
      <c r="I172" s="12" t="s">
        <v>1860</v>
      </c>
      <c r="J172" s="25">
        <v>44509</v>
      </c>
      <c r="K172" s="25">
        <v>44935</v>
      </c>
      <c r="L172" s="26">
        <f t="shared" si="75"/>
        <v>85.000001218573288</v>
      </c>
      <c r="M172" s="11">
        <v>2</v>
      </c>
      <c r="N172" s="11" t="s">
        <v>280</v>
      </c>
      <c r="O172" s="11" t="s">
        <v>1614</v>
      </c>
      <c r="P172" s="27" t="s">
        <v>174</v>
      </c>
      <c r="Q172" s="11" t="s">
        <v>34</v>
      </c>
      <c r="R172" s="2">
        <f t="shared" si="76"/>
        <v>348768.52</v>
      </c>
      <c r="S172" s="2">
        <v>348768.52</v>
      </c>
      <c r="T172" s="2">
        <v>0</v>
      </c>
      <c r="U172" s="1">
        <f t="shared" si="77"/>
        <v>53341.06</v>
      </c>
      <c r="V172" s="28">
        <v>53341.06</v>
      </c>
      <c r="W172" s="28">
        <v>0</v>
      </c>
      <c r="X172" s="1">
        <f t="shared" si="78"/>
        <v>8206.32</v>
      </c>
      <c r="Y172" s="2">
        <v>8206.32</v>
      </c>
      <c r="Z172" s="2">
        <v>0</v>
      </c>
      <c r="AA172" s="2">
        <f t="shared" si="79"/>
        <v>0</v>
      </c>
      <c r="AB172" s="2">
        <v>0</v>
      </c>
      <c r="AC172" s="2">
        <v>0</v>
      </c>
      <c r="AD172" s="16">
        <f t="shared" si="64"/>
        <v>410315.9</v>
      </c>
      <c r="AE172" s="2">
        <v>0</v>
      </c>
      <c r="AF172" s="2">
        <f t="shared" si="80"/>
        <v>410315.9</v>
      </c>
      <c r="AG172" s="38" t="s">
        <v>486</v>
      </c>
      <c r="AH172" s="29"/>
      <c r="AI172" s="30">
        <v>45517.5</v>
      </c>
      <c r="AJ172" s="30">
        <v>6961.5</v>
      </c>
    </row>
    <row r="173" spans="1:36" s="179" customFormat="1" ht="267.75" x14ac:dyDescent="0.25">
      <c r="A173" s="6">
        <v>170</v>
      </c>
      <c r="B173" s="31">
        <v>152212</v>
      </c>
      <c r="C173" s="31">
        <v>1144</v>
      </c>
      <c r="D173" s="9" t="s">
        <v>1639</v>
      </c>
      <c r="E173" s="24" t="s">
        <v>1801</v>
      </c>
      <c r="F173" s="11" t="s">
        <v>1937</v>
      </c>
      <c r="G173" s="31" t="s">
        <v>279</v>
      </c>
      <c r="H173" s="8" t="s">
        <v>151</v>
      </c>
      <c r="I173" s="12" t="s">
        <v>2693</v>
      </c>
      <c r="J173" s="25">
        <v>44544</v>
      </c>
      <c r="K173" s="25">
        <v>44909</v>
      </c>
      <c r="L173" s="26">
        <f t="shared" si="75"/>
        <v>85.000000000000014</v>
      </c>
      <c r="M173" s="11">
        <v>2</v>
      </c>
      <c r="N173" s="11" t="s">
        <v>280</v>
      </c>
      <c r="O173" s="11" t="s">
        <v>281</v>
      </c>
      <c r="P173" s="27" t="s">
        <v>174</v>
      </c>
      <c r="Q173" s="11" t="s">
        <v>34</v>
      </c>
      <c r="R173" s="2">
        <f t="shared" si="76"/>
        <v>352608.9</v>
      </c>
      <c r="S173" s="2">
        <v>352608.9</v>
      </c>
      <c r="T173" s="2">
        <v>0</v>
      </c>
      <c r="U173" s="1">
        <f t="shared" si="77"/>
        <v>53928.42</v>
      </c>
      <c r="V173" s="28">
        <v>53928.42</v>
      </c>
      <c r="W173" s="28">
        <v>0</v>
      </c>
      <c r="X173" s="1">
        <f t="shared" si="78"/>
        <v>8296.68</v>
      </c>
      <c r="Y173" s="2">
        <v>8296.68</v>
      </c>
      <c r="Z173" s="2">
        <v>0</v>
      </c>
      <c r="AA173" s="2">
        <f t="shared" si="79"/>
        <v>0</v>
      </c>
      <c r="AB173" s="2">
        <v>0</v>
      </c>
      <c r="AC173" s="2">
        <v>0</v>
      </c>
      <c r="AD173" s="16">
        <f t="shared" si="64"/>
        <v>414834</v>
      </c>
      <c r="AE173" s="2">
        <v>0</v>
      </c>
      <c r="AF173" s="2">
        <f t="shared" si="80"/>
        <v>414834</v>
      </c>
      <c r="AG173" s="38" t="s">
        <v>486</v>
      </c>
      <c r="AH173" s="29"/>
      <c r="AI173" s="30">
        <v>0</v>
      </c>
      <c r="AJ173" s="30">
        <v>0</v>
      </c>
    </row>
    <row r="174" spans="1:36" s="179" customFormat="1" ht="141.75" x14ac:dyDescent="0.25">
      <c r="A174" s="6">
        <v>171</v>
      </c>
      <c r="B174" s="31">
        <v>155101</v>
      </c>
      <c r="C174" s="31">
        <v>1169</v>
      </c>
      <c r="D174" s="9" t="s">
        <v>1638</v>
      </c>
      <c r="E174" s="24" t="s">
        <v>2014</v>
      </c>
      <c r="F174" s="11" t="s">
        <v>2020</v>
      </c>
      <c r="G174" s="31" t="s">
        <v>2019</v>
      </c>
      <c r="H174" s="8" t="s">
        <v>151</v>
      </c>
      <c r="I174" s="12" t="s">
        <v>2694</v>
      </c>
      <c r="J174" s="25">
        <v>44637</v>
      </c>
      <c r="K174" s="25">
        <v>45124</v>
      </c>
      <c r="L174" s="26">
        <f t="shared" si="75"/>
        <v>85</v>
      </c>
      <c r="M174" s="11">
        <v>2</v>
      </c>
      <c r="N174" s="11" t="s">
        <v>280</v>
      </c>
      <c r="O174" s="11" t="s">
        <v>2021</v>
      </c>
      <c r="P174" s="27" t="s">
        <v>174</v>
      </c>
      <c r="Q174" s="11" t="s">
        <v>34</v>
      </c>
      <c r="R174" s="2">
        <f t="shared" si="76"/>
        <v>1254107</v>
      </c>
      <c r="S174" s="2">
        <v>1254107</v>
      </c>
      <c r="T174" s="2">
        <v>0</v>
      </c>
      <c r="U174" s="1">
        <f t="shared" si="77"/>
        <v>191804.6</v>
      </c>
      <c r="V174" s="28">
        <v>191804.6</v>
      </c>
      <c r="W174" s="28">
        <v>0</v>
      </c>
      <c r="X174" s="1">
        <f t="shared" si="78"/>
        <v>29508.400000000001</v>
      </c>
      <c r="Y174" s="2">
        <v>29508.400000000001</v>
      </c>
      <c r="Z174" s="2">
        <v>0</v>
      </c>
      <c r="AA174" s="2">
        <f t="shared" si="79"/>
        <v>0</v>
      </c>
      <c r="AB174" s="2">
        <v>0</v>
      </c>
      <c r="AC174" s="2">
        <v>0</v>
      </c>
      <c r="AD174" s="16">
        <f t="shared" si="64"/>
        <v>1475420</v>
      </c>
      <c r="AE174" s="2">
        <v>0</v>
      </c>
      <c r="AF174" s="2">
        <f t="shared" si="80"/>
        <v>1475420</v>
      </c>
      <c r="AG174" s="38" t="s">
        <v>486</v>
      </c>
      <c r="AH174" s="29"/>
      <c r="AI174" s="30">
        <f>145000-14309.75</f>
        <v>130690.25</v>
      </c>
      <c r="AJ174" s="30">
        <f>14309.75</f>
        <v>14309.75</v>
      </c>
    </row>
    <row r="175" spans="1:36" s="179" customFormat="1" ht="141.75" x14ac:dyDescent="0.25">
      <c r="A175" s="6">
        <v>172</v>
      </c>
      <c r="B175" s="31">
        <v>154771</v>
      </c>
      <c r="C175" s="31">
        <v>1183</v>
      </c>
      <c r="D175" s="9" t="s">
        <v>1638</v>
      </c>
      <c r="E175" s="24" t="s">
        <v>2014</v>
      </c>
      <c r="F175" s="11" t="s">
        <v>2060</v>
      </c>
      <c r="G175" s="31" t="s">
        <v>2059</v>
      </c>
      <c r="H175" s="8" t="s">
        <v>151</v>
      </c>
      <c r="I175" s="12" t="s">
        <v>2695</v>
      </c>
      <c r="J175" s="25">
        <v>44649</v>
      </c>
      <c r="K175" s="25">
        <v>45136</v>
      </c>
      <c r="L175" s="26">
        <f t="shared" si="75"/>
        <v>85</v>
      </c>
      <c r="M175" s="11">
        <v>2</v>
      </c>
      <c r="N175" s="11" t="s">
        <v>280</v>
      </c>
      <c r="O175" s="11" t="s">
        <v>2061</v>
      </c>
      <c r="P175" s="27" t="s">
        <v>174</v>
      </c>
      <c r="Q175" s="11" t="s">
        <v>34</v>
      </c>
      <c r="R175" s="2">
        <f t="shared" si="76"/>
        <v>1254107</v>
      </c>
      <c r="S175" s="2">
        <v>1254107</v>
      </c>
      <c r="T175" s="2">
        <v>0</v>
      </c>
      <c r="U175" s="1">
        <f t="shared" si="77"/>
        <v>191804.6</v>
      </c>
      <c r="V175" s="28">
        <v>191804.6</v>
      </c>
      <c r="W175" s="28">
        <v>0</v>
      </c>
      <c r="X175" s="1">
        <f t="shared" si="78"/>
        <v>29508.400000000001</v>
      </c>
      <c r="Y175" s="2">
        <v>29508.400000000001</v>
      </c>
      <c r="Z175" s="2">
        <v>0</v>
      </c>
      <c r="AA175" s="2">
        <f t="shared" si="79"/>
        <v>0</v>
      </c>
      <c r="AB175" s="2">
        <v>0</v>
      </c>
      <c r="AC175" s="2">
        <v>0</v>
      </c>
      <c r="AD175" s="16">
        <f t="shared" si="64"/>
        <v>1475420</v>
      </c>
      <c r="AE175" s="2">
        <v>0</v>
      </c>
      <c r="AF175" s="2">
        <f t="shared" si="80"/>
        <v>1475420</v>
      </c>
      <c r="AG175" s="38" t="s">
        <v>486</v>
      </c>
      <c r="AH175" s="29"/>
      <c r="AI175" s="30">
        <f>145000-9428.74</f>
        <v>135571.26</v>
      </c>
      <c r="AJ175" s="30">
        <v>9428.74</v>
      </c>
    </row>
    <row r="176" spans="1:36" s="179" customFormat="1" ht="236.25" x14ac:dyDescent="0.25">
      <c r="A176" s="6">
        <v>173</v>
      </c>
      <c r="B176" s="31">
        <v>154659</v>
      </c>
      <c r="C176" s="31">
        <v>1159</v>
      </c>
      <c r="D176" s="9" t="s">
        <v>1638</v>
      </c>
      <c r="E176" s="24" t="s">
        <v>2014</v>
      </c>
      <c r="F176" s="11" t="s">
        <v>2085</v>
      </c>
      <c r="G176" s="31" t="s">
        <v>2084</v>
      </c>
      <c r="H176" s="8" t="s">
        <v>151</v>
      </c>
      <c r="I176" s="12" t="s">
        <v>2696</v>
      </c>
      <c r="J176" s="25">
        <v>44655</v>
      </c>
      <c r="K176" s="25">
        <v>45142</v>
      </c>
      <c r="L176" s="26">
        <f t="shared" si="75"/>
        <v>85.000000291371691</v>
      </c>
      <c r="M176" s="11">
        <v>2</v>
      </c>
      <c r="N176" s="11" t="s">
        <v>280</v>
      </c>
      <c r="O176" s="11" t="s">
        <v>2086</v>
      </c>
      <c r="P176" s="27" t="s">
        <v>174</v>
      </c>
      <c r="Q176" s="11" t="s">
        <v>34</v>
      </c>
      <c r="R176" s="2">
        <f t="shared" si="76"/>
        <v>2187927.08</v>
      </c>
      <c r="S176" s="2">
        <v>2187927.08</v>
      </c>
      <c r="T176" s="2">
        <v>0</v>
      </c>
      <c r="U176" s="1">
        <f t="shared" si="77"/>
        <v>334624.13</v>
      </c>
      <c r="V176" s="28">
        <v>334624.13</v>
      </c>
      <c r="W176" s="28">
        <v>0</v>
      </c>
      <c r="X176" s="1">
        <f t="shared" si="78"/>
        <v>51480.639999999999</v>
      </c>
      <c r="Y176" s="2">
        <v>51480.639999999999</v>
      </c>
      <c r="Z176" s="2">
        <v>0</v>
      </c>
      <c r="AA176" s="2">
        <f t="shared" si="79"/>
        <v>0</v>
      </c>
      <c r="AB176" s="2">
        <v>0</v>
      </c>
      <c r="AC176" s="2">
        <v>0</v>
      </c>
      <c r="AD176" s="16">
        <f t="shared" si="64"/>
        <v>2574031.85</v>
      </c>
      <c r="AE176" s="2">
        <v>0</v>
      </c>
      <c r="AF176" s="2">
        <f t="shared" si="80"/>
        <v>2574031.85</v>
      </c>
      <c r="AG176" s="38" t="s">
        <v>486</v>
      </c>
      <c r="AH176" s="29"/>
      <c r="AI176" s="30">
        <v>0</v>
      </c>
      <c r="AJ176" s="30">
        <v>0</v>
      </c>
    </row>
    <row r="177" spans="1:37" s="179" customFormat="1" ht="173.25" x14ac:dyDescent="0.25">
      <c r="A177" s="6">
        <v>174</v>
      </c>
      <c r="B177" s="31">
        <v>154594</v>
      </c>
      <c r="C177" s="31">
        <v>1182</v>
      </c>
      <c r="D177" s="9" t="s">
        <v>1638</v>
      </c>
      <c r="E177" s="24" t="s">
        <v>2014</v>
      </c>
      <c r="F177" s="11" t="s">
        <v>2199</v>
      </c>
      <c r="G177" s="31" t="s">
        <v>1653</v>
      </c>
      <c r="H177" s="8" t="s">
        <v>151</v>
      </c>
      <c r="I177" s="12" t="s">
        <v>2697</v>
      </c>
      <c r="J177" s="25">
        <v>44694</v>
      </c>
      <c r="K177" s="25">
        <v>45120</v>
      </c>
      <c r="L177" s="26">
        <f t="shared" si="75"/>
        <v>85.000001035993961</v>
      </c>
      <c r="M177" s="11">
        <v>2</v>
      </c>
      <c r="N177" s="11" t="s">
        <v>280</v>
      </c>
      <c r="O177" s="11" t="s">
        <v>280</v>
      </c>
      <c r="P177" s="27" t="s">
        <v>174</v>
      </c>
      <c r="Q177" s="11" t="s">
        <v>34</v>
      </c>
      <c r="R177" s="2">
        <f t="shared" si="76"/>
        <v>410234.06</v>
      </c>
      <c r="S177" s="2">
        <v>410234.06</v>
      </c>
      <c r="T177" s="2">
        <v>0</v>
      </c>
      <c r="U177" s="1">
        <f t="shared" si="77"/>
        <v>62741.67</v>
      </c>
      <c r="V177" s="28">
        <v>62741.67</v>
      </c>
      <c r="W177" s="28">
        <v>0</v>
      </c>
      <c r="X177" s="1">
        <f t="shared" si="78"/>
        <v>9652.57</v>
      </c>
      <c r="Y177" s="2">
        <v>9652.57</v>
      </c>
      <c r="Z177" s="2">
        <v>0</v>
      </c>
      <c r="AA177" s="2">
        <f t="shared" si="79"/>
        <v>0</v>
      </c>
      <c r="AB177" s="2">
        <v>0</v>
      </c>
      <c r="AC177" s="2">
        <v>0</v>
      </c>
      <c r="AD177" s="16">
        <f t="shared" si="64"/>
        <v>482628.3</v>
      </c>
      <c r="AE177" s="2">
        <v>0</v>
      </c>
      <c r="AF177" s="2">
        <f t="shared" si="80"/>
        <v>482628.3</v>
      </c>
      <c r="AG177" s="38" t="s">
        <v>486</v>
      </c>
      <c r="AH177" s="29"/>
      <c r="AI177" s="30">
        <v>0</v>
      </c>
      <c r="AJ177" s="30">
        <v>0</v>
      </c>
    </row>
    <row r="178" spans="1:37" s="179" customFormat="1" ht="141.75" x14ac:dyDescent="0.25">
      <c r="A178" s="6">
        <v>175</v>
      </c>
      <c r="B178" s="31">
        <v>126515</v>
      </c>
      <c r="C178" s="11">
        <v>547</v>
      </c>
      <c r="D178" s="9" t="s">
        <v>1638</v>
      </c>
      <c r="E178" s="32" t="s">
        <v>899</v>
      </c>
      <c r="F178" s="27" t="s">
        <v>992</v>
      </c>
      <c r="G178" s="11" t="s">
        <v>993</v>
      </c>
      <c r="H178" s="8" t="s">
        <v>151</v>
      </c>
      <c r="I178" s="32" t="s">
        <v>1305</v>
      </c>
      <c r="J178" s="25">
        <v>43521</v>
      </c>
      <c r="K178" s="25">
        <v>44798</v>
      </c>
      <c r="L178" s="26">
        <f>R178/AD178*100</f>
        <v>84.999999929518182</v>
      </c>
      <c r="M178" s="11">
        <v>7</v>
      </c>
      <c r="N178" s="11" t="s">
        <v>994</v>
      </c>
      <c r="O178" s="11" t="s">
        <v>995</v>
      </c>
      <c r="P178" s="11" t="s">
        <v>174</v>
      </c>
      <c r="Q178" s="11" t="s">
        <v>34</v>
      </c>
      <c r="R178" s="1">
        <f>S178+T178</f>
        <v>2411970.2999999998</v>
      </c>
      <c r="S178" s="51">
        <v>2411970.2999999998</v>
      </c>
      <c r="T178" s="30">
        <v>0</v>
      </c>
      <c r="U178" s="1">
        <f t="shared" si="77"/>
        <v>368889.58</v>
      </c>
      <c r="V178" s="55">
        <v>368889.58</v>
      </c>
      <c r="W178" s="42">
        <v>0</v>
      </c>
      <c r="X178" s="1">
        <f t="shared" si="78"/>
        <v>56752.24</v>
      </c>
      <c r="Y178" s="51">
        <v>56752.24</v>
      </c>
      <c r="Z178" s="51">
        <v>0</v>
      </c>
      <c r="AA178" s="1">
        <f>AB178+AC178</f>
        <v>0</v>
      </c>
      <c r="AB178" s="51">
        <v>0</v>
      </c>
      <c r="AC178" s="51">
        <v>0</v>
      </c>
      <c r="AD178" s="16">
        <f t="shared" si="64"/>
        <v>2837612.12</v>
      </c>
      <c r="AE178" s="51">
        <v>72392.72</v>
      </c>
      <c r="AF178" s="2">
        <f>AD178+AE178</f>
        <v>2910004.8400000003</v>
      </c>
      <c r="AG178" s="38" t="s">
        <v>857</v>
      </c>
      <c r="AH178" s="38" t="s">
        <v>1791</v>
      </c>
      <c r="AI178" s="30">
        <f>41642.35+26052.89+215969.7+11456.3+369748.88+29499.25+500948.51+228723.1</f>
        <v>1424040.98</v>
      </c>
      <c r="AJ178" s="30">
        <f>6368.83+3984.56+33030.66+1752.14+56549.83+4511.65+76615.66+34981.18</f>
        <v>217794.51</v>
      </c>
    </row>
    <row r="179" spans="1:37" s="179" customFormat="1" ht="141.75" x14ac:dyDescent="0.25">
      <c r="A179" s="6">
        <v>176</v>
      </c>
      <c r="B179" s="31">
        <v>154600</v>
      </c>
      <c r="C179" s="11">
        <v>1167</v>
      </c>
      <c r="D179" s="9" t="s">
        <v>1638</v>
      </c>
      <c r="E179" s="24" t="s">
        <v>2014</v>
      </c>
      <c r="F179" s="27" t="s">
        <v>2116</v>
      </c>
      <c r="G179" s="11" t="s">
        <v>2115</v>
      </c>
      <c r="H179" s="8" t="s">
        <v>151</v>
      </c>
      <c r="I179" s="32" t="s">
        <v>2698</v>
      </c>
      <c r="J179" s="25">
        <v>44662</v>
      </c>
      <c r="K179" s="25">
        <v>45149</v>
      </c>
      <c r="L179" s="26">
        <f>R179/AD179*100</f>
        <v>85.000000143943268</v>
      </c>
      <c r="M179" s="11">
        <v>7</v>
      </c>
      <c r="N179" s="11" t="s">
        <v>994</v>
      </c>
      <c r="O179" s="11" t="s">
        <v>995</v>
      </c>
      <c r="P179" s="11" t="s">
        <v>174</v>
      </c>
      <c r="Q179" s="11" t="s">
        <v>34</v>
      </c>
      <c r="R179" s="1">
        <f>S179+T179</f>
        <v>2952552.27</v>
      </c>
      <c r="S179" s="51">
        <v>2952552.27</v>
      </c>
      <c r="T179" s="30">
        <v>0</v>
      </c>
      <c r="U179" s="1">
        <f t="shared" si="77"/>
        <v>451566.82</v>
      </c>
      <c r="V179" s="55">
        <v>451566.82</v>
      </c>
      <c r="W179" s="42">
        <v>0</v>
      </c>
      <c r="X179" s="1">
        <f t="shared" si="78"/>
        <v>69471.81</v>
      </c>
      <c r="Y179" s="51">
        <v>69471.81</v>
      </c>
      <c r="Z179" s="51">
        <v>0</v>
      </c>
      <c r="AA179" s="1">
        <f>AB179+AC179</f>
        <v>0</v>
      </c>
      <c r="AB179" s="51">
        <v>0</v>
      </c>
      <c r="AC179" s="51">
        <v>0</v>
      </c>
      <c r="AD179" s="16">
        <f t="shared" si="64"/>
        <v>3473590.9</v>
      </c>
      <c r="AE179" s="51">
        <v>0</v>
      </c>
      <c r="AF179" s="2">
        <f>AD179+AE179</f>
        <v>3473590.9</v>
      </c>
      <c r="AG179" s="38" t="s">
        <v>486</v>
      </c>
      <c r="AH179" s="38"/>
      <c r="AI179" s="30">
        <v>107593.2</v>
      </c>
      <c r="AJ179" s="30">
        <v>16455.43</v>
      </c>
    </row>
    <row r="180" spans="1:37" s="181" customFormat="1" ht="189" x14ac:dyDescent="0.25">
      <c r="A180" s="6">
        <v>177</v>
      </c>
      <c r="B180" s="31">
        <v>120631</v>
      </c>
      <c r="C180" s="11">
        <v>81</v>
      </c>
      <c r="D180" s="9" t="s">
        <v>1638</v>
      </c>
      <c r="E180" s="24" t="s">
        <v>277</v>
      </c>
      <c r="F180" s="27" t="s">
        <v>187</v>
      </c>
      <c r="G180" s="27" t="s">
        <v>188</v>
      </c>
      <c r="H180" s="8" t="s">
        <v>151</v>
      </c>
      <c r="I180" s="32" t="s">
        <v>1212</v>
      </c>
      <c r="J180" s="25">
        <v>43129</v>
      </c>
      <c r="K180" s="25">
        <v>43614</v>
      </c>
      <c r="L180" s="26">
        <f t="shared" ref="L180:L187" si="81">R180/AD180*100</f>
        <v>84.999999195969949</v>
      </c>
      <c r="M180" s="11">
        <v>3</v>
      </c>
      <c r="N180" s="11" t="s">
        <v>189</v>
      </c>
      <c r="O180" s="11" t="s">
        <v>201</v>
      </c>
      <c r="P180" s="27" t="s">
        <v>174</v>
      </c>
      <c r="Q180" s="11" t="s">
        <v>34</v>
      </c>
      <c r="R180" s="2">
        <f t="shared" ref="R180:R187" si="82">S180+T180</f>
        <v>528587.19999999995</v>
      </c>
      <c r="S180" s="57">
        <v>528587.19999999995</v>
      </c>
      <c r="T180" s="30">
        <v>0</v>
      </c>
      <c r="U180" s="1">
        <f t="shared" ref="U180:U198" si="83">V180+W180</f>
        <v>80842.75</v>
      </c>
      <c r="V180" s="87">
        <v>80842.75</v>
      </c>
      <c r="W180" s="42">
        <v>0</v>
      </c>
      <c r="X180" s="1">
        <f t="shared" ref="X180:X198" si="84">Y180+Z180</f>
        <v>12437.35</v>
      </c>
      <c r="Y180" s="57">
        <v>12437.35</v>
      </c>
      <c r="Z180" s="2">
        <v>0</v>
      </c>
      <c r="AA180" s="2">
        <f t="shared" ref="AA180:AA187" si="85">AB180+AC180</f>
        <v>0</v>
      </c>
      <c r="AB180" s="2">
        <v>0</v>
      </c>
      <c r="AC180" s="2">
        <v>0</v>
      </c>
      <c r="AD180" s="16">
        <f t="shared" si="64"/>
        <v>621867.29999999993</v>
      </c>
      <c r="AE180" s="2">
        <v>0</v>
      </c>
      <c r="AF180" s="2">
        <f t="shared" ref="AF180:AF187" si="86">AD180+AE180</f>
        <v>621867.29999999993</v>
      </c>
      <c r="AG180" s="21" t="s">
        <v>857</v>
      </c>
      <c r="AH180" s="29" t="s">
        <v>151</v>
      </c>
      <c r="AI180" s="30">
        <v>445145.72000000009</v>
      </c>
      <c r="AJ180" s="30">
        <v>68081.099999999919</v>
      </c>
    </row>
    <row r="181" spans="1:37" s="179" customFormat="1" ht="204.75" x14ac:dyDescent="0.25">
      <c r="A181" s="6">
        <v>178</v>
      </c>
      <c r="B181" s="31">
        <v>118772</v>
      </c>
      <c r="C181" s="31">
        <v>441</v>
      </c>
      <c r="D181" s="32" t="s">
        <v>1639</v>
      </c>
      <c r="E181" s="32" t="s">
        <v>507</v>
      </c>
      <c r="F181" s="27" t="s">
        <v>706</v>
      </c>
      <c r="G181" s="27" t="s">
        <v>705</v>
      </c>
      <c r="H181" s="8" t="s">
        <v>151</v>
      </c>
      <c r="I181" s="32" t="s">
        <v>707</v>
      </c>
      <c r="J181" s="25">
        <v>43313</v>
      </c>
      <c r="K181" s="25">
        <v>43678</v>
      </c>
      <c r="L181" s="26">
        <f t="shared" si="81"/>
        <v>85</v>
      </c>
      <c r="M181" s="40">
        <v>3</v>
      </c>
      <c r="N181" s="11" t="s">
        <v>189</v>
      </c>
      <c r="O181" s="11" t="s">
        <v>708</v>
      </c>
      <c r="P181" s="27" t="s">
        <v>174</v>
      </c>
      <c r="Q181" s="11" t="s">
        <v>34</v>
      </c>
      <c r="R181" s="2">
        <f t="shared" si="82"/>
        <v>232055.1</v>
      </c>
      <c r="S181" s="30">
        <v>232055.1</v>
      </c>
      <c r="T181" s="30">
        <v>0</v>
      </c>
      <c r="U181" s="1">
        <f t="shared" si="83"/>
        <v>35490.78</v>
      </c>
      <c r="V181" s="42">
        <v>35490.78</v>
      </c>
      <c r="W181" s="42">
        <v>0</v>
      </c>
      <c r="X181" s="1">
        <f t="shared" si="84"/>
        <v>5460.12</v>
      </c>
      <c r="Y181" s="30">
        <v>5460.12</v>
      </c>
      <c r="Z181" s="30">
        <v>0</v>
      </c>
      <c r="AA181" s="2">
        <f t="shared" si="85"/>
        <v>0</v>
      </c>
      <c r="AB181" s="30">
        <v>0</v>
      </c>
      <c r="AC181" s="30">
        <v>0</v>
      </c>
      <c r="AD181" s="16">
        <f t="shared" si="64"/>
        <v>273006</v>
      </c>
      <c r="AE181" s="35">
        <v>0</v>
      </c>
      <c r="AF181" s="2">
        <f t="shared" si="86"/>
        <v>273006</v>
      </c>
      <c r="AG181" s="21" t="s">
        <v>857</v>
      </c>
      <c r="AH181" s="29" t="s">
        <v>151</v>
      </c>
      <c r="AI181" s="30">
        <v>226177.33000000002</v>
      </c>
      <c r="AJ181" s="30">
        <v>34591.82</v>
      </c>
    </row>
    <row r="182" spans="1:37" s="179" customFormat="1" ht="310.5" customHeight="1" x14ac:dyDescent="0.25">
      <c r="A182" s="6">
        <v>179</v>
      </c>
      <c r="B182" s="31">
        <v>129704</v>
      </c>
      <c r="C182" s="31">
        <v>671</v>
      </c>
      <c r="D182" s="9" t="s">
        <v>1638</v>
      </c>
      <c r="E182" s="32" t="s">
        <v>1071</v>
      </c>
      <c r="F182" s="88" t="s">
        <v>1251</v>
      </c>
      <c r="G182" s="27" t="str">
        <f>$G$181</f>
        <v>Municipiul Moreni</v>
      </c>
      <c r="H182" s="8" t="s">
        <v>151</v>
      </c>
      <c r="I182" s="32" t="s">
        <v>2699</v>
      </c>
      <c r="J182" s="25">
        <v>43706</v>
      </c>
      <c r="K182" s="25">
        <v>44741</v>
      </c>
      <c r="L182" s="26">
        <f t="shared" si="81"/>
        <v>84.999999926251363</v>
      </c>
      <c r="M182" s="40">
        <f>M181</f>
        <v>3</v>
      </c>
      <c r="N182" s="11" t="str">
        <f>N181</f>
        <v>Dâmbovița</v>
      </c>
      <c r="O182" s="11" t="str">
        <f>O181</f>
        <v>Moreni</v>
      </c>
      <c r="P182" s="27" t="str">
        <f>P181</f>
        <v>APL</v>
      </c>
      <c r="Q182" s="11" t="str">
        <f>Q181</f>
        <v>119 - Investiții în capacitatea instituțională și în eficiența administrațiilor și a serviciilor publice la nivel național, regional și local, în perspectiva realizării de reforme, a unei mai bune legiferări și a bunei guvernanțe</v>
      </c>
      <c r="R182" s="2">
        <f t="shared" si="82"/>
        <v>1152563.67</v>
      </c>
      <c r="S182" s="30">
        <v>1152563.67</v>
      </c>
      <c r="T182" s="30">
        <v>0</v>
      </c>
      <c r="U182" s="1">
        <f t="shared" si="83"/>
        <v>176274.44</v>
      </c>
      <c r="V182" s="42">
        <v>176274.44</v>
      </c>
      <c r="W182" s="42">
        <v>0</v>
      </c>
      <c r="X182" s="1">
        <f t="shared" si="84"/>
        <v>27119.15</v>
      </c>
      <c r="Y182" s="30">
        <v>27119.15</v>
      </c>
      <c r="Z182" s="30">
        <v>0</v>
      </c>
      <c r="AA182" s="2">
        <f t="shared" si="85"/>
        <v>0</v>
      </c>
      <c r="AB182" s="30">
        <v>0</v>
      </c>
      <c r="AC182" s="30">
        <v>0</v>
      </c>
      <c r="AD182" s="16">
        <f t="shared" si="64"/>
        <v>1355957.2599999998</v>
      </c>
      <c r="AE182" s="55">
        <v>0</v>
      </c>
      <c r="AF182" s="2">
        <f t="shared" si="86"/>
        <v>1355957.2599999998</v>
      </c>
      <c r="AG182" s="38" t="s">
        <v>857</v>
      </c>
      <c r="AH182" s="29" t="s">
        <v>1862</v>
      </c>
      <c r="AI182" s="30">
        <f>122408.7+133598.52+207668.6+365655.55+108654.97+135595.72+35458.89</f>
        <v>1109040.9499999997</v>
      </c>
      <c r="AJ182" s="30">
        <f>13187.02+5228.86+31761.08+55923.79+37355.96+26161.3</f>
        <v>169618.00999999998</v>
      </c>
    </row>
    <row r="183" spans="1:37" s="179" customFormat="1" ht="204.75" x14ac:dyDescent="0.25">
      <c r="A183" s="6">
        <v>180</v>
      </c>
      <c r="B183" s="31">
        <v>135834</v>
      </c>
      <c r="C183" s="31">
        <v>853</v>
      </c>
      <c r="D183" s="9" t="s">
        <v>1638</v>
      </c>
      <c r="E183" s="24" t="s">
        <v>1441</v>
      </c>
      <c r="F183" s="88" t="s">
        <v>1493</v>
      </c>
      <c r="G183" s="27" t="s">
        <v>188</v>
      </c>
      <c r="H183" s="8" t="s">
        <v>151</v>
      </c>
      <c r="I183" s="32" t="s">
        <v>2700</v>
      </c>
      <c r="J183" s="25">
        <v>43969</v>
      </c>
      <c r="K183" s="25">
        <v>45064</v>
      </c>
      <c r="L183" s="26">
        <f t="shared" si="81"/>
        <v>85.000000013095061</v>
      </c>
      <c r="M183" s="40">
        <f>M182</f>
        <v>3</v>
      </c>
      <c r="N183" s="11" t="str">
        <f>N182</f>
        <v>Dâmbovița</v>
      </c>
      <c r="O183" s="11" t="s">
        <v>1494</v>
      </c>
      <c r="P183" s="27" t="str">
        <f>P182</f>
        <v>APL</v>
      </c>
      <c r="Q183" s="11" t="s">
        <v>34</v>
      </c>
      <c r="R183" s="2">
        <f t="shared" si="82"/>
        <v>3245498.96</v>
      </c>
      <c r="S183" s="30">
        <v>3245498.96</v>
      </c>
      <c r="T183" s="30">
        <v>0</v>
      </c>
      <c r="U183" s="1">
        <f t="shared" si="83"/>
        <v>496370.44</v>
      </c>
      <c r="V183" s="42">
        <v>496370.44</v>
      </c>
      <c r="W183" s="42">
        <v>0</v>
      </c>
      <c r="X183" s="1">
        <f t="shared" si="84"/>
        <v>76364.67</v>
      </c>
      <c r="Y183" s="30">
        <v>76364.67</v>
      </c>
      <c r="Z183" s="30">
        <v>0</v>
      </c>
      <c r="AA183" s="2">
        <f t="shared" si="85"/>
        <v>0</v>
      </c>
      <c r="AB183" s="30">
        <v>0</v>
      </c>
      <c r="AC183" s="30">
        <v>0</v>
      </c>
      <c r="AD183" s="16">
        <f t="shared" si="64"/>
        <v>3818234.07</v>
      </c>
      <c r="AE183" s="55">
        <v>0</v>
      </c>
      <c r="AF183" s="2">
        <f t="shared" si="86"/>
        <v>3818234.07</v>
      </c>
      <c r="AG183" s="38" t="s">
        <v>486</v>
      </c>
      <c r="AH183" s="29" t="s">
        <v>2546</v>
      </c>
      <c r="AI183" s="30">
        <f>40624.48+115154.93+779307.87+377086.94</f>
        <v>1312174.22</v>
      </c>
      <c r="AJ183" s="30">
        <f>6213.16+17611.93+119188.26+57672.12</f>
        <v>200685.47</v>
      </c>
    </row>
    <row r="184" spans="1:37" s="179" customFormat="1" ht="141.75" x14ac:dyDescent="0.25">
      <c r="A184" s="6">
        <v>181</v>
      </c>
      <c r="B184" s="31">
        <v>152159</v>
      </c>
      <c r="C184" s="31">
        <v>1138</v>
      </c>
      <c r="D184" s="9" t="s">
        <v>1639</v>
      </c>
      <c r="E184" s="24" t="s">
        <v>1801</v>
      </c>
      <c r="F184" s="88" t="s">
        <v>1868</v>
      </c>
      <c r="G184" s="27" t="s">
        <v>1869</v>
      </c>
      <c r="H184" s="8" t="s">
        <v>151</v>
      </c>
      <c r="I184" s="32" t="s">
        <v>2701</v>
      </c>
      <c r="J184" s="25">
        <v>44518</v>
      </c>
      <c r="K184" s="25">
        <v>44883</v>
      </c>
      <c r="L184" s="26">
        <f t="shared" si="81"/>
        <v>85.000000000000014</v>
      </c>
      <c r="M184" s="11">
        <v>3</v>
      </c>
      <c r="N184" s="11" t="s">
        <v>189</v>
      </c>
      <c r="O184" s="11" t="s">
        <v>201</v>
      </c>
      <c r="P184" s="27" t="s">
        <v>174</v>
      </c>
      <c r="Q184" s="11" t="s">
        <v>34</v>
      </c>
      <c r="R184" s="2">
        <f t="shared" si="82"/>
        <v>352396.4</v>
      </c>
      <c r="S184" s="30">
        <v>352396.4</v>
      </c>
      <c r="T184" s="30">
        <v>0</v>
      </c>
      <c r="U184" s="1">
        <f t="shared" si="83"/>
        <v>53895.92</v>
      </c>
      <c r="V184" s="42">
        <v>53895.92</v>
      </c>
      <c r="W184" s="42">
        <v>0</v>
      </c>
      <c r="X184" s="1">
        <f t="shared" si="84"/>
        <v>8291.68</v>
      </c>
      <c r="Y184" s="30">
        <v>8291.68</v>
      </c>
      <c r="Z184" s="30">
        <v>0</v>
      </c>
      <c r="AA184" s="2">
        <f t="shared" si="85"/>
        <v>0</v>
      </c>
      <c r="AB184" s="30">
        <v>0</v>
      </c>
      <c r="AC184" s="30">
        <v>0</v>
      </c>
      <c r="AD184" s="16">
        <f t="shared" si="64"/>
        <v>414584</v>
      </c>
      <c r="AE184" s="55">
        <v>0</v>
      </c>
      <c r="AF184" s="2">
        <f t="shared" si="86"/>
        <v>414584</v>
      </c>
      <c r="AG184" s="38" t="s">
        <v>486</v>
      </c>
      <c r="AH184" s="29"/>
      <c r="AI184" s="30">
        <f>2994.08+140092.75</f>
        <v>143086.82999999999</v>
      </c>
      <c r="AJ184" s="30">
        <f>457.92+21425.95</f>
        <v>21883.87</v>
      </c>
    </row>
    <row r="185" spans="1:37" s="179" customFormat="1" ht="173.25" x14ac:dyDescent="0.25">
      <c r="A185" s="6">
        <v>182</v>
      </c>
      <c r="B185" s="31">
        <v>154915</v>
      </c>
      <c r="C185" s="31">
        <v>1194</v>
      </c>
      <c r="D185" s="9" t="s">
        <v>1638</v>
      </c>
      <c r="E185" s="24" t="s">
        <v>2014</v>
      </c>
      <c r="F185" s="88" t="s">
        <v>2074</v>
      </c>
      <c r="G185" s="27" t="s">
        <v>2073</v>
      </c>
      <c r="H185" s="8" t="s">
        <v>151</v>
      </c>
      <c r="I185" s="32" t="s">
        <v>2702</v>
      </c>
      <c r="J185" s="25">
        <v>44655</v>
      </c>
      <c r="K185" s="25">
        <v>45142</v>
      </c>
      <c r="L185" s="26">
        <f t="shared" si="81"/>
        <v>85</v>
      </c>
      <c r="M185" s="11">
        <v>3</v>
      </c>
      <c r="N185" s="11" t="s">
        <v>189</v>
      </c>
      <c r="O185" s="11" t="s">
        <v>201</v>
      </c>
      <c r="P185" s="27" t="s">
        <v>174</v>
      </c>
      <c r="Q185" s="11" t="s">
        <v>34</v>
      </c>
      <c r="R185" s="2">
        <f t="shared" si="82"/>
        <v>2475696.4</v>
      </c>
      <c r="S185" s="30">
        <v>2475696.4</v>
      </c>
      <c r="T185" s="30">
        <v>0</v>
      </c>
      <c r="U185" s="1">
        <f t="shared" si="83"/>
        <v>378635.92</v>
      </c>
      <c r="V185" s="42">
        <v>378635.92</v>
      </c>
      <c r="W185" s="42">
        <v>0</v>
      </c>
      <c r="X185" s="1">
        <f t="shared" si="84"/>
        <v>58251.68</v>
      </c>
      <c r="Y185" s="30">
        <v>58251.68</v>
      </c>
      <c r="Z185" s="30">
        <v>0</v>
      </c>
      <c r="AA185" s="2">
        <f t="shared" si="85"/>
        <v>0</v>
      </c>
      <c r="AB185" s="30">
        <v>0</v>
      </c>
      <c r="AC185" s="30">
        <v>0</v>
      </c>
      <c r="AD185" s="16">
        <f t="shared" si="64"/>
        <v>2912584</v>
      </c>
      <c r="AE185" s="55">
        <v>0</v>
      </c>
      <c r="AF185" s="2">
        <f t="shared" si="86"/>
        <v>2912584</v>
      </c>
      <c r="AG185" s="38" t="s">
        <v>486</v>
      </c>
      <c r="AH185" s="29"/>
      <c r="AI185" s="30">
        <v>0</v>
      </c>
      <c r="AJ185" s="30">
        <v>0</v>
      </c>
    </row>
    <row r="186" spans="1:37" s="179" customFormat="1" ht="173.25" x14ac:dyDescent="0.25">
      <c r="A186" s="6">
        <v>183</v>
      </c>
      <c r="B186" s="31">
        <v>154632</v>
      </c>
      <c r="C186" s="31">
        <v>1191</v>
      </c>
      <c r="D186" s="9" t="s">
        <v>1638</v>
      </c>
      <c r="E186" s="24" t="s">
        <v>2014</v>
      </c>
      <c r="F186" s="88" t="s">
        <v>2153</v>
      </c>
      <c r="G186" s="27" t="s">
        <v>1869</v>
      </c>
      <c r="H186" s="8" t="s">
        <v>151</v>
      </c>
      <c r="I186" s="32" t="s">
        <v>2703</v>
      </c>
      <c r="J186" s="25">
        <v>44670</v>
      </c>
      <c r="K186" s="25">
        <v>45157</v>
      </c>
      <c r="L186" s="26">
        <f t="shared" si="81"/>
        <v>85.00000008922602</v>
      </c>
      <c r="M186" s="11">
        <v>3</v>
      </c>
      <c r="N186" s="11" t="s">
        <v>189</v>
      </c>
      <c r="O186" s="11" t="s">
        <v>201</v>
      </c>
      <c r="P186" s="27" t="s">
        <v>174</v>
      </c>
      <c r="Q186" s="11" t="s">
        <v>34</v>
      </c>
      <c r="R186" s="2">
        <f t="shared" si="82"/>
        <v>3334229.46</v>
      </c>
      <c r="S186" s="30">
        <v>3334229.46</v>
      </c>
      <c r="T186" s="30">
        <v>0</v>
      </c>
      <c r="U186" s="1">
        <f t="shared" si="83"/>
        <v>509940.97</v>
      </c>
      <c r="V186" s="42">
        <v>509940.97</v>
      </c>
      <c r="W186" s="42">
        <v>0</v>
      </c>
      <c r="X186" s="1">
        <f t="shared" si="84"/>
        <v>78452.460000000006</v>
      </c>
      <c r="Y186" s="30">
        <v>78452.460000000006</v>
      </c>
      <c r="Z186" s="30">
        <v>0</v>
      </c>
      <c r="AA186" s="2">
        <f t="shared" si="85"/>
        <v>0</v>
      </c>
      <c r="AB186" s="30">
        <v>0</v>
      </c>
      <c r="AC186" s="30">
        <v>0</v>
      </c>
      <c r="AD186" s="16">
        <f t="shared" si="64"/>
        <v>3922622.8899999997</v>
      </c>
      <c r="AE186" s="55">
        <v>0</v>
      </c>
      <c r="AF186" s="2">
        <f t="shared" si="86"/>
        <v>3922622.8899999997</v>
      </c>
      <c r="AG186" s="38" t="s">
        <v>486</v>
      </c>
      <c r="AH186" s="29"/>
      <c r="AI186" s="30">
        <v>0</v>
      </c>
      <c r="AJ186" s="30">
        <v>0</v>
      </c>
    </row>
    <row r="187" spans="1:37" s="179" customFormat="1" ht="283.5" x14ac:dyDescent="0.25">
      <c r="A187" s="6">
        <v>184</v>
      </c>
      <c r="B187" s="31">
        <v>154039</v>
      </c>
      <c r="C187" s="31">
        <v>1170</v>
      </c>
      <c r="D187" s="9" t="s">
        <v>1638</v>
      </c>
      <c r="E187" s="24" t="s">
        <v>2014</v>
      </c>
      <c r="F187" s="88" t="s">
        <v>2165</v>
      </c>
      <c r="G187" s="27" t="s">
        <v>705</v>
      </c>
      <c r="H187" s="8" t="s">
        <v>151</v>
      </c>
      <c r="I187" s="32" t="s">
        <v>2704</v>
      </c>
      <c r="J187" s="25">
        <v>44671</v>
      </c>
      <c r="K187" s="25">
        <v>45158</v>
      </c>
      <c r="L187" s="26">
        <f t="shared" si="81"/>
        <v>85.000000375576292</v>
      </c>
      <c r="M187" s="11">
        <v>3</v>
      </c>
      <c r="N187" s="11" t="s">
        <v>189</v>
      </c>
      <c r="O187" s="11" t="s">
        <v>708</v>
      </c>
      <c r="P187" s="27" t="s">
        <v>174</v>
      </c>
      <c r="Q187" s="11" t="s">
        <v>34</v>
      </c>
      <c r="R187" s="2">
        <f t="shared" si="82"/>
        <v>2489507.5</v>
      </c>
      <c r="S187" s="30">
        <v>2489507.5</v>
      </c>
      <c r="T187" s="30">
        <v>0</v>
      </c>
      <c r="U187" s="1">
        <f t="shared" si="83"/>
        <v>380748.18</v>
      </c>
      <c r="V187" s="42">
        <v>380748.18</v>
      </c>
      <c r="W187" s="42">
        <v>0</v>
      </c>
      <c r="X187" s="1">
        <f t="shared" si="84"/>
        <v>58576.66</v>
      </c>
      <c r="Y187" s="30">
        <v>58576.66</v>
      </c>
      <c r="Z187" s="30">
        <v>0</v>
      </c>
      <c r="AA187" s="2">
        <f t="shared" si="85"/>
        <v>0</v>
      </c>
      <c r="AB187" s="30">
        <v>0</v>
      </c>
      <c r="AC187" s="30">
        <v>0</v>
      </c>
      <c r="AD187" s="16">
        <f t="shared" si="64"/>
        <v>2928832.3400000003</v>
      </c>
      <c r="AE187" s="55">
        <v>0</v>
      </c>
      <c r="AF187" s="2">
        <f t="shared" si="86"/>
        <v>2928832.3400000003</v>
      </c>
      <c r="AG187" s="38" t="s">
        <v>486</v>
      </c>
      <c r="AH187" s="29"/>
      <c r="AI187" s="30">
        <v>292883.23</v>
      </c>
      <c r="AJ187" s="30">
        <v>0</v>
      </c>
    </row>
    <row r="188" spans="1:37" s="179" customFormat="1" ht="173.25" x14ac:dyDescent="0.25">
      <c r="A188" s="6">
        <v>185</v>
      </c>
      <c r="B188" s="31">
        <v>120693</v>
      </c>
      <c r="C188" s="11">
        <v>114</v>
      </c>
      <c r="D188" s="9" t="s">
        <v>1638</v>
      </c>
      <c r="E188" s="24" t="s">
        <v>277</v>
      </c>
      <c r="F188" s="27" t="s">
        <v>206</v>
      </c>
      <c r="G188" s="11" t="s">
        <v>207</v>
      </c>
      <c r="H188" s="8" t="s">
        <v>151</v>
      </c>
      <c r="I188" s="12" t="s">
        <v>208</v>
      </c>
      <c r="J188" s="25">
        <v>43145</v>
      </c>
      <c r="K188" s="25">
        <v>43630</v>
      </c>
      <c r="L188" s="26">
        <f t="shared" ref="L188:L198" si="87">R188/AD188*100</f>
        <v>85.000000594539443</v>
      </c>
      <c r="M188" s="11">
        <v>4</v>
      </c>
      <c r="N188" s="11" t="s">
        <v>219</v>
      </c>
      <c r="O188" s="11" t="s">
        <v>209</v>
      </c>
      <c r="P188" s="27" t="s">
        <v>174</v>
      </c>
      <c r="Q188" s="11" t="s">
        <v>34</v>
      </c>
      <c r="R188" s="2">
        <f t="shared" ref="R188:R198" si="88">S188+T188</f>
        <v>357419.52000000002</v>
      </c>
      <c r="S188" s="2">
        <v>357419.52000000002</v>
      </c>
      <c r="T188" s="30">
        <v>0</v>
      </c>
      <c r="U188" s="1">
        <f t="shared" si="83"/>
        <v>54664.160000000003</v>
      </c>
      <c r="V188" s="87">
        <v>54664.160000000003</v>
      </c>
      <c r="W188" s="42">
        <v>0</v>
      </c>
      <c r="X188" s="1">
        <f t="shared" si="84"/>
        <v>8409.8700000000008</v>
      </c>
      <c r="Y188" s="57">
        <v>8409.8700000000008</v>
      </c>
      <c r="Z188" s="89">
        <v>0</v>
      </c>
      <c r="AA188" s="2">
        <f>AB188+AC188</f>
        <v>0</v>
      </c>
      <c r="AB188" s="2">
        <v>0</v>
      </c>
      <c r="AC188" s="2">
        <v>0</v>
      </c>
      <c r="AD188" s="16">
        <f t="shared" si="64"/>
        <v>420493.55000000005</v>
      </c>
      <c r="AE188" s="2">
        <v>0</v>
      </c>
      <c r="AF188" s="2">
        <f t="shared" ref="AF188:AF198" si="89">AD188+AE188</f>
        <v>420493.55000000005</v>
      </c>
      <c r="AG188" s="21" t="s">
        <v>857</v>
      </c>
      <c r="AH188" s="29" t="s">
        <v>151</v>
      </c>
      <c r="AI188" s="30">
        <v>278082.99</v>
      </c>
      <c r="AJ188" s="30">
        <v>42530.380000000005</v>
      </c>
      <c r="AK188" s="43"/>
    </row>
    <row r="189" spans="1:37" s="179" customFormat="1" ht="173.25" customHeight="1" x14ac:dyDescent="0.25">
      <c r="A189" s="6">
        <v>186</v>
      </c>
      <c r="B189" s="11">
        <v>119288</v>
      </c>
      <c r="C189" s="11">
        <v>487</v>
      </c>
      <c r="D189" s="9" t="s">
        <v>1638</v>
      </c>
      <c r="E189" s="11" t="s">
        <v>457</v>
      </c>
      <c r="F189" s="27" t="s">
        <v>1358</v>
      </c>
      <c r="G189" s="11" t="s">
        <v>914</v>
      </c>
      <c r="H189" s="8" t="s">
        <v>151</v>
      </c>
      <c r="I189" s="90" t="s">
        <v>535</v>
      </c>
      <c r="J189" s="25">
        <v>43272</v>
      </c>
      <c r="K189" s="25">
        <v>43667</v>
      </c>
      <c r="L189" s="26">
        <f t="shared" si="87"/>
        <v>85</v>
      </c>
      <c r="M189" s="11">
        <v>4</v>
      </c>
      <c r="N189" s="11" t="s">
        <v>219</v>
      </c>
      <c r="O189" s="11" t="s">
        <v>357</v>
      </c>
      <c r="P189" s="27" t="s">
        <v>174</v>
      </c>
      <c r="Q189" s="11" t="s">
        <v>34</v>
      </c>
      <c r="R189" s="2">
        <f t="shared" si="88"/>
        <v>360400</v>
      </c>
      <c r="S189" s="30">
        <v>360400</v>
      </c>
      <c r="T189" s="30">
        <v>0</v>
      </c>
      <c r="U189" s="1">
        <f t="shared" si="83"/>
        <v>55120</v>
      </c>
      <c r="V189" s="28">
        <v>55120</v>
      </c>
      <c r="W189" s="77">
        <v>0</v>
      </c>
      <c r="X189" s="1">
        <f t="shared" si="84"/>
        <v>8480</v>
      </c>
      <c r="Y189" s="27">
        <v>8480</v>
      </c>
      <c r="Z189" s="30">
        <v>0</v>
      </c>
      <c r="AA189" s="2">
        <f>AB189+AC189</f>
        <v>0</v>
      </c>
      <c r="AB189" s="27">
        <v>0</v>
      </c>
      <c r="AC189" s="27">
        <v>0</v>
      </c>
      <c r="AD189" s="16">
        <f t="shared" si="64"/>
        <v>424000</v>
      </c>
      <c r="AE189" s="35"/>
      <c r="AF189" s="2">
        <f t="shared" si="89"/>
        <v>424000</v>
      </c>
      <c r="AG189" s="21" t="s">
        <v>857</v>
      </c>
      <c r="AH189" s="29" t="s">
        <v>1061</v>
      </c>
      <c r="AI189" s="2">
        <v>305948.81</v>
      </c>
      <c r="AJ189" s="2">
        <v>46792.149999999994</v>
      </c>
    </row>
    <row r="190" spans="1:37" s="179" customFormat="1" ht="299.25" x14ac:dyDescent="0.25">
      <c r="A190" s="6">
        <v>187</v>
      </c>
      <c r="B190" s="83">
        <v>118780</v>
      </c>
      <c r="C190" s="91">
        <v>443</v>
      </c>
      <c r="D190" s="32" t="s">
        <v>1639</v>
      </c>
      <c r="E190" s="92" t="s">
        <v>507</v>
      </c>
      <c r="F190" s="70" t="s">
        <v>692</v>
      </c>
      <c r="G190" s="91" t="s">
        <v>207</v>
      </c>
      <c r="H190" s="11" t="s">
        <v>693</v>
      </c>
      <c r="I190" s="32" t="s">
        <v>694</v>
      </c>
      <c r="J190" s="25">
        <v>43312</v>
      </c>
      <c r="K190" s="25">
        <v>43677</v>
      </c>
      <c r="L190" s="26">
        <f t="shared" si="87"/>
        <v>84.150233941460755</v>
      </c>
      <c r="M190" s="11">
        <v>4</v>
      </c>
      <c r="N190" s="11" t="s">
        <v>499</v>
      </c>
      <c r="O190" s="11" t="s">
        <v>695</v>
      </c>
      <c r="P190" s="27" t="s">
        <v>174</v>
      </c>
      <c r="Q190" s="11" t="s">
        <v>34</v>
      </c>
      <c r="R190" s="2">
        <f t="shared" si="88"/>
        <v>230233.66</v>
      </c>
      <c r="S190" s="30">
        <v>230233.66</v>
      </c>
      <c r="T190" s="30">
        <v>0</v>
      </c>
      <c r="U190" s="1">
        <f t="shared" si="83"/>
        <v>37892.730000000003</v>
      </c>
      <c r="V190" s="42">
        <v>37892.730000000003</v>
      </c>
      <c r="W190" s="42">
        <v>0</v>
      </c>
      <c r="X190" s="1">
        <f t="shared" si="84"/>
        <v>2736.73</v>
      </c>
      <c r="Y190" s="30">
        <v>2736.73</v>
      </c>
      <c r="Z190" s="30">
        <v>0</v>
      </c>
      <c r="AA190" s="2">
        <f>AB190+AC190</f>
        <v>2735.24</v>
      </c>
      <c r="AB190" s="30">
        <v>2735.24</v>
      </c>
      <c r="AC190" s="41">
        <v>0</v>
      </c>
      <c r="AD190" s="16">
        <f t="shared" si="64"/>
        <v>273598.36</v>
      </c>
      <c r="AE190" s="38">
        <v>0</v>
      </c>
      <c r="AF190" s="2">
        <f t="shared" si="89"/>
        <v>273598.36</v>
      </c>
      <c r="AG190" s="21" t="s">
        <v>857</v>
      </c>
      <c r="AH190" s="29" t="s">
        <v>151</v>
      </c>
      <c r="AI190" s="30">
        <v>165046.26</v>
      </c>
      <c r="AJ190" s="30">
        <v>27286.14</v>
      </c>
    </row>
    <row r="191" spans="1:37" s="179" customFormat="1" ht="393.75" x14ac:dyDescent="0.25">
      <c r="A191" s="6">
        <v>188</v>
      </c>
      <c r="B191" s="31">
        <v>119830</v>
      </c>
      <c r="C191" s="11">
        <v>474</v>
      </c>
      <c r="D191" s="9" t="s">
        <v>1638</v>
      </c>
      <c r="E191" s="11" t="s">
        <v>457</v>
      </c>
      <c r="F191" s="27" t="s">
        <v>743</v>
      </c>
      <c r="G191" s="11" t="s">
        <v>744</v>
      </c>
      <c r="H191" s="8" t="s">
        <v>151</v>
      </c>
      <c r="I191" s="32" t="s">
        <v>745</v>
      </c>
      <c r="J191" s="25">
        <v>43322</v>
      </c>
      <c r="K191" s="25">
        <v>43992</v>
      </c>
      <c r="L191" s="26">
        <f t="shared" si="87"/>
        <v>84.999997553055863</v>
      </c>
      <c r="M191" s="11">
        <v>4</v>
      </c>
      <c r="N191" s="11" t="s">
        <v>499</v>
      </c>
      <c r="O191" s="11" t="s">
        <v>746</v>
      </c>
      <c r="P191" s="27" t="s">
        <v>174</v>
      </c>
      <c r="Q191" s="11" t="s">
        <v>34</v>
      </c>
      <c r="R191" s="2">
        <f t="shared" si="88"/>
        <v>347372.04</v>
      </c>
      <c r="S191" s="30">
        <v>347372.04</v>
      </c>
      <c r="T191" s="30">
        <v>0</v>
      </c>
      <c r="U191" s="1">
        <f t="shared" si="83"/>
        <v>53127.519999999997</v>
      </c>
      <c r="V191" s="42">
        <v>53127.519999999997</v>
      </c>
      <c r="W191" s="42">
        <v>0</v>
      </c>
      <c r="X191" s="1">
        <f t="shared" si="84"/>
        <v>8173.4400000000005</v>
      </c>
      <c r="Y191" s="30">
        <v>8173.4400000000005</v>
      </c>
      <c r="Z191" s="30">
        <v>0</v>
      </c>
      <c r="AA191" s="2">
        <f>AB191+AC191</f>
        <v>0</v>
      </c>
      <c r="AB191" s="57">
        <v>0</v>
      </c>
      <c r="AC191" s="57">
        <v>0</v>
      </c>
      <c r="AD191" s="16">
        <f t="shared" si="64"/>
        <v>408673</v>
      </c>
      <c r="AE191" s="2">
        <v>0</v>
      </c>
      <c r="AF191" s="2">
        <f t="shared" si="89"/>
        <v>408673</v>
      </c>
      <c r="AG191" s="38" t="s">
        <v>857</v>
      </c>
      <c r="AH191" s="29" t="s">
        <v>861</v>
      </c>
      <c r="AI191" s="30">
        <v>312673.95</v>
      </c>
      <c r="AJ191" s="30">
        <v>47820.720000000008</v>
      </c>
    </row>
    <row r="192" spans="1:37" s="179" customFormat="1" ht="163.5" customHeight="1" x14ac:dyDescent="0.25">
      <c r="A192" s="6">
        <v>189</v>
      </c>
      <c r="B192" s="31">
        <v>118793</v>
      </c>
      <c r="C192" s="11">
        <v>446</v>
      </c>
      <c r="D192" s="32" t="s">
        <v>1639</v>
      </c>
      <c r="E192" s="11" t="s">
        <v>507</v>
      </c>
      <c r="F192" s="11" t="s">
        <v>747</v>
      </c>
      <c r="G192" s="11" t="s">
        <v>744</v>
      </c>
      <c r="H192" s="11"/>
      <c r="I192" s="33" t="s">
        <v>748</v>
      </c>
      <c r="J192" s="25">
        <v>43322</v>
      </c>
      <c r="K192" s="25">
        <v>43779</v>
      </c>
      <c r="L192" s="26">
        <f t="shared" si="87"/>
        <v>85.000000000000014</v>
      </c>
      <c r="M192" s="11">
        <v>4</v>
      </c>
      <c r="N192" s="11" t="s">
        <v>499</v>
      </c>
      <c r="O192" s="11" t="s">
        <v>746</v>
      </c>
      <c r="P192" s="11" t="s">
        <v>174</v>
      </c>
      <c r="Q192" s="11" t="s">
        <v>34</v>
      </c>
      <c r="R192" s="2">
        <f t="shared" si="88"/>
        <v>239897.2</v>
      </c>
      <c r="S192" s="93">
        <v>239897.2</v>
      </c>
      <c r="T192" s="41">
        <v>0</v>
      </c>
      <c r="U192" s="1">
        <f t="shared" si="83"/>
        <v>36690.160000000003</v>
      </c>
      <c r="V192" s="42">
        <v>36690.160000000003</v>
      </c>
      <c r="W192" s="42">
        <v>0</v>
      </c>
      <c r="X192" s="1">
        <f t="shared" si="84"/>
        <v>5644.6399999999994</v>
      </c>
      <c r="Y192" s="30">
        <v>5644.6399999999994</v>
      </c>
      <c r="Z192" s="30">
        <v>0</v>
      </c>
      <c r="AA192" s="2">
        <f>AB192+AC192</f>
        <v>0</v>
      </c>
      <c r="AB192" s="2">
        <v>0</v>
      </c>
      <c r="AC192" s="2">
        <v>0</v>
      </c>
      <c r="AD192" s="16">
        <f t="shared" si="64"/>
        <v>282232</v>
      </c>
      <c r="AE192" s="38"/>
      <c r="AF192" s="2">
        <f t="shared" si="89"/>
        <v>282232</v>
      </c>
      <c r="AG192" s="21" t="s">
        <v>857</v>
      </c>
      <c r="AH192" s="38" t="s">
        <v>1215</v>
      </c>
      <c r="AI192" s="30">
        <v>214650.99</v>
      </c>
      <c r="AJ192" s="30">
        <v>32828.959999999999</v>
      </c>
    </row>
    <row r="193" spans="1:36" s="182" customFormat="1" ht="178.5" customHeight="1" x14ac:dyDescent="0.25">
      <c r="A193" s="6">
        <v>190</v>
      </c>
      <c r="B193" s="31">
        <v>126292</v>
      </c>
      <c r="C193" s="94">
        <v>514</v>
      </c>
      <c r="D193" s="9" t="s">
        <v>1638</v>
      </c>
      <c r="E193" s="95" t="s">
        <v>899</v>
      </c>
      <c r="F193" s="95" t="s">
        <v>913</v>
      </c>
      <c r="G193" s="95" t="s">
        <v>914</v>
      </c>
      <c r="H193" s="8" t="s">
        <v>151</v>
      </c>
      <c r="I193" s="96" t="s">
        <v>2705</v>
      </c>
      <c r="J193" s="25">
        <v>43439</v>
      </c>
      <c r="K193" s="25">
        <v>44535</v>
      </c>
      <c r="L193" s="26">
        <f t="shared" si="87"/>
        <v>84.999999598958027</v>
      </c>
      <c r="M193" s="94">
        <v>4</v>
      </c>
      <c r="N193" s="95" t="s">
        <v>499</v>
      </c>
      <c r="O193" s="95" t="s">
        <v>357</v>
      </c>
      <c r="P193" s="95" t="s">
        <v>174</v>
      </c>
      <c r="Q193" s="11" t="s">
        <v>34</v>
      </c>
      <c r="R193" s="2">
        <f t="shared" si="88"/>
        <v>2331426.79</v>
      </c>
      <c r="S193" s="30">
        <v>2331426.79</v>
      </c>
      <c r="T193" s="30">
        <v>0</v>
      </c>
      <c r="U193" s="1">
        <f t="shared" si="83"/>
        <v>356571.17</v>
      </c>
      <c r="V193" s="42">
        <v>356571.17</v>
      </c>
      <c r="W193" s="42">
        <v>0</v>
      </c>
      <c r="X193" s="1">
        <f t="shared" si="84"/>
        <v>54857.1</v>
      </c>
      <c r="Y193" s="30">
        <v>54857.1</v>
      </c>
      <c r="Z193" s="30">
        <v>0</v>
      </c>
      <c r="AA193" s="1">
        <v>0</v>
      </c>
      <c r="AB193" s="30">
        <v>0</v>
      </c>
      <c r="AC193" s="30">
        <v>0</v>
      </c>
      <c r="AD193" s="16">
        <f t="shared" si="64"/>
        <v>2742855.06</v>
      </c>
      <c r="AE193" s="30"/>
      <c r="AF193" s="2">
        <f t="shared" si="89"/>
        <v>2742855.06</v>
      </c>
      <c r="AG193" s="38" t="s">
        <v>857</v>
      </c>
      <c r="AH193" s="30" t="s">
        <v>1798</v>
      </c>
      <c r="AI193" s="30">
        <f>142930.13+1325877.08</f>
        <v>1468807.21</v>
      </c>
      <c r="AJ193" s="30">
        <f>21859.91+202781.2</f>
        <v>224641.11000000002</v>
      </c>
    </row>
    <row r="194" spans="1:36" s="183" customFormat="1" ht="187.5" customHeight="1" x14ac:dyDescent="0.25">
      <c r="A194" s="6">
        <v>191</v>
      </c>
      <c r="B194" s="31">
        <v>126320</v>
      </c>
      <c r="C194" s="94">
        <v>515</v>
      </c>
      <c r="D194" s="9" t="s">
        <v>1638</v>
      </c>
      <c r="E194" s="95" t="s">
        <v>899</v>
      </c>
      <c r="F194" s="70" t="s">
        <v>1896</v>
      </c>
      <c r="G194" s="91" t="s">
        <v>207</v>
      </c>
      <c r="H194" s="95" t="s">
        <v>999</v>
      </c>
      <c r="I194" s="97" t="s">
        <v>2706</v>
      </c>
      <c r="J194" s="25">
        <v>43531</v>
      </c>
      <c r="K194" s="25">
        <v>45084</v>
      </c>
      <c r="L194" s="26">
        <f t="shared" si="87"/>
        <v>84.263733041248912</v>
      </c>
      <c r="M194" s="94">
        <v>4</v>
      </c>
      <c r="N194" s="95" t="s">
        <v>499</v>
      </c>
      <c r="O194" s="95" t="s">
        <v>695</v>
      </c>
      <c r="P194" s="95" t="s">
        <v>174</v>
      </c>
      <c r="Q194" s="11" t="s">
        <v>34</v>
      </c>
      <c r="R194" s="48">
        <f t="shared" si="88"/>
        <v>2765436.54</v>
      </c>
      <c r="S194" s="95">
        <v>2765436.54</v>
      </c>
      <c r="T194" s="95">
        <v>0</v>
      </c>
      <c r="U194" s="1">
        <f t="shared" si="83"/>
        <v>450808.12</v>
      </c>
      <c r="V194" s="98">
        <v>450808.12</v>
      </c>
      <c r="W194" s="98">
        <v>0</v>
      </c>
      <c r="X194" s="1">
        <f t="shared" si="84"/>
        <v>28427.56</v>
      </c>
      <c r="Y194" s="95">
        <v>28427.56</v>
      </c>
      <c r="Z194" s="95">
        <v>0</v>
      </c>
      <c r="AA194" s="48">
        <f>AB194+AC194</f>
        <v>37210.080000000002</v>
      </c>
      <c r="AB194" s="95">
        <v>37210.080000000002</v>
      </c>
      <c r="AC194" s="95">
        <v>0</v>
      </c>
      <c r="AD194" s="16">
        <f t="shared" si="64"/>
        <v>3281882.3000000003</v>
      </c>
      <c r="AE194" s="95">
        <v>0</v>
      </c>
      <c r="AF194" s="48">
        <f t="shared" si="89"/>
        <v>3281882.3000000003</v>
      </c>
      <c r="AG194" s="38" t="s">
        <v>486</v>
      </c>
      <c r="AH194" s="95" t="s">
        <v>3266</v>
      </c>
      <c r="AI194" s="30">
        <f>266429.76+125991.5+33676.15-20905.43+606230.28+101177.18+100380.38+37774.85-14429.71+110480.4+11699.5-8212.55-8847.71</f>
        <v>1341444.5999999999</v>
      </c>
      <c r="AJ194" s="30">
        <f>29705.22+12037.96+5150.47+20905.43+82411.3+18822.82+19619.62+5777.33+14429.71+15547.32+8212.55</f>
        <v>232619.72999999998</v>
      </c>
    </row>
    <row r="195" spans="1:36" s="182" customFormat="1" ht="178.5" customHeight="1" x14ac:dyDescent="0.25">
      <c r="A195" s="6">
        <v>192</v>
      </c>
      <c r="B195" s="31">
        <v>128004</v>
      </c>
      <c r="C195" s="94">
        <v>635</v>
      </c>
      <c r="D195" s="9" t="s">
        <v>1638</v>
      </c>
      <c r="E195" s="82" t="s">
        <v>1071</v>
      </c>
      <c r="F195" s="95" t="s">
        <v>1085</v>
      </c>
      <c r="G195" s="95" t="s">
        <v>1084</v>
      </c>
      <c r="H195" s="8" t="s">
        <v>151</v>
      </c>
      <c r="I195" s="96" t="s">
        <v>2707</v>
      </c>
      <c r="J195" s="25">
        <v>43620</v>
      </c>
      <c r="K195" s="25">
        <v>44869</v>
      </c>
      <c r="L195" s="26">
        <f t="shared" si="87"/>
        <v>85</v>
      </c>
      <c r="M195" s="94">
        <v>4</v>
      </c>
      <c r="N195" s="95" t="s">
        <v>499</v>
      </c>
      <c r="O195" s="95" t="s">
        <v>357</v>
      </c>
      <c r="P195" s="95" t="s">
        <v>174</v>
      </c>
      <c r="Q195" s="95" t="s">
        <v>34</v>
      </c>
      <c r="R195" s="2">
        <f t="shared" si="88"/>
        <v>1919118.95</v>
      </c>
      <c r="S195" s="30">
        <v>1919118.95</v>
      </c>
      <c r="T195" s="30">
        <v>0</v>
      </c>
      <c r="U195" s="1">
        <f t="shared" si="83"/>
        <v>293512.31</v>
      </c>
      <c r="V195" s="42">
        <v>293512.31</v>
      </c>
      <c r="W195" s="42">
        <v>0</v>
      </c>
      <c r="X195" s="1">
        <f t="shared" si="84"/>
        <v>45155.74</v>
      </c>
      <c r="Y195" s="30">
        <v>45155.74</v>
      </c>
      <c r="Z195" s="30">
        <v>0</v>
      </c>
      <c r="AA195" s="1">
        <v>0</v>
      </c>
      <c r="AB195" s="30">
        <v>0</v>
      </c>
      <c r="AC195" s="30">
        <v>0</v>
      </c>
      <c r="AD195" s="16">
        <f t="shared" si="64"/>
        <v>2257787</v>
      </c>
      <c r="AE195" s="30">
        <v>0</v>
      </c>
      <c r="AF195" s="2">
        <f t="shared" si="89"/>
        <v>2257787</v>
      </c>
      <c r="AG195" s="38" t="s">
        <v>486</v>
      </c>
      <c r="AH195" s="30" t="s">
        <v>2286</v>
      </c>
      <c r="AI195" s="30">
        <f>23213.93+189613.77+187190.71+443888.02+562209.42</f>
        <v>1406115.85</v>
      </c>
      <c r="AJ195" s="30">
        <f>3550.36+28999.75+28629.19+67888.75+85984.96</f>
        <v>215053.01</v>
      </c>
    </row>
    <row r="196" spans="1:36" s="182" customFormat="1" ht="178.5" customHeight="1" x14ac:dyDescent="0.25">
      <c r="A196" s="6">
        <v>193</v>
      </c>
      <c r="B196" s="99" t="s">
        <v>1980</v>
      </c>
      <c r="C196" s="94">
        <v>501</v>
      </c>
      <c r="D196" s="97" t="s">
        <v>1640</v>
      </c>
      <c r="E196" s="82" t="s">
        <v>983</v>
      </c>
      <c r="F196" s="100" t="s">
        <v>1096</v>
      </c>
      <c r="G196" s="95" t="s">
        <v>693</v>
      </c>
      <c r="H196" s="95" t="s">
        <v>246</v>
      </c>
      <c r="I196" s="96" t="s">
        <v>2708</v>
      </c>
      <c r="J196" s="25">
        <v>43626</v>
      </c>
      <c r="K196" s="25">
        <v>44602</v>
      </c>
      <c r="L196" s="26">
        <f t="shared" si="87"/>
        <v>83.560067781888534</v>
      </c>
      <c r="M196" s="94">
        <v>4</v>
      </c>
      <c r="N196" s="95" t="s">
        <v>499</v>
      </c>
      <c r="O196" s="95" t="s">
        <v>357</v>
      </c>
      <c r="P196" s="95" t="s">
        <v>274</v>
      </c>
      <c r="Q196" s="95" t="s">
        <v>34</v>
      </c>
      <c r="R196" s="2">
        <f t="shared" si="88"/>
        <v>1824019.35</v>
      </c>
      <c r="S196" s="30">
        <v>1824019.35</v>
      </c>
      <c r="T196" s="30">
        <v>0</v>
      </c>
      <c r="U196" s="1">
        <f t="shared" si="83"/>
        <v>315206.96999999997</v>
      </c>
      <c r="V196" s="42">
        <v>315206.96999999997</v>
      </c>
      <c r="W196" s="42">
        <v>0</v>
      </c>
      <c r="X196" s="1">
        <f t="shared" si="84"/>
        <v>6678.79</v>
      </c>
      <c r="Y196" s="30">
        <v>6678.79</v>
      </c>
      <c r="Z196" s="30">
        <v>0</v>
      </c>
      <c r="AA196" s="1">
        <f>AB196+AC196</f>
        <v>36978.89</v>
      </c>
      <c r="AB196" s="30">
        <v>36978.89</v>
      </c>
      <c r="AC196" s="30">
        <v>0</v>
      </c>
      <c r="AD196" s="16">
        <f t="shared" si="64"/>
        <v>2182884.0000000005</v>
      </c>
      <c r="AE196" s="30">
        <v>0</v>
      </c>
      <c r="AF196" s="2">
        <f t="shared" si="89"/>
        <v>2182884.0000000005</v>
      </c>
      <c r="AG196" s="38" t="s">
        <v>857</v>
      </c>
      <c r="AH196" s="30" t="s">
        <v>1672</v>
      </c>
      <c r="AI196" s="30">
        <f>198612.8-11848.59-516.96+238980.14+9798.05+33393-1619.29+301235.86+216667.51+34050.15-3724.37+203466.18+228657.26-2738.45-25092.69-25882.59</f>
        <v>1393438.01</v>
      </c>
      <c r="AJ196" s="30">
        <f>19674.2+11848.59+3814.49+6605.69+90184.69+5207.67+3724.37+68238.88+2407.47+2738.45+25882.59</f>
        <v>240327.09000000003</v>
      </c>
    </row>
    <row r="197" spans="1:36" s="182" customFormat="1" ht="178.5" customHeight="1" x14ac:dyDescent="0.25">
      <c r="A197" s="6">
        <v>194</v>
      </c>
      <c r="B197" s="99" t="s">
        <v>1522</v>
      </c>
      <c r="C197" s="94">
        <v>832</v>
      </c>
      <c r="D197" s="9" t="s">
        <v>1638</v>
      </c>
      <c r="E197" s="24" t="s">
        <v>1441</v>
      </c>
      <c r="F197" s="11" t="s">
        <v>1523</v>
      </c>
      <c r="G197" s="95" t="s">
        <v>1915</v>
      </c>
      <c r="H197" s="8" t="s">
        <v>151</v>
      </c>
      <c r="I197" s="12" t="s">
        <v>1524</v>
      </c>
      <c r="J197" s="25">
        <v>43998</v>
      </c>
      <c r="K197" s="25">
        <v>44850</v>
      </c>
      <c r="L197" s="26">
        <f t="shared" si="87"/>
        <v>85.000000651832096</v>
      </c>
      <c r="M197" s="94">
        <v>4</v>
      </c>
      <c r="N197" s="95" t="s">
        <v>499</v>
      </c>
      <c r="O197" s="95" t="s">
        <v>357</v>
      </c>
      <c r="P197" s="95" t="s">
        <v>174</v>
      </c>
      <c r="Q197" s="11" t="s">
        <v>34</v>
      </c>
      <c r="R197" s="2">
        <f t="shared" si="88"/>
        <v>1434418.48</v>
      </c>
      <c r="S197" s="2">
        <v>1434418.48</v>
      </c>
      <c r="T197" s="2">
        <v>0</v>
      </c>
      <c r="U197" s="1">
        <f t="shared" si="83"/>
        <v>219381.63</v>
      </c>
      <c r="V197" s="28">
        <v>219381.63</v>
      </c>
      <c r="W197" s="28">
        <v>0</v>
      </c>
      <c r="X197" s="1">
        <f t="shared" si="84"/>
        <v>33751.03</v>
      </c>
      <c r="Y197" s="2">
        <v>33751.03</v>
      </c>
      <c r="Z197" s="2">
        <v>0</v>
      </c>
      <c r="AA197" s="1">
        <f>AB197+AC197</f>
        <v>0</v>
      </c>
      <c r="AB197" s="30">
        <v>0</v>
      </c>
      <c r="AC197" s="30">
        <v>0</v>
      </c>
      <c r="AD197" s="16">
        <f t="shared" ref="AD197:AD260" si="90">R197+U197+X197+AA197</f>
        <v>1687551.14</v>
      </c>
      <c r="AE197" s="30">
        <v>0</v>
      </c>
      <c r="AF197" s="2">
        <f t="shared" si="89"/>
        <v>1687551.14</v>
      </c>
      <c r="AG197" s="38" t="s">
        <v>857</v>
      </c>
      <c r="AH197" s="30" t="s">
        <v>2254</v>
      </c>
      <c r="AI197" s="30">
        <f>1658.86+13028.12+27092.02+136350.2+85151.87</f>
        <v>263281.07</v>
      </c>
      <c r="AJ197" s="30">
        <f>253.71+1992.53+4143.48+20853.56+13023.22</f>
        <v>40266.5</v>
      </c>
    </row>
    <row r="198" spans="1:36" s="182" customFormat="1" ht="178.5" customHeight="1" x14ac:dyDescent="0.25">
      <c r="A198" s="6">
        <v>195</v>
      </c>
      <c r="B198" s="99" t="s">
        <v>2154</v>
      </c>
      <c r="C198" s="101">
        <v>1229</v>
      </c>
      <c r="D198" s="9" t="s">
        <v>1638</v>
      </c>
      <c r="E198" s="24" t="s">
        <v>2014</v>
      </c>
      <c r="F198" s="86" t="s">
        <v>2155</v>
      </c>
      <c r="G198" s="95" t="s">
        <v>744</v>
      </c>
      <c r="H198" s="8" t="s">
        <v>151</v>
      </c>
      <c r="I198" s="12" t="s">
        <v>2156</v>
      </c>
      <c r="J198" s="25">
        <v>44670</v>
      </c>
      <c r="K198" s="25">
        <v>45157</v>
      </c>
      <c r="L198" s="26">
        <f t="shared" si="87"/>
        <v>85.000000213737465</v>
      </c>
      <c r="M198" s="94">
        <v>4</v>
      </c>
      <c r="N198" s="95" t="s">
        <v>499</v>
      </c>
      <c r="O198" s="95" t="s">
        <v>2157</v>
      </c>
      <c r="P198" s="95" t="s">
        <v>174</v>
      </c>
      <c r="Q198" s="11" t="s">
        <v>34</v>
      </c>
      <c r="R198" s="2">
        <f t="shared" si="88"/>
        <v>2783788.92</v>
      </c>
      <c r="S198" s="2">
        <v>2783788.92</v>
      </c>
      <c r="T198" s="2">
        <v>0</v>
      </c>
      <c r="U198" s="1">
        <f t="shared" si="83"/>
        <v>425755.94</v>
      </c>
      <c r="V198" s="28">
        <v>425755.94</v>
      </c>
      <c r="W198" s="28">
        <v>0</v>
      </c>
      <c r="X198" s="1">
        <f t="shared" si="84"/>
        <v>65500.92</v>
      </c>
      <c r="Y198" s="2">
        <v>65500.92</v>
      </c>
      <c r="Z198" s="2">
        <v>0</v>
      </c>
      <c r="AA198" s="1">
        <f>AB198+AC198</f>
        <v>0</v>
      </c>
      <c r="AB198" s="30">
        <v>0</v>
      </c>
      <c r="AC198" s="30">
        <v>0</v>
      </c>
      <c r="AD198" s="16">
        <f t="shared" si="90"/>
        <v>3275045.78</v>
      </c>
      <c r="AE198" s="30">
        <v>0</v>
      </c>
      <c r="AF198" s="2">
        <f t="shared" si="89"/>
        <v>3275045.78</v>
      </c>
      <c r="AG198" s="38" t="s">
        <v>486</v>
      </c>
      <c r="AH198" s="51" t="s">
        <v>294</v>
      </c>
      <c r="AI198" s="30">
        <v>302830</v>
      </c>
      <c r="AJ198" s="30">
        <v>0</v>
      </c>
    </row>
    <row r="199" spans="1:36" s="179" customFormat="1" ht="252" x14ac:dyDescent="0.25">
      <c r="A199" s="6">
        <v>196</v>
      </c>
      <c r="B199" s="31">
        <v>120590</v>
      </c>
      <c r="C199" s="11">
        <v>69</v>
      </c>
      <c r="D199" s="9" t="s">
        <v>1638</v>
      </c>
      <c r="E199" s="24" t="s">
        <v>277</v>
      </c>
      <c r="F199" s="11" t="s">
        <v>175</v>
      </c>
      <c r="G199" s="11" t="s">
        <v>784</v>
      </c>
      <c r="H199" s="8" t="s">
        <v>151</v>
      </c>
      <c r="I199" s="46" t="s">
        <v>179</v>
      </c>
      <c r="J199" s="25">
        <v>43129</v>
      </c>
      <c r="K199" s="25">
        <v>43553</v>
      </c>
      <c r="L199" s="26">
        <f t="shared" ref="L199:L207" si="91">R199/AD199*100</f>
        <v>85</v>
      </c>
      <c r="M199" s="11">
        <v>2</v>
      </c>
      <c r="N199" s="11" t="s">
        <v>186</v>
      </c>
      <c r="O199" s="11" t="s">
        <v>184</v>
      </c>
      <c r="P199" s="27" t="s">
        <v>174</v>
      </c>
      <c r="Q199" s="11" t="s">
        <v>34</v>
      </c>
      <c r="R199" s="2">
        <f t="shared" ref="R199:R207" si="92">S199+T199</f>
        <v>312939.57</v>
      </c>
      <c r="S199" s="2">
        <v>312939.57</v>
      </c>
      <c r="T199" s="2">
        <v>0</v>
      </c>
      <c r="U199" s="1">
        <f t="shared" ref="U199:U207" si="93">V199+W199</f>
        <v>47861.35</v>
      </c>
      <c r="V199" s="28">
        <v>47861.35</v>
      </c>
      <c r="W199" s="28">
        <v>0</v>
      </c>
      <c r="X199" s="1">
        <f t="shared" ref="X199:X207" si="94">Y199+Z199</f>
        <v>7363.28</v>
      </c>
      <c r="Y199" s="2">
        <v>7363.28</v>
      </c>
      <c r="Z199" s="2">
        <v>0</v>
      </c>
      <c r="AA199" s="2">
        <f t="shared" ref="AA199:AA207" si="95">AB199+AC199</f>
        <v>0</v>
      </c>
      <c r="AB199" s="2">
        <v>0</v>
      </c>
      <c r="AC199" s="2">
        <v>0</v>
      </c>
      <c r="AD199" s="16">
        <f t="shared" si="90"/>
        <v>368164.2</v>
      </c>
      <c r="AE199" s="2">
        <v>0</v>
      </c>
      <c r="AF199" s="2">
        <f t="shared" ref="AF199:AF207" si="96">AD199+AE199</f>
        <v>368164.2</v>
      </c>
      <c r="AG199" s="21" t="s">
        <v>857</v>
      </c>
      <c r="AH199" s="29" t="s">
        <v>151</v>
      </c>
      <c r="AI199" s="30">
        <v>269997.55</v>
      </c>
      <c r="AJ199" s="30">
        <v>41293.74</v>
      </c>
    </row>
    <row r="200" spans="1:36" s="179" customFormat="1" ht="409.5" x14ac:dyDescent="0.25">
      <c r="A200" s="6">
        <v>197</v>
      </c>
      <c r="B200" s="31">
        <v>118013</v>
      </c>
      <c r="C200" s="11">
        <v>419</v>
      </c>
      <c r="D200" s="32" t="s">
        <v>1639</v>
      </c>
      <c r="E200" s="11" t="s">
        <v>507</v>
      </c>
      <c r="F200" s="11" t="s">
        <v>783</v>
      </c>
      <c r="G200" s="11" t="s">
        <v>784</v>
      </c>
      <c r="H200" s="8" t="s">
        <v>151</v>
      </c>
      <c r="I200" s="32" t="s">
        <v>785</v>
      </c>
      <c r="J200" s="25">
        <v>43336</v>
      </c>
      <c r="K200" s="25">
        <v>43762</v>
      </c>
      <c r="L200" s="26">
        <f t="shared" si="91"/>
        <v>84.999998597642829</v>
      </c>
      <c r="M200" s="11">
        <v>2</v>
      </c>
      <c r="N200" s="11" t="s">
        <v>186</v>
      </c>
      <c r="O200" s="11" t="s">
        <v>184</v>
      </c>
      <c r="P200" s="27" t="s">
        <v>174</v>
      </c>
      <c r="Q200" s="11" t="s">
        <v>34</v>
      </c>
      <c r="R200" s="2">
        <f t="shared" si="92"/>
        <v>242448.93</v>
      </c>
      <c r="S200" s="30">
        <v>242448.93</v>
      </c>
      <c r="T200" s="30">
        <v>0</v>
      </c>
      <c r="U200" s="1">
        <f t="shared" si="93"/>
        <v>37080.43</v>
      </c>
      <c r="V200" s="42">
        <v>37080.43</v>
      </c>
      <c r="W200" s="42">
        <v>0</v>
      </c>
      <c r="X200" s="1">
        <f t="shared" si="94"/>
        <v>5704.68</v>
      </c>
      <c r="Y200" s="30">
        <v>5704.68</v>
      </c>
      <c r="Z200" s="30">
        <v>0</v>
      </c>
      <c r="AA200" s="2">
        <f t="shared" si="95"/>
        <v>0</v>
      </c>
      <c r="AB200" s="30">
        <v>0</v>
      </c>
      <c r="AC200" s="30">
        <v>0</v>
      </c>
      <c r="AD200" s="16">
        <f t="shared" si="90"/>
        <v>285234.03999999998</v>
      </c>
      <c r="AE200" s="38">
        <v>0</v>
      </c>
      <c r="AF200" s="2">
        <f t="shared" si="96"/>
        <v>285234.03999999998</v>
      </c>
      <c r="AG200" s="21" t="s">
        <v>857</v>
      </c>
      <c r="AH200" s="29" t="s">
        <v>151</v>
      </c>
      <c r="AI200" s="30">
        <v>220919.96</v>
      </c>
      <c r="AJ200" s="30">
        <v>33787.72</v>
      </c>
    </row>
    <row r="201" spans="1:36" s="179" customFormat="1" ht="189" x14ac:dyDescent="0.25">
      <c r="A201" s="6">
        <v>198</v>
      </c>
      <c r="B201" s="31">
        <v>126419</v>
      </c>
      <c r="C201" s="31">
        <v>561</v>
      </c>
      <c r="D201" s="9" t="s">
        <v>1638</v>
      </c>
      <c r="E201" s="24" t="s">
        <v>899</v>
      </c>
      <c r="F201" s="11" t="s">
        <v>902</v>
      </c>
      <c r="G201" s="11" t="s">
        <v>784</v>
      </c>
      <c r="H201" s="8" t="s">
        <v>151</v>
      </c>
      <c r="I201" s="12" t="s">
        <v>2709</v>
      </c>
      <c r="J201" s="25">
        <v>43432</v>
      </c>
      <c r="K201" s="25">
        <v>44832</v>
      </c>
      <c r="L201" s="26">
        <f t="shared" si="91"/>
        <v>85</v>
      </c>
      <c r="M201" s="31">
        <v>2</v>
      </c>
      <c r="N201" s="11" t="s">
        <v>186</v>
      </c>
      <c r="O201" s="11" t="s">
        <v>184</v>
      </c>
      <c r="P201" s="67" t="s">
        <v>174</v>
      </c>
      <c r="Q201" s="11" t="s">
        <v>34</v>
      </c>
      <c r="R201" s="76">
        <f t="shared" si="92"/>
        <v>2627225.9</v>
      </c>
      <c r="S201" s="30">
        <v>2627225.9</v>
      </c>
      <c r="T201" s="30">
        <v>0</v>
      </c>
      <c r="U201" s="1">
        <f t="shared" si="93"/>
        <v>401811.02</v>
      </c>
      <c r="V201" s="28">
        <v>401811.02</v>
      </c>
      <c r="W201" s="42">
        <v>0</v>
      </c>
      <c r="X201" s="1">
        <f t="shared" si="94"/>
        <v>61817.079999999994</v>
      </c>
      <c r="Y201" s="78">
        <v>61817.079999999994</v>
      </c>
      <c r="Z201" s="30">
        <v>0</v>
      </c>
      <c r="AA201" s="2">
        <f t="shared" si="95"/>
        <v>0</v>
      </c>
      <c r="AB201" s="30">
        <v>0</v>
      </c>
      <c r="AC201" s="30">
        <v>0</v>
      </c>
      <c r="AD201" s="16">
        <f t="shared" si="90"/>
        <v>3090854</v>
      </c>
      <c r="AE201" s="31">
        <v>0</v>
      </c>
      <c r="AF201" s="2">
        <f t="shared" si="96"/>
        <v>3090854</v>
      </c>
      <c r="AG201" s="38" t="s">
        <v>857</v>
      </c>
      <c r="AH201" s="35" t="s">
        <v>151</v>
      </c>
      <c r="AI201" s="30">
        <f>316850.48-6689.8-24163.88-3750.5+465290+138777.8+385108.4+744007.05</f>
        <v>2015429.55</v>
      </c>
      <c r="AJ201" s="30">
        <f>1187.66+6689.8+24163.88+3750.5+71162+21224.84+58898.93+121164.55</f>
        <v>308242.15999999997</v>
      </c>
    </row>
    <row r="202" spans="1:36" s="179" customFormat="1" ht="173.25" x14ac:dyDescent="0.25">
      <c r="A202" s="6">
        <v>199</v>
      </c>
      <c r="B202" s="31">
        <v>125256</v>
      </c>
      <c r="C202" s="31">
        <v>562</v>
      </c>
      <c r="D202" s="9" t="s">
        <v>1638</v>
      </c>
      <c r="E202" s="24" t="s">
        <v>899</v>
      </c>
      <c r="F202" s="11" t="s">
        <v>923</v>
      </c>
      <c r="G202" s="11" t="s">
        <v>1654</v>
      </c>
      <c r="H202" s="8" t="s">
        <v>151</v>
      </c>
      <c r="I202" s="12" t="s">
        <v>922</v>
      </c>
      <c r="J202" s="25">
        <v>43444</v>
      </c>
      <c r="K202" s="25">
        <v>43931</v>
      </c>
      <c r="L202" s="26">
        <f t="shared" si="91"/>
        <v>84.999999921204406</v>
      </c>
      <c r="M202" s="31">
        <v>2</v>
      </c>
      <c r="N202" s="11" t="s">
        <v>186</v>
      </c>
      <c r="O202" s="11" t="s">
        <v>186</v>
      </c>
      <c r="P202" s="67" t="s">
        <v>174</v>
      </c>
      <c r="Q202" s="11" t="s">
        <v>34</v>
      </c>
      <c r="R202" s="76">
        <f t="shared" si="92"/>
        <v>3236221.13</v>
      </c>
      <c r="S202" s="30">
        <v>3236221.13</v>
      </c>
      <c r="T202" s="30">
        <v>0</v>
      </c>
      <c r="U202" s="1">
        <f t="shared" si="93"/>
        <v>494951.47</v>
      </c>
      <c r="V202" s="28">
        <v>494951.47</v>
      </c>
      <c r="W202" s="42">
        <v>0</v>
      </c>
      <c r="X202" s="1">
        <f t="shared" si="94"/>
        <v>76146.38</v>
      </c>
      <c r="Y202" s="78">
        <v>76146.38</v>
      </c>
      <c r="Z202" s="30">
        <v>0</v>
      </c>
      <c r="AA202" s="2">
        <f t="shared" si="95"/>
        <v>0</v>
      </c>
      <c r="AB202" s="30">
        <v>0</v>
      </c>
      <c r="AC202" s="30">
        <v>0</v>
      </c>
      <c r="AD202" s="16">
        <f t="shared" si="90"/>
        <v>3807318.9799999995</v>
      </c>
      <c r="AE202" s="31">
        <v>630578.23</v>
      </c>
      <c r="AF202" s="2">
        <f t="shared" si="96"/>
        <v>4437897.209999999</v>
      </c>
      <c r="AG202" s="38" t="s">
        <v>857</v>
      </c>
      <c r="AH202" s="38" t="s">
        <v>1394</v>
      </c>
      <c r="AI202" s="30">
        <v>2739230.71</v>
      </c>
      <c r="AJ202" s="30">
        <v>418941.15000000008</v>
      </c>
    </row>
    <row r="203" spans="1:36" s="179" customFormat="1" ht="346.5" x14ac:dyDescent="0.25">
      <c r="A203" s="6">
        <v>200</v>
      </c>
      <c r="B203" s="31">
        <v>126291</v>
      </c>
      <c r="C203" s="31">
        <v>535</v>
      </c>
      <c r="D203" s="9" t="s">
        <v>1638</v>
      </c>
      <c r="E203" s="24" t="s">
        <v>899</v>
      </c>
      <c r="F203" s="11" t="s">
        <v>965</v>
      </c>
      <c r="G203" s="11" t="s">
        <v>966</v>
      </c>
      <c r="H203" s="8" t="s">
        <v>151</v>
      </c>
      <c r="I203" s="12" t="s">
        <v>2710</v>
      </c>
      <c r="J203" s="25">
        <v>43493</v>
      </c>
      <c r="K203" s="25">
        <v>44344</v>
      </c>
      <c r="L203" s="26">
        <f t="shared" si="91"/>
        <v>85</v>
      </c>
      <c r="M203" s="31">
        <v>2</v>
      </c>
      <c r="N203" s="11" t="s">
        <v>186</v>
      </c>
      <c r="O203" s="11" t="s">
        <v>186</v>
      </c>
      <c r="P203" s="67" t="s">
        <v>174</v>
      </c>
      <c r="Q203" s="11" t="s">
        <v>34</v>
      </c>
      <c r="R203" s="76">
        <f t="shared" si="92"/>
        <v>1370650.5</v>
      </c>
      <c r="S203" s="30">
        <v>1370650.5</v>
      </c>
      <c r="T203" s="30">
        <v>0</v>
      </c>
      <c r="U203" s="1">
        <f t="shared" si="93"/>
        <v>209628.9</v>
      </c>
      <c r="V203" s="28">
        <v>209628.9</v>
      </c>
      <c r="W203" s="77">
        <v>0</v>
      </c>
      <c r="X203" s="1">
        <f t="shared" si="94"/>
        <v>32250.6</v>
      </c>
      <c r="Y203" s="78">
        <v>32250.6</v>
      </c>
      <c r="Z203" s="30">
        <v>0</v>
      </c>
      <c r="AA203" s="2">
        <f t="shared" si="95"/>
        <v>0</v>
      </c>
      <c r="AB203" s="2">
        <v>0</v>
      </c>
      <c r="AC203" s="2">
        <v>0</v>
      </c>
      <c r="AD203" s="16">
        <f t="shared" si="90"/>
        <v>1612530</v>
      </c>
      <c r="AE203" s="31"/>
      <c r="AF203" s="2">
        <f t="shared" si="96"/>
        <v>1612530</v>
      </c>
      <c r="AG203" s="38" t="s">
        <v>857</v>
      </c>
      <c r="AH203" s="38" t="s">
        <v>1571</v>
      </c>
      <c r="AI203" s="30">
        <f>355563.46+309565.75+152873.35+9352.55+84743.47</f>
        <v>912098.58</v>
      </c>
      <c r="AJ203" s="30">
        <f>54380.3+47345.35+23380.63+1430.39+12960.77</f>
        <v>139497.44</v>
      </c>
    </row>
    <row r="204" spans="1:36" s="179" customFormat="1" ht="141.75" x14ac:dyDescent="0.25">
      <c r="A204" s="6">
        <v>201</v>
      </c>
      <c r="B204" s="31">
        <v>128555</v>
      </c>
      <c r="C204" s="31">
        <v>679</v>
      </c>
      <c r="D204" s="9" t="s">
        <v>1638</v>
      </c>
      <c r="E204" s="24" t="s">
        <v>1071</v>
      </c>
      <c r="F204" s="11" t="s">
        <v>1223</v>
      </c>
      <c r="G204" s="11" t="s">
        <v>966</v>
      </c>
      <c r="H204" s="102" t="s">
        <v>1359</v>
      </c>
      <c r="I204" s="12" t="s">
        <v>2711</v>
      </c>
      <c r="J204" s="25">
        <v>43690</v>
      </c>
      <c r="K204" s="25">
        <v>44178</v>
      </c>
      <c r="L204" s="26">
        <f t="shared" si="91"/>
        <v>84.193851603626115</v>
      </c>
      <c r="M204" s="31">
        <v>2</v>
      </c>
      <c r="N204" s="11" t="s">
        <v>186</v>
      </c>
      <c r="O204" s="11" t="s">
        <v>186</v>
      </c>
      <c r="P204" s="67" t="s">
        <v>174</v>
      </c>
      <c r="Q204" s="11" t="s">
        <v>34</v>
      </c>
      <c r="R204" s="76">
        <f t="shared" si="92"/>
        <v>298646.52</v>
      </c>
      <c r="S204" s="30">
        <v>298646.52</v>
      </c>
      <c r="T204" s="30">
        <v>0</v>
      </c>
      <c r="U204" s="1">
        <f t="shared" si="93"/>
        <v>48972.19</v>
      </c>
      <c r="V204" s="28">
        <v>48972.19</v>
      </c>
      <c r="W204" s="42">
        <v>0</v>
      </c>
      <c r="X204" s="1">
        <f t="shared" si="94"/>
        <v>3730.13</v>
      </c>
      <c r="Y204" s="78">
        <v>3730.13</v>
      </c>
      <c r="Z204" s="30">
        <v>0</v>
      </c>
      <c r="AA204" s="2">
        <f t="shared" si="95"/>
        <v>3364.14</v>
      </c>
      <c r="AB204" s="78">
        <v>3364.14</v>
      </c>
      <c r="AC204" s="30">
        <v>0</v>
      </c>
      <c r="AD204" s="16">
        <f t="shared" si="90"/>
        <v>354712.98000000004</v>
      </c>
      <c r="AE204" s="31">
        <v>0</v>
      </c>
      <c r="AF204" s="2">
        <f t="shared" si="96"/>
        <v>354712.98000000004</v>
      </c>
      <c r="AG204" s="38" t="s">
        <v>857</v>
      </c>
      <c r="AH204" s="38" t="s">
        <v>1620</v>
      </c>
      <c r="AI204" s="30">
        <f>185469.97+6878.14+35470+27093.36+4489.6</f>
        <v>259401.07000000004</v>
      </c>
      <c r="AJ204" s="30">
        <f>4005.59+20340.83+7694.75+10159.19+699.82</f>
        <v>42900.18</v>
      </c>
    </row>
    <row r="205" spans="1:36" s="179" customFormat="1" ht="157.5" x14ac:dyDescent="0.25">
      <c r="A205" s="6">
        <v>202</v>
      </c>
      <c r="B205" s="31">
        <v>151809</v>
      </c>
      <c r="C205" s="31">
        <v>1113</v>
      </c>
      <c r="D205" s="9" t="s">
        <v>1639</v>
      </c>
      <c r="E205" s="24" t="s">
        <v>1801</v>
      </c>
      <c r="F205" s="11" t="s">
        <v>1947</v>
      </c>
      <c r="G205" s="11" t="s">
        <v>1946</v>
      </c>
      <c r="H205" s="11" t="s">
        <v>1934</v>
      </c>
      <c r="I205" s="12" t="s">
        <v>2712</v>
      </c>
      <c r="J205" s="25">
        <v>44551</v>
      </c>
      <c r="K205" s="25">
        <v>45037</v>
      </c>
      <c r="L205" s="26">
        <f t="shared" si="91"/>
        <v>85.000005574441857</v>
      </c>
      <c r="M205" s="31">
        <v>2</v>
      </c>
      <c r="N205" s="11" t="s">
        <v>186</v>
      </c>
      <c r="O205" s="11" t="s">
        <v>186</v>
      </c>
      <c r="P205" s="67" t="s">
        <v>174</v>
      </c>
      <c r="Q205" s="11" t="s">
        <v>34</v>
      </c>
      <c r="R205" s="76">
        <f t="shared" si="92"/>
        <v>282091.03999999998</v>
      </c>
      <c r="S205" s="30">
        <v>282091.03999999998</v>
      </c>
      <c r="T205" s="30">
        <v>0</v>
      </c>
      <c r="U205" s="1">
        <f t="shared" si="93"/>
        <v>32459.439999999999</v>
      </c>
      <c r="V205" s="28">
        <v>32459.439999999999</v>
      </c>
      <c r="W205" s="42">
        <v>0</v>
      </c>
      <c r="X205" s="1">
        <f t="shared" si="94"/>
        <v>17321.310000000001</v>
      </c>
      <c r="Y205" s="78">
        <v>17321.310000000001</v>
      </c>
      <c r="Z205" s="30">
        <v>0</v>
      </c>
      <c r="AA205" s="2">
        <f t="shared" si="95"/>
        <v>0</v>
      </c>
      <c r="AB205" s="30">
        <v>0</v>
      </c>
      <c r="AC205" s="30">
        <v>0</v>
      </c>
      <c r="AD205" s="16">
        <f t="shared" si="90"/>
        <v>331871.78999999998</v>
      </c>
      <c r="AE205" s="31">
        <v>0</v>
      </c>
      <c r="AF205" s="2">
        <f t="shared" si="96"/>
        <v>331871.78999999998</v>
      </c>
      <c r="AG205" s="38" t="s">
        <v>486</v>
      </c>
      <c r="AH205" s="38"/>
      <c r="AI205" s="30">
        <v>31008.42</v>
      </c>
      <c r="AJ205" s="30">
        <v>4742.47</v>
      </c>
    </row>
    <row r="206" spans="1:36" s="179" customFormat="1" ht="189" x14ac:dyDescent="0.25">
      <c r="A206" s="6">
        <v>203</v>
      </c>
      <c r="B206" s="31">
        <v>155078</v>
      </c>
      <c r="C206" s="31">
        <v>1203</v>
      </c>
      <c r="D206" s="9" t="s">
        <v>1638</v>
      </c>
      <c r="E206" s="24" t="s">
        <v>2014</v>
      </c>
      <c r="F206" s="11" t="s">
        <v>2138</v>
      </c>
      <c r="G206" s="11" t="s">
        <v>784</v>
      </c>
      <c r="H206" s="8" t="s">
        <v>151</v>
      </c>
      <c r="I206" s="12" t="s">
        <v>2713</v>
      </c>
      <c r="J206" s="25">
        <v>44665</v>
      </c>
      <c r="K206" s="25">
        <v>45091</v>
      </c>
      <c r="L206" s="26">
        <f t="shared" si="91"/>
        <v>85.000000000000014</v>
      </c>
      <c r="M206" s="31">
        <v>2</v>
      </c>
      <c r="N206" s="11" t="s">
        <v>186</v>
      </c>
      <c r="O206" s="11" t="s">
        <v>184</v>
      </c>
      <c r="P206" s="67" t="s">
        <v>174</v>
      </c>
      <c r="Q206" s="11" t="s">
        <v>34</v>
      </c>
      <c r="R206" s="76">
        <f t="shared" si="92"/>
        <v>2549689.2400000002</v>
      </c>
      <c r="S206" s="30">
        <v>2549689.2400000002</v>
      </c>
      <c r="T206" s="30">
        <v>0</v>
      </c>
      <c r="U206" s="1">
        <f t="shared" si="93"/>
        <v>389952.47</v>
      </c>
      <c r="V206" s="28">
        <v>389952.47</v>
      </c>
      <c r="W206" s="42">
        <v>0</v>
      </c>
      <c r="X206" s="1">
        <f t="shared" si="94"/>
        <v>59992.69</v>
      </c>
      <c r="Y206" s="78">
        <v>59992.69</v>
      </c>
      <c r="Z206" s="30">
        <v>0</v>
      </c>
      <c r="AA206" s="2">
        <f t="shared" si="95"/>
        <v>0</v>
      </c>
      <c r="AB206" s="30">
        <v>0</v>
      </c>
      <c r="AC206" s="30">
        <v>0</v>
      </c>
      <c r="AD206" s="16">
        <f t="shared" si="90"/>
        <v>2999634.4</v>
      </c>
      <c r="AE206" s="31">
        <v>0</v>
      </c>
      <c r="AF206" s="2">
        <f t="shared" si="96"/>
        <v>2999634.4</v>
      </c>
      <c r="AG206" s="38" t="s">
        <v>486</v>
      </c>
      <c r="AH206" s="38"/>
      <c r="AI206" s="30">
        <v>0</v>
      </c>
      <c r="AJ206" s="30">
        <v>0</v>
      </c>
    </row>
    <row r="207" spans="1:36" s="179" customFormat="1" ht="189" x14ac:dyDescent="0.25">
      <c r="A207" s="6">
        <v>204</v>
      </c>
      <c r="B207" s="31">
        <v>154130</v>
      </c>
      <c r="C207" s="31">
        <v>1250</v>
      </c>
      <c r="D207" s="9" t="s">
        <v>1638</v>
      </c>
      <c r="E207" s="24" t="s">
        <v>2014</v>
      </c>
      <c r="F207" s="11" t="s">
        <v>3290</v>
      </c>
      <c r="G207" s="11" t="s">
        <v>1946</v>
      </c>
      <c r="H207" s="8" t="s">
        <v>151</v>
      </c>
      <c r="I207" s="12" t="s">
        <v>3291</v>
      </c>
      <c r="J207" s="25">
        <v>44834</v>
      </c>
      <c r="K207" s="25">
        <v>45290</v>
      </c>
      <c r="L207" s="26">
        <f t="shared" si="91"/>
        <v>85.000000574004403</v>
      </c>
      <c r="M207" s="31"/>
      <c r="N207" s="11" t="s">
        <v>186</v>
      </c>
      <c r="O207" s="11" t="s">
        <v>186</v>
      </c>
      <c r="P207" s="67" t="s">
        <v>174</v>
      </c>
      <c r="Q207" s="11" t="s">
        <v>34</v>
      </c>
      <c r="R207" s="76">
        <f t="shared" si="92"/>
        <v>2517402.33</v>
      </c>
      <c r="S207" s="30">
        <v>2517402.33</v>
      </c>
      <c r="T207" s="30">
        <v>0</v>
      </c>
      <c r="U207" s="1">
        <f t="shared" si="93"/>
        <v>385014.46</v>
      </c>
      <c r="V207" s="28">
        <v>385014.46</v>
      </c>
      <c r="W207" s="42">
        <v>0</v>
      </c>
      <c r="X207" s="1">
        <f t="shared" si="94"/>
        <v>59232.99</v>
      </c>
      <c r="Y207" s="78">
        <v>59232.99</v>
      </c>
      <c r="Z207" s="30">
        <v>0</v>
      </c>
      <c r="AA207" s="2">
        <f t="shared" si="95"/>
        <v>0</v>
      </c>
      <c r="AB207" s="30">
        <v>0</v>
      </c>
      <c r="AC207" s="30">
        <v>0</v>
      </c>
      <c r="AD207" s="16">
        <f t="shared" si="90"/>
        <v>2961649.7800000003</v>
      </c>
      <c r="AE207" s="2">
        <v>70264.95</v>
      </c>
      <c r="AF207" s="2">
        <f t="shared" si="96"/>
        <v>3031914.7300000004</v>
      </c>
      <c r="AG207" s="38" t="s">
        <v>486</v>
      </c>
      <c r="AH207" s="38"/>
      <c r="AI207" s="30">
        <v>0</v>
      </c>
      <c r="AJ207" s="30">
        <v>0</v>
      </c>
    </row>
    <row r="208" spans="1:36" s="179" customFormat="1" ht="141.75" x14ac:dyDescent="0.25">
      <c r="A208" s="6">
        <v>205</v>
      </c>
      <c r="B208" s="11">
        <v>111029</v>
      </c>
      <c r="C208" s="11">
        <v>126</v>
      </c>
      <c r="D208" s="9" t="s">
        <v>1638</v>
      </c>
      <c r="E208" s="24" t="s">
        <v>277</v>
      </c>
      <c r="F208" s="11" t="s">
        <v>331</v>
      </c>
      <c r="G208" s="11" t="s">
        <v>332</v>
      </c>
      <c r="H208" s="8" t="s">
        <v>151</v>
      </c>
      <c r="I208" s="12" t="s">
        <v>333</v>
      </c>
      <c r="J208" s="25">
        <v>43208</v>
      </c>
      <c r="K208" s="25">
        <v>43695</v>
      </c>
      <c r="L208" s="26">
        <f t="shared" ref="L208:L214" si="97">R208/AD208*100</f>
        <v>85.000001177275294</v>
      </c>
      <c r="M208" s="11">
        <v>3</v>
      </c>
      <c r="N208" s="11" t="s">
        <v>330</v>
      </c>
      <c r="O208" s="11" t="s">
        <v>330</v>
      </c>
      <c r="P208" s="27" t="s">
        <v>174</v>
      </c>
      <c r="Q208" s="11" t="s">
        <v>34</v>
      </c>
      <c r="R208" s="1">
        <f>S208+T208</f>
        <v>361003.08</v>
      </c>
      <c r="S208" s="2">
        <v>361003.08</v>
      </c>
      <c r="T208" s="2">
        <v>0</v>
      </c>
      <c r="U208" s="1">
        <f t="shared" ref="U208:U214" si="98">V208+W208</f>
        <v>55212.23</v>
      </c>
      <c r="V208" s="28">
        <v>55212.23</v>
      </c>
      <c r="W208" s="28"/>
      <c r="X208" s="1">
        <f t="shared" ref="X208:X214" si="99">Y208+Z208</f>
        <v>8494.19</v>
      </c>
      <c r="Y208" s="2">
        <v>8494.19</v>
      </c>
      <c r="Z208" s="2">
        <v>0</v>
      </c>
      <c r="AA208" s="2">
        <f t="shared" ref="AA208:AA214" si="100">AB208+AC208</f>
        <v>0</v>
      </c>
      <c r="AB208" s="2">
        <v>0</v>
      </c>
      <c r="AC208" s="2">
        <v>0</v>
      </c>
      <c r="AD208" s="16">
        <f t="shared" si="90"/>
        <v>424709.5</v>
      </c>
      <c r="AE208" s="2">
        <v>0</v>
      </c>
      <c r="AF208" s="2">
        <f t="shared" ref="AF208:AF214" si="101">AD208+AE208</f>
        <v>424709.5</v>
      </c>
      <c r="AG208" s="21" t="s">
        <v>857</v>
      </c>
      <c r="AH208" s="29" t="s">
        <v>151</v>
      </c>
      <c r="AI208" s="30">
        <v>306350.18</v>
      </c>
      <c r="AJ208" s="30">
        <v>46853.56</v>
      </c>
    </row>
    <row r="209" spans="1:37" s="179" customFormat="1" ht="141.75" x14ac:dyDescent="0.25">
      <c r="A209" s="6">
        <v>206</v>
      </c>
      <c r="B209" s="11">
        <v>116685</v>
      </c>
      <c r="C209" s="11">
        <v>407</v>
      </c>
      <c r="D209" s="32" t="s">
        <v>1639</v>
      </c>
      <c r="E209" s="24" t="s">
        <v>507</v>
      </c>
      <c r="F209" s="27" t="s">
        <v>649</v>
      </c>
      <c r="G209" s="11" t="s">
        <v>652</v>
      </c>
      <c r="H209" s="11" t="s">
        <v>650</v>
      </c>
      <c r="I209" s="12" t="s">
        <v>651</v>
      </c>
      <c r="J209" s="25">
        <v>43298</v>
      </c>
      <c r="K209" s="25">
        <v>43907</v>
      </c>
      <c r="L209" s="26">
        <f t="shared" si="97"/>
        <v>84.519132769277391</v>
      </c>
      <c r="M209" s="11">
        <v>3</v>
      </c>
      <c r="N209" s="11" t="s">
        <v>330</v>
      </c>
      <c r="O209" s="11" t="s">
        <v>330</v>
      </c>
      <c r="P209" s="27" t="s">
        <v>174</v>
      </c>
      <c r="Q209" s="11" t="s">
        <v>34</v>
      </c>
      <c r="R209" s="1">
        <f>S209+T209</f>
        <v>335058.15000000002</v>
      </c>
      <c r="S209" s="2">
        <v>335058.15000000002</v>
      </c>
      <c r="T209" s="2">
        <v>0</v>
      </c>
      <c r="U209" s="1">
        <f t="shared" si="98"/>
        <v>53442.06</v>
      </c>
      <c r="V209" s="28">
        <v>53442.06</v>
      </c>
      <c r="W209" s="28">
        <v>0</v>
      </c>
      <c r="X209" s="1">
        <f t="shared" si="99"/>
        <v>0</v>
      </c>
      <c r="Y209" s="2">
        <v>0</v>
      </c>
      <c r="Z209" s="2">
        <v>0</v>
      </c>
      <c r="AA209" s="2">
        <f t="shared" si="100"/>
        <v>7928.55</v>
      </c>
      <c r="AB209" s="2">
        <v>7928.55</v>
      </c>
      <c r="AC209" s="2">
        <v>0</v>
      </c>
      <c r="AD209" s="16">
        <f t="shared" si="90"/>
        <v>396428.76</v>
      </c>
      <c r="AE209" s="2">
        <v>0</v>
      </c>
      <c r="AF209" s="2">
        <f t="shared" si="101"/>
        <v>396428.76</v>
      </c>
      <c r="AG209" s="38" t="s">
        <v>857</v>
      </c>
      <c r="AH209" s="29" t="s">
        <v>1088</v>
      </c>
      <c r="AI209" s="30">
        <v>326035.62</v>
      </c>
      <c r="AJ209" s="30">
        <v>51899.82</v>
      </c>
    </row>
    <row r="210" spans="1:37" s="179" customFormat="1" ht="409.5" x14ac:dyDescent="0.25">
      <c r="A210" s="6">
        <v>207</v>
      </c>
      <c r="B210" s="11">
        <v>118751</v>
      </c>
      <c r="C210" s="11">
        <v>437</v>
      </c>
      <c r="D210" s="32" t="s">
        <v>1639</v>
      </c>
      <c r="E210" s="24" t="s">
        <v>507</v>
      </c>
      <c r="F210" s="11" t="s">
        <v>791</v>
      </c>
      <c r="G210" s="11" t="s">
        <v>332</v>
      </c>
      <c r="H210" s="8" t="s">
        <v>151</v>
      </c>
      <c r="I210" s="12" t="s">
        <v>1356</v>
      </c>
      <c r="J210" s="25">
        <v>43340</v>
      </c>
      <c r="K210" s="25">
        <v>43644</v>
      </c>
      <c r="L210" s="26">
        <f t="shared" si="97"/>
        <v>85.000001668371198</v>
      </c>
      <c r="M210" s="11">
        <v>3</v>
      </c>
      <c r="N210" s="11" t="s">
        <v>330</v>
      </c>
      <c r="O210" s="11" t="s">
        <v>330</v>
      </c>
      <c r="P210" s="27" t="s">
        <v>174</v>
      </c>
      <c r="Q210" s="11" t="s">
        <v>34</v>
      </c>
      <c r="R210" s="1">
        <v>254739.48</v>
      </c>
      <c r="S210" s="30">
        <v>254739.48</v>
      </c>
      <c r="T210" s="2">
        <v>0</v>
      </c>
      <c r="U210" s="1">
        <f t="shared" si="98"/>
        <v>38960.15</v>
      </c>
      <c r="V210" s="28">
        <v>38960.15</v>
      </c>
      <c r="W210" s="28">
        <v>0</v>
      </c>
      <c r="X210" s="1">
        <f t="shared" si="99"/>
        <v>5993.87</v>
      </c>
      <c r="Y210" s="2">
        <v>5993.87</v>
      </c>
      <c r="Z210" s="2">
        <v>0</v>
      </c>
      <c r="AA210" s="2">
        <f t="shared" si="100"/>
        <v>0</v>
      </c>
      <c r="AB210" s="2">
        <v>0</v>
      </c>
      <c r="AC210" s="2">
        <v>0</v>
      </c>
      <c r="AD210" s="16">
        <f t="shared" si="90"/>
        <v>299693.5</v>
      </c>
      <c r="AE210" s="2">
        <v>0</v>
      </c>
      <c r="AF210" s="2">
        <f t="shared" si="101"/>
        <v>299693.5</v>
      </c>
      <c r="AG210" s="21" t="s">
        <v>857</v>
      </c>
      <c r="AH210" s="29" t="s">
        <v>151</v>
      </c>
      <c r="AI210" s="30">
        <v>248993.41</v>
      </c>
      <c r="AJ210" s="30">
        <v>38081.339999999997</v>
      </c>
      <c r="AK210" s="119"/>
    </row>
    <row r="211" spans="1:37" s="179" customFormat="1" ht="173.25" x14ac:dyDescent="0.25">
      <c r="A211" s="6">
        <v>208</v>
      </c>
      <c r="B211" s="31">
        <v>126535</v>
      </c>
      <c r="C211" s="11">
        <v>564</v>
      </c>
      <c r="D211" s="9" t="s">
        <v>1638</v>
      </c>
      <c r="E211" s="24" t="s">
        <v>899</v>
      </c>
      <c r="F211" s="31" t="s">
        <v>937</v>
      </c>
      <c r="G211" s="11" t="s">
        <v>332</v>
      </c>
      <c r="H211" s="8" t="s">
        <v>151</v>
      </c>
      <c r="I211" s="32" t="s">
        <v>2714</v>
      </c>
      <c r="J211" s="25">
        <v>43447</v>
      </c>
      <c r="K211" s="25">
        <v>44908</v>
      </c>
      <c r="L211" s="26">
        <f t="shared" si="97"/>
        <v>85</v>
      </c>
      <c r="M211" s="11">
        <v>3</v>
      </c>
      <c r="N211" s="11" t="s">
        <v>330</v>
      </c>
      <c r="O211" s="11" t="s">
        <v>330</v>
      </c>
      <c r="P211" s="27" t="s">
        <v>174</v>
      </c>
      <c r="Q211" s="11" t="s">
        <v>34</v>
      </c>
      <c r="R211" s="1">
        <f>S211+T211</f>
        <v>3199377.9</v>
      </c>
      <c r="S211" s="30">
        <v>3199377.9</v>
      </c>
      <c r="T211" s="30">
        <v>0</v>
      </c>
      <c r="U211" s="1">
        <f t="shared" si="98"/>
        <v>489316.62</v>
      </c>
      <c r="V211" s="42">
        <v>489316.62</v>
      </c>
      <c r="W211" s="42">
        <v>0</v>
      </c>
      <c r="X211" s="1">
        <f t="shared" si="99"/>
        <v>75279.48</v>
      </c>
      <c r="Y211" s="2">
        <v>75279.48</v>
      </c>
      <c r="Z211" s="2">
        <v>0</v>
      </c>
      <c r="AA211" s="2">
        <f t="shared" si="100"/>
        <v>0</v>
      </c>
      <c r="AB211" s="30">
        <v>0</v>
      </c>
      <c r="AC211" s="30">
        <v>0</v>
      </c>
      <c r="AD211" s="16">
        <f t="shared" si="90"/>
        <v>3763974</v>
      </c>
      <c r="AE211" s="2">
        <v>0</v>
      </c>
      <c r="AF211" s="2">
        <f t="shared" si="101"/>
        <v>3763974</v>
      </c>
      <c r="AG211" s="38" t="s">
        <v>486</v>
      </c>
      <c r="AH211" s="29" t="s">
        <v>1929</v>
      </c>
      <c r="AI211" s="30">
        <f>436731.77-12762.45+354620</f>
        <v>778589.32000000007</v>
      </c>
      <c r="AJ211" s="30">
        <f>49783.81+15058.55</f>
        <v>64842.36</v>
      </c>
    </row>
    <row r="212" spans="1:37" s="179" customFormat="1" ht="189" x14ac:dyDescent="0.25">
      <c r="A212" s="6">
        <v>209</v>
      </c>
      <c r="B212" s="31">
        <v>135893</v>
      </c>
      <c r="C212" s="11">
        <v>791</v>
      </c>
      <c r="D212" s="9" t="s">
        <v>1638</v>
      </c>
      <c r="E212" s="24" t="s">
        <v>1441</v>
      </c>
      <c r="F212" s="31" t="s">
        <v>1454</v>
      </c>
      <c r="G212" s="11" t="s">
        <v>332</v>
      </c>
      <c r="H212" s="8" t="s">
        <v>151</v>
      </c>
      <c r="I212" s="12" t="s">
        <v>2715</v>
      </c>
      <c r="J212" s="25">
        <v>43959</v>
      </c>
      <c r="K212" s="25">
        <v>45238</v>
      </c>
      <c r="L212" s="26">
        <f t="shared" si="97"/>
        <v>85.000000000000014</v>
      </c>
      <c r="M212" s="11">
        <v>3</v>
      </c>
      <c r="N212" s="11" t="s">
        <v>330</v>
      </c>
      <c r="O212" s="11" t="s">
        <v>330</v>
      </c>
      <c r="P212" s="27" t="s">
        <v>174</v>
      </c>
      <c r="Q212" s="11" t="s">
        <v>34</v>
      </c>
      <c r="R212" s="1">
        <f>S212+T212</f>
        <v>3203800.45</v>
      </c>
      <c r="S212" s="30">
        <v>3203800.45</v>
      </c>
      <c r="T212" s="30">
        <v>0</v>
      </c>
      <c r="U212" s="1">
        <f t="shared" si="98"/>
        <v>489993.01</v>
      </c>
      <c r="V212" s="42">
        <v>489993.01</v>
      </c>
      <c r="W212" s="42">
        <v>0</v>
      </c>
      <c r="X212" s="1">
        <f t="shared" si="99"/>
        <v>75383.539999999994</v>
      </c>
      <c r="Y212" s="2">
        <v>75383.539999999994</v>
      </c>
      <c r="Z212" s="2">
        <v>0</v>
      </c>
      <c r="AA212" s="2">
        <f t="shared" si="100"/>
        <v>0</v>
      </c>
      <c r="AB212" s="30">
        <v>0</v>
      </c>
      <c r="AC212" s="30">
        <v>0</v>
      </c>
      <c r="AD212" s="16">
        <f t="shared" si="90"/>
        <v>3769177</v>
      </c>
      <c r="AE212" s="2">
        <v>0</v>
      </c>
      <c r="AF212" s="2">
        <f t="shared" si="101"/>
        <v>3769177</v>
      </c>
      <c r="AG212" s="38" t="s">
        <v>486</v>
      </c>
      <c r="AH212" s="29" t="s">
        <v>3298</v>
      </c>
      <c r="AI212" s="30">
        <f>9077.15+222941-26473.23+146626.43-21920.99</f>
        <v>330250.36</v>
      </c>
      <c r="AJ212" s="30">
        <f>1388.27+26473.23+21920.99</f>
        <v>49782.490000000005</v>
      </c>
    </row>
    <row r="213" spans="1:37" s="179" customFormat="1" ht="173.25" x14ac:dyDescent="0.25">
      <c r="A213" s="6">
        <v>210</v>
      </c>
      <c r="B213" s="31">
        <v>135244</v>
      </c>
      <c r="C213" s="11">
        <v>817</v>
      </c>
      <c r="D213" s="9" t="s">
        <v>1638</v>
      </c>
      <c r="E213" s="24" t="s">
        <v>1441</v>
      </c>
      <c r="F213" s="11" t="s">
        <v>1470</v>
      </c>
      <c r="G213" s="11" t="s">
        <v>652</v>
      </c>
      <c r="H213" s="8" t="s">
        <v>151</v>
      </c>
      <c r="I213" s="12" t="s">
        <v>2716</v>
      </c>
      <c r="J213" s="25">
        <v>43969</v>
      </c>
      <c r="K213" s="25">
        <v>45187</v>
      </c>
      <c r="L213" s="26">
        <f t="shared" si="97"/>
        <v>85.000000120245716</v>
      </c>
      <c r="M213" s="11">
        <v>3</v>
      </c>
      <c r="N213" s="11" t="s">
        <v>330</v>
      </c>
      <c r="O213" s="11" t="s">
        <v>330</v>
      </c>
      <c r="P213" s="27" t="s">
        <v>174</v>
      </c>
      <c r="Q213" s="11" t="s">
        <v>34</v>
      </c>
      <c r="R213" s="1">
        <f>S213+T213</f>
        <v>3180986.65</v>
      </c>
      <c r="S213" s="2">
        <v>3180986.65</v>
      </c>
      <c r="T213" s="2">
        <v>0</v>
      </c>
      <c r="U213" s="1">
        <f t="shared" si="98"/>
        <v>486503.83</v>
      </c>
      <c r="V213" s="28">
        <v>486503.83</v>
      </c>
      <c r="W213" s="28">
        <v>0</v>
      </c>
      <c r="X213" s="1">
        <f t="shared" si="99"/>
        <v>74846.75</v>
      </c>
      <c r="Y213" s="2">
        <v>74846.75</v>
      </c>
      <c r="Z213" s="2">
        <v>0</v>
      </c>
      <c r="AA213" s="2">
        <f t="shared" si="100"/>
        <v>0</v>
      </c>
      <c r="AB213" s="30">
        <v>0</v>
      </c>
      <c r="AC213" s="30">
        <v>0</v>
      </c>
      <c r="AD213" s="16">
        <f t="shared" si="90"/>
        <v>3742337.23</v>
      </c>
      <c r="AE213" s="2">
        <v>0</v>
      </c>
      <c r="AF213" s="2">
        <f t="shared" si="101"/>
        <v>3742337.23</v>
      </c>
      <c r="AG213" s="38" t="s">
        <v>486</v>
      </c>
      <c r="AH213" s="29" t="s">
        <v>1984</v>
      </c>
      <c r="AI213" s="30">
        <f>108933+137399.08+463036.48-3960.32-3527.16</f>
        <v>701881.08</v>
      </c>
      <c r="AJ213" s="30">
        <f>21013.98+70817.35+3960.32+3527.16</f>
        <v>99318.810000000012</v>
      </c>
    </row>
    <row r="214" spans="1:37" s="179" customFormat="1" ht="204.75" x14ac:dyDescent="0.25">
      <c r="A214" s="6">
        <v>211</v>
      </c>
      <c r="B214" s="31">
        <v>154992</v>
      </c>
      <c r="C214" s="11">
        <v>1202</v>
      </c>
      <c r="D214" s="9" t="s">
        <v>1638</v>
      </c>
      <c r="E214" s="24" t="s">
        <v>2014</v>
      </c>
      <c r="F214" s="31" t="s">
        <v>2164</v>
      </c>
      <c r="G214" s="11" t="s">
        <v>652</v>
      </c>
      <c r="H214" s="8" t="s">
        <v>151</v>
      </c>
      <c r="I214" s="12" t="s">
        <v>2717</v>
      </c>
      <c r="J214" s="25">
        <v>44669</v>
      </c>
      <c r="K214" s="25">
        <v>45156</v>
      </c>
      <c r="L214" s="26">
        <f t="shared" si="97"/>
        <v>84.999999918523542</v>
      </c>
      <c r="M214" s="11">
        <v>3</v>
      </c>
      <c r="N214" s="11" t="s">
        <v>330</v>
      </c>
      <c r="O214" s="11" t="s">
        <v>330</v>
      </c>
      <c r="P214" s="27" t="s">
        <v>174</v>
      </c>
      <c r="Q214" s="11" t="s">
        <v>34</v>
      </c>
      <c r="R214" s="1">
        <f>S214+T214</f>
        <v>2086492.38</v>
      </c>
      <c r="S214" s="2">
        <v>2086492.38</v>
      </c>
      <c r="T214" s="2">
        <v>0</v>
      </c>
      <c r="U214" s="1">
        <f t="shared" si="98"/>
        <v>319110.59999999998</v>
      </c>
      <c r="V214" s="28">
        <v>319110.59999999998</v>
      </c>
      <c r="W214" s="28">
        <v>0</v>
      </c>
      <c r="X214" s="1">
        <f t="shared" si="99"/>
        <v>49093.94</v>
      </c>
      <c r="Y214" s="2">
        <v>49093.94</v>
      </c>
      <c r="Z214" s="2">
        <v>0</v>
      </c>
      <c r="AA214" s="2">
        <f t="shared" si="100"/>
        <v>0</v>
      </c>
      <c r="AB214" s="30">
        <v>0</v>
      </c>
      <c r="AC214" s="30">
        <v>0</v>
      </c>
      <c r="AD214" s="16">
        <f t="shared" si="90"/>
        <v>2454696.92</v>
      </c>
      <c r="AE214" s="2">
        <v>0</v>
      </c>
      <c r="AF214" s="2">
        <f t="shared" si="101"/>
        <v>2454696.92</v>
      </c>
      <c r="AG214" s="38" t="s">
        <v>486</v>
      </c>
      <c r="AH214" s="29"/>
      <c r="AI214" s="30">
        <v>200000</v>
      </c>
      <c r="AJ214" s="30">
        <v>0</v>
      </c>
    </row>
    <row r="215" spans="1:37" s="179" customFormat="1" ht="141.75" x14ac:dyDescent="0.25">
      <c r="A215" s="6">
        <v>212</v>
      </c>
      <c r="B215" s="11">
        <v>120638</v>
      </c>
      <c r="C215" s="11">
        <v>97</v>
      </c>
      <c r="D215" s="9" t="s">
        <v>1638</v>
      </c>
      <c r="E215" s="24" t="s">
        <v>277</v>
      </c>
      <c r="F215" s="11" t="s">
        <v>233</v>
      </c>
      <c r="G215" s="11" t="s">
        <v>1655</v>
      </c>
      <c r="H215" s="8" t="s">
        <v>151</v>
      </c>
      <c r="I215" s="46" t="s">
        <v>234</v>
      </c>
      <c r="J215" s="25">
        <v>43145</v>
      </c>
      <c r="K215" s="25">
        <v>43630</v>
      </c>
      <c r="L215" s="26">
        <f t="shared" ref="L215:L223" si="102">R215/AD215*100</f>
        <v>84.999998641808133</v>
      </c>
      <c r="M215" s="11">
        <v>4</v>
      </c>
      <c r="N215" s="11" t="s">
        <v>231</v>
      </c>
      <c r="O215" s="11" t="s">
        <v>232</v>
      </c>
      <c r="P215" s="27" t="s">
        <v>174</v>
      </c>
      <c r="Q215" s="11" t="s">
        <v>34</v>
      </c>
      <c r="R215" s="2">
        <f t="shared" ref="R215:R223" si="103">S215+T215</f>
        <v>312916.02</v>
      </c>
      <c r="S215" s="39">
        <v>312916.02</v>
      </c>
      <c r="T215" s="103">
        <v>0</v>
      </c>
      <c r="U215" s="1">
        <f t="shared" ref="U215:U233" si="104">V215+W215</f>
        <v>47857.75</v>
      </c>
      <c r="V215" s="28">
        <v>47857.75</v>
      </c>
      <c r="W215" s="28">
        <v>0</v>
      </c>
      <c r="X215" s="1">
        <f t="shared" ref="X215:X233" si="105">Y215+Z215</f>
        <v>7362.73</v>
      </c>
      <c r="Y215" s="2">
        <v>7362.73</v>
      </c>
      <c r="Z215" s="2">
        <v>0</v>
      </c>
      <c r="AA215" s="2">
        <f t="shared" ref="AA215:AA223" si="106">AB215+AC215</f>
        <v>0</v>
      </c>
      <c r="AB215" s="2">
        <v>0</v>
      </c>
      <c r="AC215" s="2">
        <v>0</v>
      </c>
      <c r="AD215" s="16">
        <f t="shared" si="90"/>
        <v>368136.5</v>
      </c>
      <c r="AE215" s="2">
        <v>0</v>
      </c>
      <c r="AF215" s="2">
        <f t="shared" ref="AF215:AF223" si="107">AD215+AE215</f>
        <v>368136.5</v>
      </c>
      <c r="AG215" s="21" t="s">
        <v>857</v>
      </c>
      <c r="AH215" s="29" t="s">
        <v>294</v>
      </c>
      <c r="AI215" s="30">
        <v>237555.28999999998</v>
      </c>
      <c r="AJ215" s="30">
        <v>36331.979999999996</v>
      </c>
    </row>
    <row r="216" spans="1:37" s="179" customFormat="1" ht="141.75" x14ac:dyDescent="0.25">
      <c r="A216" s="6">
        <v>213</v>
      </c>
      <c r="B216" s="31">
        <v>120714</v>
      </c>
      <c r="C216" s="11">
        <v>111</v>
      </c>
      <c r="D216" s="9" t="s">
        <v>1638</v>
      </c>
      <c r="E216" s="24" t="s">
        <v>277</v>
      </c>
      <c r="F216" s="11" t="s">
        <v>250</v>
      </c>
      <c r="G216" s="11" t="s">
        <v>908</v>
      </c>
      <c r="H216" s="11" t="s">
        <v>249</v>
      </c>
      <c r="I216" s="12" t="s">
        <v>432</v>
      </c>
      <c r="J216" s="25">
        <v>43166</v>
      </c>
      <c r="K216" s="25">
        <v>43653</v>
      </c>
      <c r="L216" s="26">
        <f t="shared" si="102"/>
        <v>85</v>
      </c>
      <c r="M216" s="11">
        <v>4</v>
      </c>
      <c r="N216" s="11" t="s">
        <v>231</v>
      </c>
      <c r="O216" s="11" t="s">
        <v>232</v>
      </c>
      <c r="P216" s="27" t="s">
        <v>174</v>
      </c>
      <c r="Q216" s="11" t="s">
        <v>34</v>
      </c>
      <c r="R216" s="2">
        <f t="shared" si="103"/>
        <v>355906.39</v>
      </c>
      <c r="S216" s="57">
        <v>355906.39</v>
      </c>
      <c r="T216" s="57">
        <v>0</v>
      </c>
      <c r="U216" s="1">
        <f t="shared" si="104"/>
        <v>54432.74</v>
      </c>
      <c r="V216" s="28">
        <v>54432.74</v>
      </c>
      <c r="W216" s="28">
        <v>0</v>
      </c>
      <c r="X216" s="1">
        <f t="shared" si="105"/>
        <v>8374.27</v>
      </c>
      <c r="Y216" s="2">
        <v>8374.27</v>
      </c>
      <c r="Z216" s="2">
        <v>0</v>
      </c>
      <c r="AA216" s="2">
        <f t="shared" si="106"/>
        <v>0</v>
      </c>
      <c r="AB216" s="2">
        <v>0</v>
      </c>
      <c r="AC216" s="2">
        <v>0</v>
      </c>
      <c r="AD216" s="16">
        <f t="shared" si="90"/>
        <v>418713.4</v>
      </c>
      <c r="AE216" s="2">
        <v>0</v>
      </c>
      <c r="AF216" s="2">
        <f t="shared" si="107"/>
        <v>418713.4</v>
      </c>
      <c r="AG216" s="21" t="s">
        <v>857</v>
      </c>
      <c r="AH216" s="29" t="s">
        <v>151</v>
      </c>
      <c r="AI216" s="30">
        <v>292880.73</v>
      </c>
      <c r="AJ216" s="30">
        <v>44793.507300000012</v>
      </c>
    </row>
    <row r="217" spans="1:37" s="179" customFormat="1" ht="141.75" x14ac:dyDescent="0.25">
      <c r="A217" s="6">
        <v>214</v>
      </c>
      <c r="B217" s="31">
        <v>119758</v>
      </c>
      <c r="C217" s="11">
        <v>460</v>
      </c>
      <c r="D217" s="9" t="s">
        <v>1638</v>
      </c>
      <c r="E217" s="24" t="s">
        <v>457</v>
      </c>
      <c r="F217" s="70" t="s">
        <v>479</v>
      </c>
      <c r="G217" s="11" t="s">
        <v>480</v>
      </c>
      <c r="H217" s="8" t="s">
        <v>151</v>
      </c>
      <c r="I217" s="12" t="s">
        <v>2718</v>
      </c>
      <c r="J217" s="25">
        <v>43264</v>
      </c>
      <c r="K217" s="25">
        <v>43751</v>
      </c>
      <c r="L217" s="26">
        <f t="shared" si="102"/>
        <v>85</v>
      </c>
      <c r="M217" s="11">
        <v>4</v>
      </c>
      <c r="N217" s="11" t="s">
        <v>231</v>
      </c>
      <c r="O217" s="11" t="s">
        <v>481</v>
      </c>
      <c r="P217" s="27" t="s">
        <v>174</v>
      </c>
      <c r="Q217" s="11" t="s">
        <v>34</v>
      </c>
      <c r="R217" s="2">
        <f t="shared" si="103"/>
        <v>356536.75</v>
      </c>
      <c r="S217" s="57">
        <v>356536.75</v>
      </c>
      <c r="T217" s="57">
        <v>0</v>
      </c>
      <c r="U217" s="1">
        <f t="shared" si="104"/>
        <v>54529.15</v>
      </c>
      <c r="V217" s="28">
        <v>54529.15</v>
      </c>
      <c r="W217" s="28"/>
      <c r="X217" s="1">
        <f t="shared" si="105"/>
        <v>8389.1</v>
      </c>
      <c r="Y217" s="2">
        <v>8389.1</v>
      </c>
      <c r="Z217" s="2">
        <v>0</v>
      </c>
      <c r="AA217" s="2">
        <f t="shared" si="106"/>
        <v>0</v>
      </c>
      <c r="AB217" s="2">
        <v>0</v>
      </c>
      <c r="AC217" s="2">
        <v>0</v>
      </c>
      <c r="AD217" s="16">
        <f t="shared" si="90"/>
        <v>419455</v>
      </c>
      <c r="AE217" s="2"/>
      <c r="AF217" s="2">
        <f t="shared" si="107"/>
        <v>419455</v>
      </c>
      <c r="AG217" s="21" t="s">
        <v>857</v>
      </c>
      <c r="AH217" s="29"/>
      <c r="AI217" s="30">
        <v>294297.16000000003</v>
      </c>
      <c r="AJ217" s="30">
        <v>45010.169999999991</v>
      </c>
    </row>
    <row r="218" spans="1:37" s="179" customFormat="1" ht="141.75" x14ac:dyDescent="0.25">
      <c r="A218" s="6">
        <v>215</v>
      </c>
      <c r="B218" s="31">
        <v>116766</v>
      </c>
      <c r="C218" s="11">
        <v>409</v>
      </c>
      <c r="D218" s="32" t="s">
        <v>1639</v>
      </c>
      <c r="E218" s="11" t="s">
        <v>507</v>
      </c>
      <c r="F218" s="11" t="s">
        <v>540</v>
      </c>
      <c r="G218" s="11" t="s">
        <v>1655</v>
      </c>
      <c r="H218" s="8" t="s">
        <v>151</v>
      </c>
      <c r="I218" s="32" t="s">
        <v>2719</v>
      </c>
      <c r="J218" s="25">
        <v>43278</v>
      </c>
      <c r="K218" s="25">
        <v>43826</v>
      </c>
      <c r="L218" s="26">
        <f t="shared" si="102"/>
        <v>85.000000275422053</v>
      </c>
      <c r="M218" s="11">
        <v>4</v>
      </c>
      <c r="N218" s="11" t="s">
        <v>231</v>
      </c>
      <c r="O218" s="40" t="s">
        <v>541</v>
      </c>
      <c r="P218" s="40" t="s">
        <v>174</v>
      </c>
      <c r="Q218" s="11" t="s">
        <v>34</v>
      </c>
      <c r="R218" s="2">
        <f t="shared" si="103"/>
        <v>308617.27</v>
      </c>
      <c r="S218" s="57">
        <v>308617.27</v>
      </c>
      <c r="T218" s="57">
        <v>0</v>
      </c>
      <c r="U218" s="1">
        <f t="shared" si="104"/>
        <v>47200.29</v>
      </c>
      <c r="V218" s="28">
        <v>47200.29</v>
      </c>
      <c r="W218" s="28">
        <v>0</v>
      </c>
      <c r="X218" s="1">
        <f t="shared" si="105"/>
        <v>7261.58</v>
      </c>
      <c r="Y218" s="2">
        <v>7261.58</v>
      </c>
      <c r="Z218" s="1">
        <v>0</v>
      </c>
      <c r="AA218" s="2">
        <f t="shared" si="106"/>
        <v>0</v>
      </c>
      <c r="AB218" s="1">
        <v>0</v>
      </c>
      <c r="AC218" s="1">
        <v>0</v>
      </c>
      <c r="AD218" s="16">
        <f t="shared" si="90"/>
        <v>363079.14</v>
      </c>
      <c r="AE218" s="104">
        <v>0</v>
      </c>
      <c r="AF218" s="2">
        <f t="shared" si="107"/>
        <v>363079.14</v>
      </c>
      <c r="AG218" s="38" t="s">
        <v>857</v>
      </c>
      <c r="AH218" s="73" t="s">
        <v>1340</v>
      </c>
      <c r="AI218" s="30">
        <v>225079</v>
      </c>
      <c r="AJ218" s="30">
        <v>34423.869999999995</v>
      </c>
    </row>
    <row r="219" spans="1:37" s="179" customFormat="1" ht="141.75" x14ac:dyDescent="0.25">
      <c r="A219" s="6">
        <v>216</v>
      </c>
      <c r="B219" s="31">
        <v>126293</v>
      </c>
      <c r="C219" s="11">
        <v>523</v>
      </c>
      <c r="D219" s="9" t="s">
        <v>1638</v>
      </c>
      <c r="E219" s="11" t="s">
        <v>899</v>
      </c>
      <c r="F219" s="11" t="s">
        <v>929</v>
      </c>
      <c r="G219" s="11" t="s">
        <v>908</v>
      </c>
      <c r="H219" s="8" t="s">
        <v>151</v>
      </c>
      <c r="I219" s="32" t="s">
        <v>2720</v>
      </c>
      <c r="J219" s="25">
        <v>43437</v>
      </c>
      <c r="K219" s="25">
        <v>44564</v>
      </c>
      <c r="L219" s="26">
        <f t="shared" si="102"/>
        <v>85.000000538702352</v>
      </c>
      <c r="M219" s="11">
        <v>4</v>
      </c>
      <c r="N219" s="11" t="s">
        <v>231</v>
      </c>
      <c r="O219" s="40" t="s">
        <v>541</v>
      </c>
      <c r="P219" s="40" t="s">
        <v>174</v>
      </c>
      <c r="Q219" s="11" t="s">
        <v>34</v>
      </c>
      <c r="R219" s="2">
        <f t="shared" si="103"/>
        <v>2366798.75</v>
      </c>
      <c r="S219" s="57">
        <v>2366798.75</v>
      </c>
      <c r="T219" s="57">
        <v>0</v>
      </c>
      <c r="U219" s="1">
        <f t="shared" si="104"/>
        <v>361980.97</v>
      </c>
      <c r="V219" s="28">
        <v>361980.97</v>
      </c>
      <c r="W219" s="28">
        <v>0</v>
      </c>
      <c r="X219" s="1">
        <f t="shared" si="105"/>
        <v>55689.38</v>
      </c>
      <c r="Y219" s="2">
        <v>55689.38</v>
      </c>
      <c r="Z219" s="30">
        <v>0</v>
      </c>
      <c r="AA219" s="2">
        <f t="shared" si="106"/>
        <v>0</v>
      </c>
      <c r="AB219" s="30">
        <v>0</v>
      </c>
      <c r="AC219" s="30">
        <v>0</v>
      </c>
      <c r="AD219" s="16">
        <f t="shared" si="90"/>
        <v>2784469.0999999996</v>
      </c>
      <c r="AE219" s="2">
        <v>129948</v>
      </c>
      <c r="AF219" s="2">
        <f t="shared" si="107"/>
        <v>2914417.0999999996</v>
      </c>
      <c r="AG219" s="38" t="s">
        <v>857</v>
      </c>
      <c r="AH219" s="73" t="s">
        <v>1757</v>
      </c>
      <c r="AI219" s="30">
        <f>319351.51+294803.9+201586.29+363120.54+102457.87+370209+338953.65+27108.2+24195.08</f>
        <v>2041786.0399999998</v>
      </c>
      <c r="AJ219" s="30">
        <f>48841.98+45087.66+30830.84+55536.09+15670.03+56620.2+51839.97+4145.96+3700.42</f>
        <v>312273.15000000002</v>
      </c>
    </row>
    <row r="220" spans="1:37" s="179" customFormat="1" ht="141.75" x14ac:dyDescent="0.25">
      <c r="A220" s="6">
        <v>217</v>
      </c>
      <c r="B220" s="31">
        <v>126212</v>
      </c>
      <c r="C220" s="11">
        <v>516</v>
      </c>
      <c r="D220" s="9" t="s">
        <v>1638</v>
      </c>
      <c r="E220" s="11" t="s">
        <v>899</v>
      </c>
      <c r="F220" s="11" t="s">
        <v>928</v>
      </c>
      <c r="G220" s="11" t="s">
        <v>480</v>
      </c>
      <c r="H220" s="8" t="s">
        <v>151</v>
      </c>
      <c r="I220" s="32" t="s">
        <v>2721</v>
      </c>
      <c r="J220" s="25">
        <v>43445</v>
      </c>
      <c r="K220" s="25">
        <v>44358</v>
      </c>
      <c r="L220" s="26">
        <f t="shared" si="102"/>
        <v>85.000000138721092</v>
      </c>
      <c r="M220" s="11">
        <v>4</v>
      </c>
      <c r="N220" s="11" t="s">
        <v>231</v>
      </c>
      <c r="O220" s="11" t="s">
        <v>481</v>
      </c>
      <c r="P220" s="11" t="s">
        <v>174</v>
      </c>
      <c r="Q220" s="11" t="s">
        <v>34</v>
      </c>
      <c r="R220" s="2">
        <f t="shared" si="103"/>
        <v>3063701.5</v>
      </c>
      <c r="S220" s="57">
        <v>3063701.5</v>
      </c>
      <c r="T220" s="57">
        <v>0</v>
      </c>
      <c r="U220" s="1">
        <f t="shared" si="104"/>
        <v>468566.11</v>
      </c>
      <c r="V220" s="28">
        <v>468566.11</v>
      </c>
      <c r="W220" s="28">
        <v>0</v>
      </c>
      <c r="X220" s="1">
        <f t="shared" si="105"/>
        <v>72087.09</v>
      </c>
      <c r="Y220" s="2">
        <v>72087.09</v>
      </c>
      <c r="Z220" s="30">
        <v>0</v>
      </c>
      <c r="AA220" s="2">
        <f t="shared" si="106"/>
        <v>0</v>
      </c>
      <c r="AB220" s="30">
        <v>0</v>
      </c>
      <c r="AC220" s="30">
        <v>0</v>
      </c>
      <c r="AD220" s="16">
        <f t="shared" si="90"/>
        <v>3604354.6999999997</v>
      </c>
      <c r="AE220" s="35">
        <v>0</v>
      </c>
      <c r="AF220" s="2">
        <f t="shared" si="107"/>
        <v>3604354.6999999997</v>
      </c>
      <c r="AG220" s="38" t="s">
        <v>857</v>
      </c>
      <c r="AH220" s="73" t="s">
        <v>151</v>
      </c>
      <c r="AI220" s="30">
        <f>990540.15-36410.86+95571.03+687657.15+681657-58693.25</f>
        <v>2360321.2200000002</v>
      </c>
      <c r="AJ220" s="30">
        <f>96435.54+49490.11+14616.74+105171.09+49194.6+46082.21</f>
        <v>360990.29</v>
      </c>
    </row>
    <row r="221" spans="1:37" s="179" customFormat="1" ht="156.75" customHeight="1" x14ac:dyDescent="0.25">
      <c r="A221" s="6">
        <v>218</v>
      </c>
      <c r="B221" s="31">
        <v>125603</v>
      </c>
      <c r="C221" s="11">
        <v>528</v>
      </c>
      <c r="D221" s="9" t="s">
        <v>1638</v>
      </c>
      <c r="E221" s="11" t="s">
        <v>899</v>
      </c>
      <c r="F221" s="11" t="s">
        <v>963</v>
      </c>
      <c r="G221" s="11" t="s">
        <v>1655</v>
      </c>
      <c r="H221" s="8" t="s">
        <v>151</v>
      </c>
      <c r="I221" s="32" t="s">
        <v>2722</v>
      </c>
      <c r="J221" s="25">
        <v>43486</v>
      </c>
      <c r="K221" s="25">
        <v>44582</v>
      </c>
      <c r="L221" s="26">
        <f t="shared" si="102"/>
        <v>85.000000127543871</v>
      </c>
      <c r="M221" s="11">
        <v>4</v>
      </c>
      <c r="N221" s="11" t="s">
        <v>231</v>
      </c>
      <c r="O221" s="40" t="s">
        <v>541</v>
      </c>
      <c r="P221" s="40" t="s">
        <v>174</v>
      </c>
      <c r="Q221" s="11" t="s">
        <v>34</v>
      </c>
      <c r="R221" s="2">
        <f t="shared" si="103"/>
        <v>2998968.16</v>
      </c>
      <c r="S221" s="57">
        <v>2998968.16</v>
      </c>
      <c r="T221" s="57">
        <v>0</v>
      </c>
      <c r="U221" s="1">
        <f t="shared" si="104"/>
        <v>458665.73</v>
      </c>
      <c r="V221" s="28">
        <v>458665.73</v>
      </c>
      <c r="W221" s="28">
        <v>0</v>
      </c>
      <c r="X221" s="1">
        <f t="shared" si="105"/>
        <v>70563.94</v>
      </c>
      <c r="Y221" s="2">
        <v>70563.94</v>
      </c>
      <c r="Z221" s="30">
        <v>0</v>
      </c>
      <c r="AA221" s="2">
        <f t="shared" si="106"/>
        <v>0</v>
      </c>
      <c r="AB221" s="30">
        <v>0</v>
      </c>
      <c r="AC221" s="30">
        <v>0</v>
      </c>
      <c r="AD221" s="16">
        <f t="shared" si="90"/>
        <v>3528197.83</v>
      </c>
      <c r="AE221" s="35">
        <v>0</v>
      </c>
      <c r="AF221" s="2">
        <f t="shared" si="107"/>
        <v>3528197.83</v>
      </c>
      <c r="AG221" s="38" t="s">
        <v>857</v>
      </c>
      <c r="AH221" s="73" t="s">
        <v>1753</v>
      </c>
      <c r="AI221" s="30">
        <f>222039.75+785175.49+192185+143650+334183.42</f>
        <v>1677233.66</v>
      </c>
      <c r="AJ221" s="30">
        <f>33959.02+120085.66+29393+21970+51110.4</f>
        <v>256518.08</v>
      </c>
    </row>
    <row r="222" spans="1:37" s="179" customFormat="1" ht="156.75" customHeight="1" x14ac:dyDescent="0.25">
      <c r="A222" s="6">
        <v>219</v>
      </c>
      <c r="B222" s="31">
        <v>135509</v>
      </c>
      <c r="C222" s="11">
        <v>769</v>
      </c>
      <c r="D222" s="9" t="s">
        <v>1638</v>
      </c>
      <c r="E222" s="24" t="s">
        <v>1441</v>
      </c>
      <c r="F222" s="11" t="s">
        <v>1466</v>
      </c>
      <c r="G222" s="11" t="s">
        <v>908</v>
      </c>
      <c r="H222" s="8" t="s">
        <v>151</v>
      </c>
      <c r="I222" s="32" t="s">
        <v>1669</v>
      </c>
      <c r="J222" s="25">
        <v>43959</v>
      </c>
      <c r="K222" s="25">
        <v>44781</v>
      </c>
      <c r="L222" s="26">
        <f t="shared" si="102"/>
        <v>85.000001093049093</v>
      </c>
      <c r="M222" s="11">
        <v>4</v>
      </c>
      <c r="N222" s="11" t="s">
        <v>231</v>
      </c>
      <c r="O222" s="40" t="s">
        <v>541</v>
      </c>
      <c r="P222" s="40" t="s">
        <v>174</v>
      </c>
      <c r="Q222" s="11" t="s">
        <v>1450</v>
      </c>
      <c r="R222" s="2">
        <f t="shared" si="103"/>
        <v>777641.21</v>
      </c>
      <c r="S222" s="57">
        <v>777641.21</v>
      </c>
      <c r="T222" s="57">
        <v>0</v>
      </c>
      <c r="U222" s="1">
        <f t="shared" si="104"/>
        <v>118933.35</v>
      </c>
      <c r="V222" s="28">
        <v>118933.35</v>
      </c>
      <c r="W222" s="28">
        <v>0</v>
      </c>
      <c r="X222" s="1">
        <f t="shared" si="105"/>
        <v>18297.439999999999</v>
      </c>
      <c r="Y222" s="2">
        <v>18297.439999999999</v>
      </c>
      <c r="Z222" s="30">
        <v>0</v>
      </c>
      <c r="AA222" s="2">
        <f t="shared" si="106"/>
        <v>0</v>
      </c>
      <c r="AB222" s="30">
        <v>0</v>
      </c>
      <c r="AC222" s="30">
        <v>0</v>
      </c>
      <c r="AD222" s="16">
        <f t="shared" si="90"/>
        <v>914871.99999999988</v>
      </c>
      <c r="AE222" s="35">
        <v>0</v>
      </c>
      <c r="AF222" s="2">
        <f t="shared" si="107"/>
        <v>914871.99999999988</v>
      </c>
      <c r="AG222" s="38" t="s">
        <v>857</v>
      </c>
      <c r="AH222" s="73" t="s">
        <v>1755</v>
      </c>
      <c r="AI222" s="30">
        <f>13554.11+150600.21+142355.48+215854.1</f>
        <v>522363.9</v>
      </c>
      <c r="AJ222" s="30">
        <f>2072.97+23032.98+21772.01+33012.98</f>
        <v>79890.94</v>
      </c>
    </row>
    <row r="223" spans="1:37" s="179" customFormat="1" ht="156.75" customHeight="1" x14ac:dyDescent="0.25">
      <c r="A223" s="6">
        <v>220</v>
      </c>
      <c r="B223" s="31">
        <v>151884</v>
      </c>
      <c r="C223" s="11">
        <v>1104</v>
      </c>
      <c r="D223" s="9" t="s">
        <v>1639</v>
      </c>
      <c r="E223" s="24" t="s">
        <v>1801</v>
      </c>
      <c r="F223" s="11" t="s">
        <v>1813</v>
      </c>
      <c r="G223" s="11" t="s">
        <v>908</v>
      </c>
      <c r="H223" s="8" t="s">
        <v>151</v>
      </c>
      <c r="I223" s="32" t="s">
        <v>2723</v>
      </c>
      <c r="J223" s="25">
        <v>44476</v>
      </c>
      <c r="K223" s="25">
        <v>44872</v>
      </c>
      <c r="L223" s="26">
        <f t="shared" si="102"/>
        <v>85</v>
      </c>
      <c r="M223" s="11">
        <v>4</v>
      </c>
      <c r="N223" s="11" t="s">
        <v>231</v>
      </c>
      <c r="O223" s="40" t="s">
        <v>541</v>
      </c>
      <c r="P223" s="40" t="s">
        <v>174</v>
      </c>
      <c r="Q223" s="11" t="s">
        <v>1450</v>
      </c>
      <c r="R223" s="2">
        <f t="shared" si="103"/>
        <v>283118.84999999998</v>
      </c>
      <c r="S223" s="57">
        <v>283118.84999999998</v>
      </c>
      <c r="T223" s="57">
        <v>0</v>
      </c>
      <c r="U223" s="1">
        <f t="shared" si="104"/>
        <v>43300.53</v>
      </c>
      <c r="V223" s="28">
        <v>43300.53</v>
      </c>
      <c r="W223" s="28">
        <v>0</v>
      </c>
      <c r="X223" s="1">
        <f t="shared" si="105"/>
        <v>6661.62</v>
      </c>
      <c r="Y223" s="2">
        <v>6661.62</v>
      </c>
      <c r="Z223" s="30">
        <v>0</v>
      </c>
      <c r="AA223" s="2">
        <f t="shared" si="106"/>
        <v>0</v>
      </c>
      <c r="AB223" s="30">
        <v>0</v>
      </c>
      <c r="AC223" s="30">
        <v>0</v>
      </c>
      <c r="AD223" s="16">
        <f t="shared" si="90"/>
        <v>333081</v>
      </c>
      <c r="AE223" s="35">
        <v>0</v>
      </c>
      <c r="AF223" s="2">
        <f t="shared" si="107"/>
        <v>333081</v>
      </c>
      <c r="AG223" s="38" t="s">
        <v>486</v>
      </c>
      <c r="AH223" s="73" t="s">
        <v>151</v>
      </c>
      <c r="AI223" s="30">
        <f>102768.4+40965.75</f>
        <v>143734.15</v>
      </c>
      <c r="AJ223" s="30">
        <f>15717.52+6265.35</f>
        <v>21982.870000000003</v>
      </c>
    </row>
    <row r="224" spans="1:37" s="179" customFormat="1" ht="141.75" x14ac:dyDescent="0.25">
      <c r="A224" s="6">
        <v>221</v>
      </c>
      <c r="B224" s="31">
        <v>111237</v>
      </c>
      <c r="C224" s="11">
        <v>124</v>
      </c>
      <c r="D224" s="9" t="s">
        <v>1638</v>
      </c>
      <c r="E224" s="24" t="s">
        <v>277</v>
      </c>
      <c r="F224" s="11" t="s">
        <v>433</v>
      </c>
      <c r="G224" s="11" t="s">
        <v>1254</v>
      </c>
      <c r="H224" s="8" t="s">
        <v>151</v>
      </c>
      <c r="I224" s="12" t="s">
        <v>434</v>
      </c>
      <c r="J224" s="25">
        <v>43145</v>
      </c>
      <c r="K224" s="25">
        <v>43783</v>
      </c>
      <c r="L224" s="26">
        <f t="shared" ref="L224:L233" si="108">R224/AD224*100</f>
        <v>85.000000000000014</v>
      </c>
      <c r="M224" s="11">
        <v>7</v>
      </c>
      <c r="N224" s="15" t="s">
        <v>222</v>
      </c>
      <c r="O224" s="11" t="s">
        <v>217</v>
      </c>
      <c r="P224" s="27" t="s">
        <v>174</v>
      </c>
      <c r="Q224" s="11" t="s">
        <v>34</v>
      </c>
      <c r="R224" s="105">
        <f t="shared" ref="R224:R233" si="109">S224+T224</f>
        <v>306686.8</v>
      </c>
      <c r="S224" s="57">
        <v>306686.8</v>
      </c>
      <c r="T224" s="106">
        <v>0</v>
      </c>
      <c r="U224" s="1">
        <f t="shared" si="104"/>
        <v>46905.04</v>
      </c>
      <c r="V224" s="28">
        <v>46905.04</v>
      </c>
      <c r="W224" s="28">
        <v>0</v>
      </c>
      <c r="X224" s="1">
        <f t="shared" si="105"/>
        <v>7216.16</v>
      </c>
      <c r="Y224" s="2">
        <v>7216.16</v>
      </c>
      <c r="Z224" s="2">
        <v>0</v>
      </c>
      <c r="AA224" s="2">
        <f t="shared" ref="AA224:AA233" si="110">AB224+AC224</f>
        <v>0</v>
      </c>
      <c r="AB224" s="2">
        <v>0</v>
      </c>
      <c r="AC224" s="2">
        <v>0</v>
      </c>
      <c r="AD224" s="16">
        <f t="shared" si="90"/>
        <v>360807.99999999994</v>
      </c>
      <c r="AE224" s="2">
        <v>0</v>
      </c>
      <c r="AF224" s="2">
        <f t="shared" ref="AF224:AF233" si="111">AD224+AE224</f>
        <v>360807.99999999994</v>
      </c>
      <c r="AG224" s="21" t="s">
        <v>857</v>
      </c>
      <c r="AH224" s="29" t="s">
        <v>1252</v>
      </c>
      <c r="AI224" s="30">
        <v>194851.21</v>
      </c>
      <c r="AJ224" s="30">
        <v>29800.81</v>
      </c>
      <c r="AK224" s="43"/>
    </row>
    <row r="225" spans="1:36" s="179" customFormat="1" ht="259.5" customHeight="1" x14ac:dyDescent="0.25">
      <c r="A225" s="6">
        <v>222</v>
      </c>
      <c r="B225" s="31">
        <v>126548</v>
      </c>
      <c r="C225" s="11">
        <v>533</v>
      </c>
      <c r="D225" s="9" t="s">
        <v>1638</v>
      </c>
      <c r="E225" s="24" t="s">
        <v>899</v>
      </c>
      <c r="F225" s="11" t="s">
        <v>1054</v>
      </c>
      <c r="G225" s="11" t="s">
        <v>1055</v>
      </c>
      <c r="H225" s="8" t="s">
        <v>151</v>
      </c>
      <c r="I225" s="12" t="s">
        <v>2724</v>
      </c>
      <c r="J225" s="25">
        <v>43595</v>
      </c>
      <c r="K225" s="25">
        <v>44449</v>
      </c>
      <c r="L225" s="26">
        <f t="shared" si="108"/>
        <v>85.000007303770332</v>
      </c>
      <c r="M225" s="11">
        <v>7</v>
      </c>
      <c r="N225" s="15" t="s">
        <v>222</v>
      </c>
      <c r="O225" s="15" t="s">
        <v>222</v>
      </c>
      <c r="P225" s="27" t="s">
        <v>174</v>
      </c>
      <c r="Q225" s="11" t="s">
        <v>34</v>
      </c>
      <c r="R225" s="107">
        <f>S225+T225</f>
        <v>436418.46999999991</v>
      </c>
      <c r="S225" s="42">
        <v>436418.46999999991</v>
      </c>
      <c r="T225" s="42">
        <v>0</v>
      </c>
      <c r="U225" s="28">
        <f>V225+W225</f>
        <v>66746.31</v>
      </c>
      <c r="V225" s="42">
        <v>66746.31</v>
      </c>
      <c r="W225" s="42">
        <v>0</v>
      </c>
      <c r="X225" s="28">
        <f>Y225+Z225</f>
        <v>10268.67</v>
      </c>
      <c r="Y225" s="42">
        <v>10268.67</v>
      </c>
      <c r="Z225" s="42">
        <v>0</v>
      </c>
      <c r="AA225" s="28">
        <v>0</v>
      </c>
      <c r="AB225" s="28">
        <v>0</v>
      </c>
      <c r="AC225" s="28">
        <v>0</v>
      </c>
      <c r="AD225" s="16">
        <f t="shared" si="90"/>
        <v>513433.4499999999</v>
      </c>
      <c r="AE225" s="2">
        <v>0</v>
      </c>
      <c r="AF225" s="2">
        <v>513433.4499999999</v>
      </c>
      <c r="AG225" s="38" t="s">
        <v>857</v>
      </c>
      <c r="AH225" s="38" t="s">
        <v>1747</v>
      </c>
      <c r="AI225" s="30">
        <f>86309.8+49942.6+114116.43+135198.22</f>
        <v>385567.05</v>
      </c>
      <c r="AJ225" s="30">
        <f>13200.3+7638.28+17453.1+20677.36</f>
        <v>58969.039999999994</v>
      </c>
    </row>
    <row r="226" spans="1:36" s="179" customFormat="1" ht="259.5" customHeight="1" x14ac:dyDescent="0.25">
      <c r="A226" s="6">
        <v>223</v>
      </c>
      <c r="B226" s="31">
        <v>128765</v>
      </c>
      <c r="C226" s="11">
        <v>633</v>
      </c>
      <c r="D226" s="9" t="s">
        <v>1638</v>
      </c>
      <c r="E226" s="24" t="s">
        <v>1071</v>
      </c>
      <c r="F226" s="11" t="s">
        <v>1136</v>
      </c>
      <c r="G226" s="11" t="s">
        <v>831</v>
      </c>
      <c r="H226" s="8" t="s">
        <v>151</v>
      </c>
      <c r="I226" s="12" t="s">
        <v>1255</v>
      </c>
      <c r="J226" s="25">
        <v>43647</v>
      </c>
      <c r="K226" s="25">
        <v>44501</v>
      </c>
      <c r="L226" s="26">
        <f t="shared" si="108"/>
        <v>85.000000191241938</v>
      </c>
      <c r="M226" s="11">
        <v>7</v>
      </c>
      <c r="N226" s="15" t="s">
        <v>222</v>
      </c>
      <c r="O226" s="15" t="s">
        <v>1137</v>
      </c>
      <c r="P226" s="27" t="s">
        <v>174</v>
      </c>
      <c r="Q226" s="11" t="s">
        <v>34</v>
      </c>
      <c r="R226" s="105">
        <f t="shared" si="109"/>
        <v>2222316.08</v>
      </c>
      <c r="S226" s="30">
        <v>2222316.08</v>
      </c>
      <c r="T226" s="36">
        <v>0</v>
      </c>
      <c r="U226" s="1">
        <f t="shared" si="104"/>
        <v>339883.63</v>
      </c>
      <c r="V226" s="55">
        <v>339883.63</v>
      </c>
      <c r="W226" s="55">
        <v>0</v>
      </c>
      <c r="X226" s="1">
        <f t="shared" si="105"/>
        <v>52289.79</v>
      </c>
      <c r="Y226" s="51">
        <v>52289.79</v>
      </c>
      <c r="Z226" s="51">
        <v>0</v>
      </c>
      <c r="AA226" s="2">
        <f t="shared" si="110"/>
        <v>0</v>
      </c>
      <c r="AB226" s="36">
        <v>0</v>
      </c>
      <c r="AC226" s="36">
        <v>0</v>
      </c>
      <c r="AD226" s="16">
        <f t="shared" si="90"/>
        <v>2614489.5</v>
      </c>
      <c r="AE226" s="2">
        <v>0</v>
      </c>
      <c r="AF226" s="2">
        <f t="shared" si="111"/>
        <v>2614489.5</v>
      </c>
      <c r="AG226" s="38" t="s">
        <v>857</v>
      </c>
      <c r="AH226" s="35"/>
      <c r="AI226" s="30">
        <f>57017.37+1947946.74+170802.16</f>
        <v>2175766.27</v>
      </c>
      <c r="AJ226" s="30">
        <f>8135.13+297921.27+26707.85</f>
        <v>332764.25</v>
      </c>
    </row>
    <row r="227" spans="1:36" s="179" customFormat="1" ht="259.5" customHeight="1" x14ac:dyDescent="0.25">
      <c r="A227" s="6">
        <v>224</v>
      </c>
      <c r="B227" s="31">
        <v>129281</v>
      </c>
      <c r="C227" s="11">
        <v>658</v>
      </c>
      <c r="D227" s="9" t="s">
        <v>1638</v>
      </c>
      <c r="E227" s="24" t="s">
        <v>1071</v>
      </c>
      <c r="F227" s="11" t="s">
        <v>1253</v>
      </c>
      <c r="G227" s="11" t="s">
        <v>1254</v>
      </c>
      <c r="H227" s="8" t="s">
        <v>151</v>
      </c>
      <c r="I227" s="12" t="s">
        <v>2725</v>
      </c>
      <c r="J227" s="25">
        <v>43710</v>
      </c>
      <c r="K227" s="25">
        <v>44532</v>
      </c>
      <c r="L227" s="26">
        <f t="shared" si="108"/>
        <v>85.000000187352825</v>
      </c>
      <c r="M227" s="11">
        <v>7</v>
      </c>
      <c r="N227" s="15" t="s">
        <v>222</v>
      </c>
      <c r="O227" s="15" t="s">
        <v>217</v>
      </c>
      <c r="P227" s="27" t="s">
        <v>174</v>
      </c>
      <c r="Q227" s="11" t="s">
        <v>34</v>
      </c>
      <c r="R227" s="105">
        <f t="shared" si="109"/>
        <v>2495291.94</v>
      </c>
      <c r="S227" s="30">
        <v>2495291.94</v>
      </c>
      <c r="T227" s="36">
        <v>0</v>
      </c>
      <c r="U227" s="1">
        <f t="shared" si="104"/>
        <v>381632.89</v>
      </c>
      <c r="V227" s="55">
        <v>381632.89</v>
      </c>
      <c r="W227" s="55">
        <v>0</v>
      </c>
      <c r="X227" s="1">
        <f t="shared" si="105"/>
        <v>58712.74</v>
      </c>
      <c r="Y227" s="51">
        <v>58712.74</v>
      </c>
      <c r="Z227" s="51">
        <v>0</v>
      </c>
      <c r="AA227" s="2">
        <f t="shared" si="110"/>
        <v>0</v>
      </c>
      <c r="AB227" s="36">
        <v>0</v>
      </c>
      <c r="AC227" s="36">
        <v>0</v>
      </c>
      <c r="AD227" s="16">
        <f t="shared" si="90"/>
        <v>2935637.5700000003</v>
      </c>
      <c r="AE227" s="2">
        <v>0</v>
      </c>
      <c r="AF227" s="2">
        <f t="shared" si="111"/>
        <v>2935637.5700000003</v>
      </c>
      <c r="AG227" s="38" t="s">
        <v>857</v>
      </c>
      <c r="AH227" s="35"/>
      <c r="AI227" s="30">
        <v>505.75</v>
      </c>
      <c r="AJ227" s="30">
        <v>77.349999999999994</v>
      </c>
    </row>
    <row r="228" spans="1:36" s="179" customFormat="1" ht="187.5" customHeight="1" x14ac:dyDescent="0.25">
      <c r="A228" s="6">
        <v>225</v>
      </c>
      <c r="B228" s="31">
        <v>135297</v>
      </c>
      <c r="C228" s="11">
        <v>797</v>
      </c>
      <c r="D228" s="9" t="s">
        <v>1638</v>
      </c>
      <c r="E228" s="24" t="s">
        <v>1441</v>
      </c>
      <c r="F228" s="11" t="s">
        <v>1519</v>
      </c>
      <c r="G228" s="11" t="s">
        <v>1520</v>
      </c>
      <c r="H228" s="8" t="s">
        <v>151</v>
      </c>
      <c r="I228" s="12" t="s">
        <v>2726</v>
      </c>
      <c r="J228" s="25">
        <v>43987</v>
      </c>
      <c r="K228" s="25">
        <v>45265</v>
      </c>
      <c r="L228" s="26">
        <f t="shared" si="108"/>
        <v>85.000000104918257</v>
      </c>
      <c r="M228" s="11">
        <v>7</v>
      </c>
      <c r="N228" s="15" t="s">
        <v>222</v>
      </c>
      <c r="O228" s="15" t="s">
        <v>1521</v>
      </c>
      <c r="P228" s="27" t="s">
        <v>174</v>
      </c>
      <c r="Q228" s="11" t="s">
        <v>34</v>
      </c>
      <c r="R228" s="105">
        <f t="shared" si="109"/>
        <v>2430463.5</v>
      </c>
      <c r="S228" s="30">
        <v>2430463.5</v>
      </c>
      <c r="T228" s="36">
        <v>0</v>
      </c>
      <c r="U228" s="1">
        <f t="shared" si="104"/>
        <v>371717.94</v>
      </c>
      <c r="V228" s="55">
        <v>371717.94</v>
      </c>
      <c r="W228" s="55">
        <v>0</v>
      </c>
      <c r="X228" s="1">
        <f t="shared" si="105"/>
        <v>57187.38</v>
      </c>
      <c r="Y228" s="51">
        <v>57187.38</v>
      </c>
      <c r="Z228" s="51">
        <v>0</v>
      </c>
      <c r="AA228" s="2">
        <f t="shared" si="110"/>
        <v>0</v>
      </c>
      <c r="AB228" s="55">
        <v>0</v>
      </c>
      <c r="AC228" s="55">
        <v>0</v>
      </c>
      <c r="AD228" s="16">
        <f t="shared" si="90"/>
        <v>2859368.82</v>
      </c>
      <c r="AE228" s="2">
        <v>0</v>
      </c>
      <c r="AF228" s="2">
        <f t="shared" si="111"/>
        <v>2859368.82</v>
      </c>
      <c r="AG228" s="38" t="s">
        <v>486</v>
      </c>
      <c r="AH228" s="38" t="s">
        <v>2544</v>
      </c>
      <c r="AI228" s="30">
        <v>0</v>
      </c>
      <c r="AJ228" s="30">
        <v>0</v>
      </c>
    </row>
    <row r="229" spans="1:36" s="179" customFormat="1" ht="187.5" customHeight="1" x14ac:dyDescent="0.25">
      <c r="A229" s="6">
        <v>226</v>
      </c>
      <c r="B229" s="31">
        <v>151800</v>
      </c>
      <c r="C229" s="11">
        <v>1105</v>
      </c>
      <c r="D229" s="9" t="s">
        <v>1639</v>
      </c>
      <c r="E229" s="24" t="s">
        <v>1801</v>
      </c>
      <c r="F229" s="11" t="s">
        <v>1844</v>
      </c>
      <c r="G229" s="11" t="s">
        <v>1843</v>
      </c>
      <c r="H229" s="8" t="s">
        <v>151</v>
      </c>
      <c r="I229" s="12" t="s">
        <v>2727</v>
      </c>
      <c r="J229" s="25">
        <v>44498</v>
      </c>
      <c r="K229" s="108">
        <v>44985</v>
      </c>
      <c r="L229" s="26">
        <f t="shared" si="108"/>
        <v>85</v>
      </c>
      <c r="M229" s="11">
        <v>7</v>
      </c>
      <c r="N229" s="15" t="s">
        <v>222</v>
      </c>
      <c r="O229" s="15" t="s">
        <v>1845</v>
      </c>
      <c r="P229" s="27" t="s">
        <v>174</v>
      </c>
      <c r="Q229" s="11" t="s">
        <v>34</v>
      </c>
      <c r="R229" s="105">
        <f t="shared" si="109"/>
        <v>290246.09999999998</v>
      </c>
      <c r="S229" s="30">
        <v>290246.09999999998</v>
      </c>
      <c r="T229" s="36">
        <v>0</v>
      </c>
      <c r="U229" s="1">
        <f t="shared" si="104"/>
        <v>44390.58</v>
      </c>
      <c r="V229" s="55">
        <v>44390.58</v>
      </c>
      <c r="W229" s="55">
        <v>0</v>
      </c>
      <c r="X229" s="1">
        <f t="shared" si="105"/>
        <v>6829.32</v>
      </c>
      <c r="Y229" s="51">
        <v>6829.32</v>
      </c>
      <c r="Z229" s="51">
        <v>0</v>
      </c>
      <c r="AA229" s="2">
        <f t="shared" si="110"/>
        <v>0</v>
      </c>
      <c r="AB229" s="55">
        <v>0</v>
      </c>
      <c r="AC229" s="55">
        <v>0</v>
      </c>
      <c r="AD229" s="16">
        <f t="shared" si="90"/>
        <v>341466</v>
      </c>
      <c r="AE229" s="2">
        <v>0</v>
      </c>
      <c r="AF229" s="2">
        <f t="shared" si="111"/>
        <v>341466</v>
      </c>
      <c r="AG229" s="38" t="s">
        <v>486</v>
      </c>
      <c r="AH229" s="35"/>
      <c r="AI229" s="30">
        <v>22289.85</v>
      </c>
      <c r="AJ229" s="30">
        <v>3409.04</v>
      </c>
    </row>
    <row r="230" spans="1:36" s="179" customFormat="1" ht="187.5" customHeight="1" x14ac:dyDescent="0.25">
      <c r="A230" s="6">
        <v>227</v>
      </c>
      <c r="B230" s="31">
        <v>152128</v>
      </c>
      <c r="C230" s="11">
        <v>1134</v>
      </c>
      <c r="D230" s="9" t="s">
        <v>1639</v>
      </c>
      <c r="E230" s="24" t="s">
        <v>1801</v>
      </c>
      <c r="F230" s="11" t="s">
        <v>1875</v>
      </c>
      <c r="G230" s="11" t="s">
        <v>831</v>
      </c>
      <c r="H230" s="8" t="s">
        <v>151</v>
      </c>
      <c r="I230" s="12" t="s">
        <v>1876</v>
      </c>
      <c r="J230" s="25">
        <v>44518</v>
      </c>
      <c r="K230" s="25">
        <v>45003</v>
      </c>
      <c r="L230" s="26">
        <f t="shared" si="108"/>
        <v>85</v>
      </c>
      <c r="M230" s="11">
        <v>7</v>
      </c>
      <c r="N230" s="15" t="s">
        <v>222</v>
      </c>
      <c r="O230" s="15" t="s">
        <v>1137</v>
      </c>
      <c r="P230" s="27" t="s">
        <v>174</v>
      </c>
      <c r="Q230" s="11" t="s">
        <v>34</v>
      </c>
      <c r="R230" s="105">
        <f t="shared" si="109"/>
        <v>352642.05</v>
      </c>
      <c r="S230" s="30">
        <v>352642.05</v>
      </c>
      <c r="T230" s="36">
        <v>0</v>
      </c>
      <c r="U230" s="1">
        <f t="shared" si="104"/>
        <v>53933.49</v>
      </c>
      <c r="V230" s="55">
        <v>53933.49</v>
      </c>
      <c r="W230" s="55">
        <v>0</v>
      </c>
      <c r="X230" s="1">
        <f t="shared" si="105"/>
        <v>8297.4599999999991</v>
      </c>
      <c r="Y230" s="51">
        <v>8297.4599999999991</v>
      </c>
      <c r="Z230" s="51">
        <v>0</v>
      </c>
      <c r="AA230" s="2">
        <f t="shared" si="110"/>
        <v>0</v>
      </c>
      <c r="AB230" s="55">
        <v>0</v>
      </c>
      <c r="AC230" s="55">
        <v>0</v>
      </c>
      <c r="AD230" s="16">
        <f t="shared" si="90"/>
        <v>414873</v>
      </c>
      <c r="AE230" s="2">
        <v>0</v>
      </c>
      <c r="AF230" s="2">
        <f t="shared" si="111"/>
        <v>414873</v>
      </c>
      <c r="AG230" s="38" t="s">
        <v>486</v>
      </c>
      <c r="AH230" s="35"/>
      <c r="AI230" s="30">
        <f>34910.1+95716.4</f>
        <v>130626.5</v>
      </c>
      <c r="AJ230" s="30">
        <f>5339.19+14638.98</f>
        <v>19978.169999999998</v>
      </c>
    </row>
    <row r="231" spans="1:36" s="179" customFormat="1" ht="187.5" customHeight="1" x14ac:dyDescent="0.25">
      <c r="A231" s="6">
        <v>228</v>
      </c>
      <c r="B231" s="31">
        <v>153917</v>
      </c>
      <c r="C231" s="11">
        <v>1197</v>
      </c>
      <c r="D231" s="9" t="s">
        <v>1638</v>
      </c>
      <c r="E231" s="24" t="s">
        <v>2014</v>
      </c>
      <c r="F231" s="11" t="s">
        <v>2080</v>
      </c>
      <c r="G231" s="11" t="s">
        <v>1843</v>
      </c>
      <c r="H231" s="8" t="s">
        <v>151</v>
      </c>
      <c r="I231" s="12" t="s">
        <v>2728</v>
      </c>
      <c r="J231" s="25">
        <v>44655</v>
      </c>
      <c r="K231" s="25">
        <v>45264</v>
      </c>
      <c r="L231" s="26">
        <f t="shared" si="108"/>
        <v>85</v>
      </c>
      <c r="M231" s="11">
        <v>7</v>
      </c>
      <c r="N231" s="15" t="s">
        <v>222</v>
      </c>
      <c r="O231" s="15" t="s">
        <v>1845</v>
      </c>
      <c r="P231" s="27" t="s">
        <v>174</v>
      </c>
      <c r="Q231" s="11" t="s">
        <v>34</v>
      </c>
      <c r="R231" s="105">
        <f t="shared" si="109"/>
        <v>2460451.65</v>
      </c>
      <c r="S231" s="30">
        <v>2460451.65</v>
      </c>
      <c r="T231" s="36">
        <v>0</v>
      </c>
      <c r="U231" s="1">
        <f t="shared" si="104"/>
        <v>376304.37</v>
      </c>
      <c r="V231" s="55">
        <v>376304.37</v>
      </c>
      <c r="W231" s="55">
        <v>0</v>
      </c>
      <c r="X231" s="1">
        <f t="shared" si="105"/>
        <v>57892.98</v>
      </c>
      <c r="Y231" s="51">
        <v>57892.98</v>
      </c>
      <c r="Z231" s="51">
        <v>0</v>
      </c>
      <c r="AA231" s="2">
        <f t="shared" si="110"/>
        <v>0</v>
      </c>
      <c r="AB231" s="55">
        <v>0</v>
      </c>
      <c r="AC231" s="55">
        <v>0</v>
      </c>
      <c r="AD231" s="16">
        <f t="shared" si="90"/>
        <v>2894649</v>
      </c>
      <c r="AE231" s="2">
        <v>0</v>
      </c>
      <c r="AF231" s="2">
        <f t="shared" si="111"/>
        <v>2894649</v>
      </c>
      <c r="AG231" s="38" t="s">
        <v>486</v>
      </c>
      <c r="AH231" s="38" t="s">
        <v>3289</v>
      </c>
      <c r="AI231" s="30">
        <v>289464.90000000002</v>
      </c>
      <c r="AJ231" s="30">
        <v>0</v>
      </c>
    </row>
    <row r="232" spans="1:36" s="179" customFormat="1" ht="187.5" customHeight="1" x14ac:dyDescent="0.25">
      <c r="A232" s="6">
        <v>229</v>
      </c>
      <c r="B232" s="31">
        <v>154959</v>
      </c>
      <c r="C232" s="11">
        <v>1227</v>
      </c>
      <c r="D232" s="9" t="s">
        <v>1638</v>
      </c>
      <c r="E232" s="24" t="s">
        <v>2014</v>
      </c>
      <c r="F232" s="11" t="s">
        <v>2186</v>
      </c>
      <c r="G232" s="11" t="s">
        <v>831</v>
      </c>
      <c r="H232" s="8" t="s">
        <v>151</v>
      </c>
      <c r="I232" s="12" t="s">
        <v>2729</v>
      </c>
      <c r="J232" s="25">
        <v>44656</v>
      </c>
      <c r="K232" s="25">
        <v>45174</v>
      </c>
      <c r="L232" s="26">
        <f t="shared" si="108"/>
        <v>85</v>
      </c>
      <c r="M232" s="11">
        <v>7</v>
      </c>
      <c r="N232" s="15" t="s">
        <v>222</v>
      </c>
      <c r="O232" s="15" t="s">
        <v>1137</v>
      </c>
      <c r="P232" s="27" t="s">
        <v>174</v>
      </c>
      <c r="Q232" s="11" t="s">
        <v>34</v>
      </c>
      <c r="R232" s="105">
        <f t="shared" si="109"/>
        <v>3255721</v>
      </c>
      <c r="S232" s="30">
        <v>3255721</v>
      </c>
      <c r="T232" s="36">
        <v>0</v>
      </c>
      <c r="U232" s="1">
        <f t="shared" si="104"/>
        <v>497933.8</v>
      </c>
      <c r="V232" s="42">
        <v>497933.8</v>
      </c>
      <c r="W232" s="42">
        <v>0</v>
      </c>
      <c r="X232" s="1">
        <f t="shared" si="105"/>
        <v>76605.2</v>
      </c>
      <c r="Y232" s="30">
        <v>76605.2</v>
      </c>
      <c r="Z232" s="30">
        <v>0</v>
      </c>
      <c r="AA232" s="2">
        <f t="shared" si="110"/>
        <v>0</v>
      </c>
      <c r="AB232" s="42">
        <v>0</v>
      </c>
      <c r="AC232" s="42">
        <v>0</v>
      </c>
      <c r="AD232" s="16">
        <f t="shared" si="90"/>
        <v>3830260</v>
      </c>
      <c r="AE232" s="2">
        <v>0</v>
      </c>
      <c r="AF232" s="2">
        <f t="shared" si="111"/>
        <v>3830260</v>
      </c>
      <c r="AG232" s="38" t="s">
        <v>486</v>
      </c>
      <c r="AH232" s="35"/>
      <c r="AI232" s="30">
        <v>279800</v>
      </c>
      <c r="AJ232" s="30">
        <v>0</v>
      </c>
    </row>
    <row r="233" spans="1:36" s="179" customFormat="1" ht="137.25" customHeight="1" x14ac:dyDescent="0.25">
      <c r="A233" s="6">
        <v>230</v>
      </c>
      <c r="B233" s="31">
        <v>155171</v>
      </c>
      <c r="C233" s="11">
        <v>1236</v>
      </c>
      <c r="D233" s="9" t="s">
        <v>1638</v>
      </c>
      <c r="E233" s="24" t="s">
        <v>2014</v>
      </c>
      <c r="F233" s="11" t="s">
        <v>2246</v>
      </c>
      <c r="G233" s="11" t="s">
        <v>1055</v>
      </c>
      <c r="H233" s="8" t="s">
        <v>151</v>
      </c>
      <c r="I233" s="12" t="s">
        <v>2730</v>
      </c>
      <c r="J233" s="25">
        <v>44715</v>
      </c>
      <c r="K233" s="25">
        <v>45202</v>
      </c>
      <c r="L233" s="26">
        <f t="shared" si="108"/>
        <v>85</v>
      </c>
      <c r="M233" s="11">
        <v>7</v>
      </c>
      <c r="N233" s="15" t="s">
        <v>222</v>
      </c>
      <c r="O233" s="15" t="s">
        <v>1845</v>
      </c>
      <c r="P233" s="27" t="s">
        <v>174</v>
      </c>
      <c r="Q233" s="11" t="s">
        <v>34</v>
      </c>
      <c r="R233" s="105">
        <f t="shared" si="109"/>
        <v>2539016.2999999998</v>
      </c>
      <c r="S233" s="30">
        <v>2539016.2999999998</v>
      </c>
      <c r="T233" s="41">
        <v>0</v>
      </c>
      <c r="U233" s="1">
        <f t="shared" si="104"/>
        <v>388320.14</v>
      </c>
      <c r="V233" s="42">
        <v>388320.14</v>
      </c>
      <c r="W233" s="42">
        <v>0</v>
      </c>
      <c r="X233" s="1">
        <f t="shared" si="105"/>
        <v>59741.56</v>
      </c>
      <c r="Y233" s="30">
        <v>59741.56</v>
      </c>
      <c r="Z233" s="30">
        <v>0</v>
      </c>
      <c r="AA233" s="2">
        <f t="shared" si="110"/>
        <v>0</v>
      </c>
      <c r="AB233" s="42">
        <v>0</v>
      </c>
      <c r="AC233" s="42">
        <v>0</v>
      </c>
      <c r="AD233" s="16">
        <f t="shared" si="90"/>
        <v>2987078</v>
      </c>
      <c r="AE233" s="2">
        <v>0</v>
      </c>
      <c r="AF233" s="2">
        <f t="shared" si="111"/>
        <v>2987078</v>
      </c>
      <c r="AG233" s="38" t="s">
        <v>486</v>
      </c>
      <c r="AH233" s="35"/>
      <c r="AI233" s="30">
        <v>0</v>
      </c>
      <c r="AJ233" s="30">
        <v>0</v>
      </c>
    </row>
    <row r="234" spans="1:36" s="179" customFormat="1" ht="173.25" x14ac:dyDescent="0.25">
      <c r="A234" s="6">
        <v>231</v>
      </c>
      <c r="B234" s="31">
        <v>120617</v>
      </c>
      <c r="C234" s="11">
        <v>79</v>
      </c>
      <c r="D234" s="9" t="s">
        <v>1638</v>
      </c>
      <c r="E234" s="24" t="s">
        <v>277</v>
      </c>
      <c r="F234" s="27" t="s">
        <v>210</v>
      </c>
      <c r="G234" s="31" t="s">
        <v>211</v>
      </c>
      <c r="H234" s="8" t="s">
        <v>151</v>
      </c>
      <c r="I234" s="12" t="s">
        <v>214</v>
      </c>
      <c r="J234" s="25">
        <v>43145</v>
      </c>
      <c r="K234" s="25">
        <v>43630</v>
      </c>
      <c r="L234" s="26">
        <f t="shared" ref="L234:L249" si="112">R234/AD234*100</f>
        <v>84.999999644441075</v>
      </c>
      <c r="M234" s="11">
        <v>5</v>
      </c>
      <c r="N234" s="11" t="s">
        <v>220</v>
      </c>
      <c r="O234" s="11" t="s">
        <v>215</v>
      </c>
      <c r="P234" s="27" t="s">
        <v>174</v>
      </c>
      <c r="Q234" s="11" t="s">
        <v>34</v>
      </c>
      <c r="R234" s="2">
        <f>S234+T234</f>
        <v>358590.34</v>
      </c>
      <c r="S234" s="57">
        <v>358590.34</v>
      </c>
      <c r="T234" s="2">
        <v>0</v>
      </c>
      <c r="U234" s="1">
        <f t="shared" ref="U234:U256" si="113">V234+W234</f>
        <v>54843.23</v>
      </c>
      <c r="V234" s="87">
        <v>54843.23</v>
      </c>
      <c r="W234" s="28">
        <v>0</v>
      </c>
      <c r="X234" s="1">
        <f t="shared" ref="X234:X256" si="114">Y234+Z234</f>
        <v>8437.42</v>
      </c>
      <c r="Y234" s="57">
        <v>8437.42</v>
      </c>
      <c r="Z234" s="1">
        <v>0</v>
      </c>
      <c r="AA234" s="2">
        <f t="shared" ref="AA234:AA256" si="115">AB234+AC234</f>
        <v>0</v>
      </c>
      <c r="AB234" s="2">
        <v>0</v>
      </c>
      <c r="AC234" s="2">
        <v>0</v>
      </c>
      <c r="AD234" s="16">
        <f t="shared" si="90"/>
        <v>421870.99</v>
      </c>
      <c r="AE234" s="2">
        <v>0</v>
      </c>
      <c r="AF234" s="2">
        <f t="shared" ref="AF234:AF256" si="116">AD234+AE234</f>
        <v>421870.99</v>
      </c>
      <c r="AG234" s="21" t="s">
        <v>857</v>
      </c>
      <c r="AH234" s="29" t="s">
        <v>151</v>
      </c>
      <c r="AI234" s="30">
        <v>257973.22999999998</v>
      </c>
      <c r="AJ234" s="30">
        <v>39454.700000000004</v>
      </c>
    </row>
    <row r="235" spans="1:36" s="179" customFormat="1" ht="141.75" x14ac:dyDescent="0.25">
      <c r="A235" s="6">
        <v>232</v>
      </c>
      <c r="B235" s="31">
        <v>118193</v>
      </c>
      <c r="C235" s="11">
        <v>424</v>
      </c>
      <c r="D235" s="32" t="s">
        <v>1639</v>
      </c>
      <c r="E235" s="24" t="s">
        <v>507</v>
      </c>
      <c r="F235" s="27" t="s">
        <v>590</v>
      </c>
      <c r="G235" s="31" t="s">
        <v>591</v>
      </c>
      <c r="H235" s="8" t="s">
        <v>151</v>
      </c>
      <c r="I235" s="32" t="s">
        <v>646</v>
      </c>
      <c r="J235" s="25">
        <v>43285</v>
      </c>
      <c r="K235" s="25">
        <v>43773</v>
      </c>
      <c r="L235" s="26">
        <f t="shared" si="112"/>
        <v>85.000000000000014</v>
      </c>
      <c r="M235" s="40">
        <v>5</v>
      </c>
      <c r="N235" s="11" t="s">
        <v>592</v>
      </c>
      <c r="O235" s="11" t="s">
        <v>593</v>
      </c>
      <c r="P235" s="11" t="s">
        <v>174</v>
      </c>
      <c r="Q235" s="11" t="s">
        <v>34</v>
      </c>
      <c r="R235" s="2">
        <v>239111.8</v>
      </c>
      <c r="S235" s="41">
        <v>239111.8</v>
      </c>
      <c r="T235" s="36">
        <v>0</v>
      </c>
      <c r="U235" s="1">
        <f t="shared" si="113"/>
        <v>36570.04</v>
      </c>
      <c r="V235" s="42">
        <v>36570.04</v>
      </c>
      <c r="W235" s="55"/>
      <c r="X235" s="1">
        <f t="shared" si="114"/>
        <v>5626.16</v>
      </c>
      <c r="Y235" s="30">
        <v>5626.16</v>
      </c>
      <c r="Z235" s="51">
        <v>0</v>
      </c>
      <c r="AA235" s="2">
        <f t="shared" si="115"/>
        <v>0</v>
      </c>
      <c r="AB235" s="2">
        <v>0</v>
      </c>
      <c r="AC235" s="2">
        <v>0</v>
      </c>
      <c r="AD235" s="16">
        <f t="shared" si="90"/>
        <v>281307.99999999994</v>
      </c>
      <c r="AE235" s="35"/>
      <c r="AF235" s="2">
        <f t="shared" si="116"/>
        <v>281307.99999999994</v>
      </c>
      <c r="AG235" s="21" t="s">
        <v>857</v>
      </c>
      <c r="AH235" s="35"/>
      <c r="AI235" s="30">
        <f>185666.26</f>
        <v>185666.26</v>
      </c>
      <c r="AJ235" s="30">
        <v>28396.000000000004</v>
      </c>
    </row>
    <row r="236" spans="1:36" s="179" customFormat="1" ht="204.75" x14ac:dyDescent="0.25">
      <c r="A236" s="6">
        <v>233</v>
      </c>
      <c r="B236" s="31">
        <v>117483</v>
      </c>
      <c r="C236" s="31">
        <v>412</v>
      </c>
      <c r="D236" s="32" t="s">
        <v>1639</v>
      </c>
      <c r="E236" s="24" t="s">
        <v>507</v>
      </c>
      <c r="F236" s="27" t="s">
        <v>701</v>
      </c>
      <c r="G236" s="70" t="s">
        <v>211</v>
      </c>
      <c r="H236" s="8" t="s">
        <v>151</v>
      </c>
      <c r="I236" s="32" t="s">
        <v>702</v>
      </c>
      <c r="J236" s="25">
        <v>43314</v>
      </c>
      <c r="K236" s="25">
        <v>43679</v>
      </c>
      <c r="L236" s="26">
        <f t="shared" si="112"/>
        <v>85.000000000000014</v>
      </c>
      <c r="M236" s="40">
        <v>5</v>
      </c>
      <c r="N236" s="11" t="s">
        <v>592</v>
      </c>
      <c r="O236" s="11" t="s">
        <v>215</v>
      </c>
      <c r="P236" s="27" t="s">
        <v>174</v>
      </c>
      <c r="Q236" s="11" t="s">
        <v>34</v>
      </c>
      <c r="R236" s="2">
        <v>242732.46</v>
      </c>
      <c r="S236" s="39">
        <f>R236</f>
        <v>242732.46</v>
      </c>
      <c r="T236" s="2">
        <v>0</v>
      </c>
      <c r="U236" s="1">
        <f t="shared" si="113"/>
        <v>37123.78</v>
      </c>
      <c r="V236" s="52">
        <v>37123.78</v>
      </c>
      <c r="W236" s="28">
        <v>0</v>
      </c>
      <c r="X236" s="1">
        <f t="shared" si="114"/>
        <v>5711.36</v>
      </c>
      <c r="Y236" s="39">
        <v>5711.36</v>
      </c>
      <c r="Z236" s="1">
        <v>0</v>
      </c>
      <c r="AA236" s="2">
        <f t="shared" si="115"/>
        <v>0</v>
      </c>
      <c r="AB236" s="2">
        <v>0</v>
      </c>
      <c r="AC236" s="2">
        <v>0</v>
      </c>
      <c r="AD236" s="16">
        <f t="shared" si="90"/>
        <v>285567.59999999998</v>
      </c>
      <c r="AE236" s="2">
        <v>0</v>
      </c>
      <c r="AF236" s="2">
        <f t="shared" si="116"/>
        <v>285567.59999999998</v>
      </c>
      <c r="AG236" s="21" t="s">
        <v>857</v>
      </c>
      <c r="AH236" s="29" t="s">
        <v>151</v>
      </c>
      <c r="AI236" s="30">
        <v>231572.1</v>
      </c>
      <c r="AJ236" s="30">
        <v>35416.890000000014</v>
      </c>
    </row>
    <row r="237" spans="1:36" s="179" customFormat="1" ht="141.75" x14ac:dyDescent="0.25">
      <c r="A237" s="6">
        <v>234</v>
      </c>
      <c r="B237" s="31">
        <v>126237</v>
      </c>
      <c r="C237" s="11">
        <v>529</v>
      </c>
      <c r="D237" s="9" t="s">
        <v>1638</v>
      </c>
      <c r="E237" s="11" t="s">
        <v>899</v>
      </c>
      <c r="F237" s="11" t="s">
        <v>942</v>
      </c>
      <c r="G237" s="11" t="s">
        <v>930</v>
      </c>
      <c r="H237" s="8" t="s">
        <v>151</v>
      </c>
      <c r="I237" s="46" t="s">
        <v>2731</v>
      </c>
      <c r="J237" s="25">
        <v>43446</v>
      </c>
      <c r="K237" s="25">
        <v>44177</v>
      </c>
      <c r="L237" s="26">
        <f t="shared" si="112"/>
        <v>85.000000000000014</v>
      </c>
      <c r="M237" s="11">
        <v>5</v>
      </c>
      <c r="N237" s="11" t="s">
        <v>592</v>
      </c>
      <c r="O237" s="11" t="s">
        <v>592</v>
      </c>
      <c r="P237" s="27" t="s">
        <v>174</v>
      </c>
      <c r="Q237" s="11" t="s">
        <v>34</v>
      </c>
      <c r="R237" s="2">
        <f t="shared" ref="R237:R249" si="117">S237+T237</f>
        <v>2072800.65</v>
      </c>
      <c r="S237" s="57">
        <v>2072800.65</v>
      </c>
      <c r="T237" s="2">
        <v>0</v>
      </c>
      <c r="U237" s="1">
        <f t="shared" si="113"/>
        <v>317016.56999999995</v>
      </c>
      <c r="V237" s="28">
        <v>317016.56999999995</v>
      </c>
      <c r="W237" s="28">
        <v>0</v>
      </c>
      <c r="X237" s="1">
        <f t="shared" si="114"/>
        <v>48771.78</v>
      </c>
      <c r="Y237" s="2">
        <v>48771.78</v>
      </c>
      <c r="Z237" s="2">
        <v>0</v>
      </c>
      <c r="AA237" s="2">
        <f t="shared" si="115"/>
        <v>0</v>
      </c>
      <c r="AB237" s="2">
        <v>0</v>
      </c>
      <c r="AC237" s="2">
        <v>0</v>
      </c>
      <c r="AD237" s="16">
        <f t="shared" si="90"/>
        <v>2438588.9999999995</v>
      </c>
      <c r="AE237" s="2">
        <v>0</v>
      </c>
      <c r="AF237" s="2">
        <f t="shared" si="116"/>
        <v>2438588.9999999995</v>
      </c>
      <c r="AG237" s="38" t="s">
        <v>857</v>
      </c>
      <c r="AH237" s="29" t="s">
        <v>151</v>
      </c>
      <c r="AI237" s="30">
        <f>1135968.56+22786.8+371374.35+170009.35</f>
        <v>1700139.06</v>
      </c>
      <c r="AJ237" s="30">
        <f>173736.37+3485.04+56798.43+26001.43</f>
        <v>260021.27</v>
      </c>
    </row>
    <row r="238" spans="1:36" s="179" customFormat="1" ht="156" customHeight="1" x14ac:dyDescent="0.25">
      <c r="A238" s="6">
        <v>235</v>
      </c>
      <c r="B238" s="31">
        <v>126422</v>
      </c>
      <c r="C238" s="11">
        <v>536</v>
      </c>
      <c r="D238" s="9" t="s">
        <v>1638</v>
      </c>
      <c r="E238" s="11" t="s">
        <v>899</v>
      </c>
      <c r="F238" s="11" t="s">
        <v>1034</v>
      </c>
      <c r="G238" s="15" t="s">
        <v>591</v>
      </c>
      <c r="H238" s="27" t="s">
        <v>1035</v>
      </c>
      <c r="I238" s="46" t="s">
        <v>2732</v>
      </c>
      <c r="J238" s="25">
        <v>43556</v>
      </c>
      <c r="K238" s="25">
        <v>44652</v>
      </c>
      <c r="L238" s="26">
        <f t="shared" si="112"/>
        <v>84.449828692364051</v>
      </c>
      <c r="M238" s="11">
        <v>5</v>
      </c>
      <c r="N238" s="11" t="s">
        <v>592</v>
      </c>
      <c r="O238" s="40" t="s">
        <v>593</v>
      </c>
      <c r="P238" s="27" t="s">
        <v>174</v>
      </c>
      <c r="Q238" s="11" t="s">
        <v>34</v>
      </c>
      <c r="R238" s="2">
        <f t="shared" si="117"/>
        <v>3195443.02</v>
      </c>
      <c r="S238" s="30">
        <v>3195443.02</v>
      </c>
      <c r="T238" s="30">
        <v>0</v>
      </c>
      <c r="U238" s="1">
        <f t="shared" si="113"/>
        <v>512716.26</v>
      </c>
      <c r="V238" s="42">
        <v>512716.26</v>
      </c>
      <c r="W238" s="28">
        <v>0</v>
      </c>
      <c r="X238" s="1">
        <f t="shared" si="114"/>
        <v>51185.440000000002</v>
      </c>
      <c r="Y238" s="30">
        <v>51185.440000000002</v>
      </c>
      <c r="Z238" s="30">
        <v>0</v>
      </c>
      <c r="AA238" s="2">
        <f t="shared" si="115"/>
        <v>24491.279999999999</v>
      </c>
      <c r="AB238" s="30">
        <v>24491.279999999999</v>
      </c>
      <c r="AC238" s="36">
        <v>0</v>
      </c>
      <c r="AD238" s="16">
        <f t="shared" si="90"/>
        <v>3783836</v>
      </c>
      <c r="AE238" s="2">
        <v>0</v>
      </c>
      <c r="AF238" s="2">
        <f t="shared" si="116"/>
        <v>3783836</v>
      </c>
      <c r="AG238" s="38" t="s">
        <v>857</v>
      </c>
      <c r="AH238" s="29" t="s">
        <v>1766</v>
      </c>
      <c r="AI238" s="30">
        <f>297354.9+119241.06-4498.53+225425.62+116929.56+16351.81+266529.22+121365.47+256475.95+940144.86+779489.1-779489.1+779489.1</f>
        <v>3134809.02</v>
      </c>
      <c r="AJ238" s="30">
        <f>48764.85+1616.42+20029.95+39781+22699.08+26424.14+21924.92+14831.37+187773.23+119215.98</f>
        <v>503060.93999999994</v>
      </c>
    </row>
    <row r="239" spans="1:36" s="179" customFormat="1" ht="379.5" customHeight="1" x14ac:dyDescent="0.25">
      <c r="A239" s="6">
        <v>236</v>
      </c>
      <c r="B239" s="31">
        <v>127741</v>
      </c>
      <c r="C239" s="11">
        <v>642</v>
      </c>
      <c r="D239" s="9" t="s">
        <v>1638</v>
      </c>
      <c r="E239" s="11" t="s">
        <v>1071</v>
      </c>
      <c r="F239" s="11" t="s">
        <v>1098</v>
      </c>
      <c r="G239" s="15" t="s">
        <v>1099</v>
      </c>
      <c r="H239" s="8" t="s">
        <v>151</v>
      </c>
      <c r="I239" s="46" t="s">
        <v>2733</v>
      </c>
      <c r="J239" s="25">
        <v>43622</v>
      </c>
      <c r="K239" s="25">
        <v>44445</v>
      </c>
      <c r="L239" s="26">
        <f t="shared" si="112"/>
        <v>85.000000180308987</v>
      </c>
      <c r="M239" s="11">
        <v>5</v>
      </c>
      <c r="N239" s="11" t="s">
        <v>592</v>
      </c>
      <c r="O239" s="40" t="s">
        <v>1100</v>
      </c>
      <c r="P239" s="27" t="s">
        <v>174</v>
      </c>
      <c r="Q239" s="11" t="s">
        <v>34</v>
      </c>
      <c r="R239" s="2">
        <f t="shared" si="117"/>
        <v>2357064.88</v>
      </c>
      <c r="S239" s="30">
        <v>2357064.88</v>
      </c>
      <c r="T239" s="30">
        <v>0</v>
      </c>
      <c r="U239" s="1">
        <f t="shared" si="113"/>
        <v>360492.27</v>
      </c>
      <c r="V239" s="42">
        <v>360492.27</v>
      </c>
      <c r="W239" s="55">
        <v>0</v>
      </c>
      <c r="X239" s="1">
        <f t="shared" si="114"/>
        <v>55460.35</v>
      </c>
      <c r="Y239" s="30">
        <v>55460.35</v>
      </c>
      <c r="Z239" s="30">
        <v>0</v>
      </c>
      <c r="AA239" s="2">
        <f t="shared" si="115"/>
        <v>0</v>
      </c>
      <c r="AB239" s="51"/>
      <c r="AC239" s="36">
        <v>0</v>
      </c>
      <c r="AD239" s="16">
        <f t="shared" si="90"/>
        <v>2773017.5</v>
      </c>
      <c r="AE239" s="2">
        <v>1</v>
      </c>
      <c r="AF239" s="2">
        <f t="shared" si="116"/>
        <v>2773018.5</v>
      </c>
      <c r="AG239" s="38" t="s">
        <v>857</v>
      </c>
      <c r="AH239" s="29" t="s">
        <v>1631</v>
      </c>
      <c r="AI239" s="30">
        <f>1332746.83+742290.58+20759.02</f>
        <v>2095796.4300000002</v>
      </c>
      <c r="AJ239" s="30">
        <f>203831.86+113526.79+3174.9</f>
        <v>320533.55</v>
      </c>
    </row>
    <row r="240" spans="1:36" s="179" customFormat="1" ht="379.5" customHeight="1" x14ac:dyDescent="0.25">
      <c r="A240" s="6">
        <v>237</v>
      </c>
      <c r="B240" s="31">
        <v>128531</v>
      </c>
      <c r="C240" s="11">
        <v>643</v>
      </c>
      <c r="D240" s="9" t="s">
        <v>1638</v>
      </c>
      <c r="E240" s="11" t="s">
        <v>1071</v>
      </c>
      <c r="F240" s="11" t="s">
        <v>1112</v>
      </c>
      <c r="G240" s="15" t="s">
        <v>1111</v>
      </c>
      <c r="H240" s="8" t="s">
        <v>151</v>
      </c>
      <c r="I240" s="46" t="s">
        <v>2734</v>
      </c>
      <c r="J240" s="25">
        <v>43634</v>
      </c>
      <c r="K240" s="25">
        <v>44548</v>
      </c>
      <c r="L240" s="26">
        <f t="shared" si="112"/>
        <v>85</v>
      </c>
      <c r="M240" s="11">
        <v>5</v>
      </c>
      <c r="N240" s="11" t="s">
        <v>592</v>
      </c>
      <c r="O240" s="40" t="s">
        <v>1113</v>
      </c>
      <c r="P240" s="27" t="s">
        <v>174</v>
      </c>
      <c r="Q240" s="11" t="s">
        <v>34</v>
      </c>
      <c r="R240" s="2">
        <f t="shared" si="117"/>
        <v>2728625.8</v>
      </c>
      <c r="S240" s="51">
        <v>2728625.8</v>
      </c>
      <c r="T240" s="51">
        <v>0</v>
      </c>
      <c r="U240" s="1">
        <f t="shared" si="113"/>
        <v>417319.24</v>
      </c>
      <c r="V240" s="55">
        <v>417319.24</v>
      </c>
      <c r="W240" s="55">
        <v>0</v>
      </c>
      <c r="X240" s="1">
        <f t="shared" si="114"/>
        <v>64202.96</v>
      </c>
      <c r="Y240" s="51">
        <v>64202.96</v>
      </c>
      <c r="Z240" s="51">
        <v>0</v>
      </c>
      <c r="AA240" s="2">
        <f t="shared" si="115"/>
        <v>0</v>
      </c>
      <c r="AB240" s="2">
        <v>0</v>
      </c>
      <c r="AC240" s="2">
        <v>0</v>
      </c>
      <c r="AD240" s="16">
        <f t="shared" si="90"/>
        <v>3210148</v>
      </c>
      <c r="AE240" s="2"/>
      <c r="AF240" s="2">
        <f t="shared" si="116"/>
        <v>3210148</v>
      </c>
      <c r="AG240" s="38" t="s">
        <v>857</v>
      </c>
      <c r="AH240" s="29" t="s">
        <v>1750</v>
      </c>
      <c r="AI240" s="30">
        <f>217687.62+240049.18+215955.25+105468.61+857119.81+199574.05+108838.08+79362.29+70652.85+401868.8+0.15+64141.61</f>
        <v>2560718.3000000003</v>
      </c>
      <c r="AJ240" s="30">
        <f>32312.38+36713.4+33028.45+17111.51+131088.92+30523.09+16645.82+12137.76+10805.73+61462.44-0.13+9809.9</f>
        <v>391639.27</v>
      </c>
    </row>
    <row r="241" spans="1:36" s="179" customFormat="1" ht="379.5" customHeight="1" x14ac:dyDescent="0.25">
      <c r="A241" s="6">
        <v>238</v>
      </c>
      <c r="B241" s="31">
        <v>129575</v>
      </c>
      <c r="C241" s="11">
        <v>659</v>
      </c>
      <c r="D241" s="9" t="s">
        <v>1638</v>
      </c>
      <c r="E241" s="11" t="s">
        <v>1071</v>
      </c>
      <c r="F241" s="11" t="s">
        <v>1129</v>
      </c>
      <c r="G241" s="15" t="s">
        <v>1127</v>
      </c>
      <c r="H241" s="8" t="s">
        <v>151</v>
      </c>
      <c r="I241" s="46" t="s">
        <v>1130</v>
      </c>
      <c r="J241" s="25">
        <v>43640</v>
      </c>
      <c r="K241" s="25">
        <v>44432</v>
      </c>
      <c r="L241" s="26">
        <f t="shared" si="112"/>
        <v>84.999999883898255</v>
      </c>
      <c r="M241" s="11">
        <v>5</v>
      </c>
      <c r="N241" s="11" t="s">
        <v>592</v>
      </c>
      <c r="O241" s="40" t="s">
        <v>1128</v>
      </c>
      <c r="P241" s="27" t="s">
        <v>174</v>
      </c>
      <c r="Q241" s="11" t="s">
        <v>34</v>
      </c>
      <c r="R241" s="2">
        <f t="shared" si="117"/>
        <v>2562407.54</v>
      </c>
      <c r="S241" s="51">
        <v>2562407.54</v>
      </c>
      <c r="T241" s="51">
        <v>0</v>
      </c>
      <c r="U241" s="1">
        <f t="shared" si="113"/>
        <v>391897.63</v>
      </c>
      <c r="V241" s="55">
        <v>391897.63</v>
      </c>
      <c r="W241" s="55">
        <v>0</v>
      </c>
      <c r="X241" s="1">
        <f t="shared" si="114"/>
        <v>60291.939999999981</v>
      </c>
      <c r="Y241" s="51">
        <v>60291.939999999981</v>
      </c>
      <c r="Z241" s="51">
        <v>0</v>
      </c>
      <c r="AA241" s="2">
        <f t="shared" si="115"/>
        <v>0</v>
      </c>
      <c r="AB241" s="51">
        <v>0</v>
      </c>
      <c r="AC241" s="51">
        <v>0</v>
      </c>
      <c r="AD241" s="16">
        <f t="shared" si="90"/>
        <v>3014597.11</v>
      </c>
      <c r="AE241" s="2">
        <v>0</v>
      </c>
      <c r="AF241" s="2">
        <f t="shared" si="116"/>
        <v>3014597.11</v>
      </c>
      <c r="AG241" s="38" t="s">
        <v>857</v>
      </c>
      <c r="AH241" s="29" t="s">
        <v>1760</v>
      </c>
      <c r="AI241" s="30">
        <f>649821.42+332457.04-19866.57+315838.48+399197.23+240858.26-28723.66+383933.53+62633.95</f>
        <v>2336149.6800000006</v>
      </c>
      <c r="AJ241" s="30">
        <f>50197.04+50846.37+19866.57+25399.72+61053.69+36837.15+28723.66+74789.95+9579.31</f>
        <v>357293.46</v>
      </c>
    </row>
    <row r="242" spans="1:36" s="179" customFormat="1" ht="379.5" customHeight="1" x14ac:dyDescent="0.25">
      <c r="A242" s="6">
        <v>239</v>
      </c>
      <c r="B242" s="11">
        <v>128870</v>
      </c>
      <c r="C242" s="11">
        <v>668</v>
      </c>
      <c r="D242" s="9" t="s">
        <v>1638</v>
      </c>
      <c r="E242" s="24" t="s">
        <v>1071</v>
      </c>
      <c r="F242" s="11" t="s">
        <v>1235</v>
      </c>
      <c r="G242" s="11" t="s">
        <v>211</v>
      </c>
      <c r="H242" s="8" t="s">
        <v>151</v>
      </c>
      <c r="I242" s="12" t="s">
        <v>1236</v>
      </c>
      <c r="J242" s="25">
        <v>43697</v>
      </c>
      <c r="K242" s="25">
        <v>44428</v>
      </c>
      <c r="L242" s="26">
        <f t="shared" si="112"/>
        <v>85.000000000000014</v>
      </c>
      <c r="M242" s="11">
        <v>5</v>
      </c>
      <c r="N242" s="11" t="s">
        <v>592</v>
      </c>
      <c r="O242" s="11" t="s">
        <v>215</v>
      </c>
      <c r="P242" s="27" t="s">
        <v>174</v>
      </c>
      <c r="Q242" s="11" t="s">
        <v>34</v>
      </c>
      <c r="R242" s="1">
        <v>2288366.6000000006</v>
      </c>
      <c r="S242" s="2">
        <v>2288366.6000000006</v>
      </c>
      <c r="T242" s="2">
        <v>0</v>
      </c>
      <c r="U242" s="1">
        <v>349985.48</v>
      </c>
      <c r="V242" s="28">
        <v>349985.48</v>
      </c>
      <c r="W242" s="28">
        <v>0</v>
      </c>
      <c r="X242" s="1">
        <v>53843.92</v>
      </c>
      <c r="Y242" s="2">
        <v>53843.92</v>
      </c>
      <c r="Z242" s="2">
        <v>0</v>
      </c>
      <c r="AA242" s="2">
        <v>0</v>
      </c>
      <c r="AB242" s="2">
        <v>0</v>
      </c>
      <c r="AC242" s="2">
        <v>0</v>
      </c>
      <c r="AD242" s="16">
        <f t="shared" si="90"/>
        <v>2692196.0000000005</v>
      </c>
      <c r="AE242" s="2">
        <v>0</v>
      </c>
      <c r="AF242" s="2">
        <v>2692196.0000000005</v>
      </c>
      <c r="AG242" s="38" t="s">
        <v>857</v>
      </c>
      <c r="AH242" s="29" t="s">
        <v>151</v>
      </c>
      <c r="AI242" s="30">
        <f>246216.09+160994.99-19780.05+275583.18+223439.59+743140.22-32529.53+227704.03-3644.8-38772.6+169426.25</f>
        <v>1951777.3699999999</v>
      </c>
      <c r="AJ242" s="30">
        <f>23002.91+12411.49+19780.05+42148.01+37418.04+73296.86+32529.53+17518.55+3644.8+10844.64+25912.25</f>
        <v>298507.12999999995</v>
      </c>
    </row>
    <row r="243" spans="1:36" s="179" customFormat="1" ht="301.5" customHeight="1" x14ac:dyDescent="0.25">
      <c r="A243" s="6">
        <v>240</v>
      </c>
      <c r="B243" s="11">
        <v>128738</v>
      </c>
      <c r="C243" s="11">
        <v>627</v>
      </c>
      <c r="D243" s="9" t="s">
        <v>1638</v>
      </c>
      <c r="E243" s="24" t="s">
        <v>1071</v>
      </c>
      <c r="F243" s="11" t="s">
        <v>1417</v>
      </c>
      <c r="G243" s="11" t="s">
        <v>1497</v>
      </c>
      <c r="H243" s="8" t="s">
        <v>151</v>
      </c>
      <c r="I243" s="12" t="s">
        <v>1419</v>
      </c>
      <c r="J243" s="25">
        <v>43838</v>
      </c>
      <c r="K243" s="25">
        <v>44569</v>
      </c>
      <c r="L243" s="26">
        <f t="shared" si="112"/>
        <v>84.999999882123163</v>
      </c>
      <c r="M243" s="11">
        <v>5</v>
      </c>
      <c r="N243" s="11" t="s">
        <v>592</v>
      </c>
      <c r="O243" s="11" t="s">
        <v>1418</v>
      </c>
      <c r="P243" s="27" t="s">
        <v>174</v>
      </c>
      <c r="Q243" s="11" t="s">
        <v>34</v>
      </c>
      <c r="R243" s="1">
        <f t="shared" si="117"/>
        <v>1802729.17</v>
      </c>
      <c r="S243" s="2">
        <v>1802729.17</v>
      </c>
      <c r="T243" s="2">
        <v>0</v>
      </c>
      <c r="U243" s="1">
        <f t="shared" si="113"/>
        <v>275711.53999999998</v>
      </c>
      <c r="V243" s="28">
        <v>275711.53999999998</v>
      </c>
      <c r="W243" s="28">
        <v>0</v>
      </c>
      <c r="X243" s="1">
        <f t="shared" si="114"/>
        <v>42417.14</v>
      </c>
      <c r="Y243" s="2">
        <v>42417.14</v>
      </c>
      <c r="Z243" s="2">
        <v>0</v>
      </c>
      <c r="AA243" s="2">
        <f t="shared" si="115"/>
        <v>0</v>
      </c>
      <c r="AB243" s="2">
        <v>0</v>
      </c>
      <c r="AC243" s="2">
        <v>0</v>
      </c>
      <c r="AD243" s="16">
        <f t="shared" si="90"/>
        <v>2120857.85</v>
      </c>
      <c r="AE243" s="2">
        <v>0</v>
      </c>
      <c r="AF243" s="2">
        <f t="shared" si="116"/>
        <v>2120857.85</v>
      </c>
      <c r="AG243" s="38" t="s">
        <v>857</v>
      </c>
      <c r="AH243" s="29" t="s">
        <v>151</v>
      </c>
      <c r="AI243" s="30">
        <f>112000-9678.11+77447.46+267216.34+620115.86+71682.9+448633.63+54519.85-6910.54+31720.64-3942.25+81813.34+2703.38-54209.75</f>
        <v>1693112.75</v>
      </c>
      <c r="AJ243" s="30">
        <f>9678.11+4051.32+40868.39+94841.24+10045.62+68614.55+8338.33+6910.54+4851.39+3942.25+413.46+6391.45</f>
        <v>258946.65</v>
      </c>
    </row>
    <row r="244" spans="1:36" s="179" customFormat="1" ht="212.25" customHeight="1" x14ac:dyDescent="0.25">
      <c r="A244" s="6">
        <v>241</v>
      </c>
      <c r="B244" s="11">
        <v>135237</v>
      </c>
      <c r="C244" s="11">
        <v>793</v>
      </c>
      <c r="D244" s="9" t="s">
        <v>1638</v>
      </c>
      <c r="E244" s="24" t="s">
        <v>1441</v>
      </c>
      <c r="F244" s="11" t="s">
        <v>1447</v>
      </c>
      <c r="G244" s="11" t="s">
        <v>591</v>
      </c>
      <c r="H244" s="8" t="s">
        <v>151</v>
      </c>
      <c r="I244" s="12" t="s">
        <v>1448</v>
      </c>
      <c r="J244" s="25">
        <v>43949</v>
      </c>
      <c r="K244" s="25">
        <v>45135</v>
      </c>
      <c r="L244" s="26">
        <f t="shared" si="112"/>
        <v>84.999999628092681</v>
      </c>
      <c r="M244" s="11">
        <v>5</v>
      </c>
      <c r="N244" s="11" t="s">
        <v>592</v>
      </c>
      <c r="O244" s="11" t="s">
        <v>593</v>
      </c>
      <c r="P244" s="27" t="s">
        <v>174</v>
      </c>
      <c r="Q244" s="11" t="s">
        <v>34</v>
      </c>
      <c r="R244" s="1">
        <f t="shared" si="117"/>
        <v>2399791.5</v>
      </c>
      <c r="S244" s="2">
        <v>2399791.5</v>
      </c>
      <c r="T244" s="2">
        <v>0</v>
      </c>
      <c r="U244" s="1">
        <f t="shared" si="113"/>
        <v>367026.95</v>
      </c>
      <c r="V244" s="28">
        <v>367026.95</v>
      </c>
      <c r="W244" s="28">
        <v>0</v>
      </c>
      <c r="X244" s="1">
        <f t="shared" si="114"/>
        <v>56465.68</v>
      </c>
      <c r="Y244" s="2">
        <v>56465.68</v>
      </c>
      <c r="Z244" s="2">
        <v>0</v>
      </c>
      <c r="AA244" s="2">
        <f t="shared" si="115"/>
        <v>0</v>
      </c>
      <c r="AB244" s="2">
        <v>0</v>
      </c>
      <c r="AC244" s="2">
        <v>0</v>
      </c>
      <c r="AD244" s="16">
        <f t="shared" si="90"/>
        <v>2823284.1300000004</v>
      </c>
      <c r="AE244" s="2">
        <v>0</v>
      </c>
      <c r="AF244" s="2">
        <f t="shared" si="116"/>
        <v>2823284.1300000004</v>
      </c>
      <c r="AG244" s="38" t="s">
        <v>486</v>
      </c>
      <c r="AH244" s="29" t="s">
        <v>3299</v>
      </c>
      <c r="AI244" s="30">
        <f>282328.41-3301.74-10148.36</f>
        <v>268878.31</v>
      </c>
      <c r="AJ244" s="30">
        <f>3301.74+10148.36</f>
        <v>13450.1</v>
      </c>
    </row>
    <row r="245" spans="1:36" s="179" customFormat="1" ht="204.75" x14ac:dyDescent="0.25">
      <c r="A245" s="6">
        <v>242</v>
      </c>
      <c r="B245" s="11">
        <v>136172</v>
      </c>
      <c r="C245" s="11">
        <v>798</v>
      </c>
      <c r="D245" s="9" t="s">
        <v>1638</v>
      </c>
      <c r="E245" s="24" t="s">
        <v>1441</v>
      </c>
      <c r="F245" s="11" t="s">
        <v>1496</v>
      </c>
      <c r="G245" s="11" t="s">
        <v>1497</v>
      </c>
      <c r="H245" s="8" t="s">
        <v>151</v>
      </c>
      <c r="I245" s="12" t="s">
        <v>2735</v>
      </c>
      <c r="J245" s="25">
        <v>43969</v>
      </c>
      <c r="K245" s="25">
        <v>44883</v>
      </c>
      <c r="L245" s="26">
        <f t="shared" si="112"/>
        <v>85.000000403987528</v>
      </c>
      <c r="M245" s="11">
        <v>5</v>
      </c>
      <c r="N245" s="11" t="s">
        <v>592</v>
      </c>
      <c r="O245" s="11" t="s">
        <v>1418</v>
      </c>
      <c r="P245" s="27" t="s">
        <v>174</v>
      </c>
      <c r="Q245" s="11" t="s">
        <v>34</v>
      </c>
      <c r="R245" s="1">
        <f t="shared" si="117"/>
        <v>3156038.03</v>
      </c>
      <c r="S245" s="2">
        <v>3156038.03</v>
      </c>
      <c r="T245" s="2">
        <v>0</v>
      </c>
      <c r="U245" s="1">
        <f t="shared" si="113"/>
        <v>482688.15</v>
      </c>
      <c r="V245" s="28">
        <v>482688.15</v>
      </c>
      <c r="W245" s="28">
        <v>0</v>
      </c>
      <c r="X245" s="1">
        <f t="shared" si="114"/>
        <v>74259.72</v>
      </c>
      <c r="Y245" s="2">
        <v>74259.72</v>
      </c>
      <c r="Z245" s="2">
        <v>0</v>
      </c>
      <c r="AA245" s="2">
        <f t="shared" si="115"/>
        <v>0</v>
      </c>
      <c r="AB245" s="2">
        <v>0</v>
      </c>
      <c r="AC245" s="2">
        <v>0</v>
      </c>
      <c r="AD245" s="16">
        <f t="shared" si="90"/>
        <v>3712985.9</v>
      </c>
      <c r="AE245" s="2">
        <v>0</v>
      </c>
      <c r="AF245" s="2">
        <f t="shared" si="116"/>
        <v>3712985.9</v>
      </c>
      <c r="AG245" s="38" t="s">
        <v>486</v>
      </c>
      <c r="AH245" s="29" t="s">
        <v>2203</v>
      </c>
      <c r="AI245" s="30">
        <f>80000-10419.72+98548.63-3498.98+284928.39+331545.9-11548.44-17982.25+113288-8152.82+937791.7+1100501.89-35677.33-6980.48+27264.26</f>
        <v>2879608.7499999995</v>
      </c>
      <c r="AJ245" s="30">
        <f>10419.72+3498.98+8954.92+50707.02+11548.44+17982.25+17326.4+8152.82+90344.8+168312.05+35677.33+6980.48</f>
        <v>429905.21</v>
      </c>
    </row>
    <row r="246" spans="1:36" s="179" customFormat="1" ht="315" x14ac:dyDescent="0.25">
      <c r="A246" s="6">
        <v>243</v>
      </c>
      <c r="B246" s="11">
        <v>136022</v>
      </c>
      <c r="C246" s="11">
        <v>809</v>
      </c>
      <c r="D246" s="9" t="s">
        <v>1638</v>
      </c>
      <c r="E246" s="24" t="s">
        <v>1441</v>
      </c>
      <c r="F246" s="11" t="s">
        <v>1562</v>
      </c>
      <c r="G246" s="11" t="s">
        <v>1127</v>
      </c>
      <c r="H246" s="8" t="s">
        <v>151</v>
      </c>
      <c r="I246" s="12" t="s">
        <v>2736</v>
      </c>
      <c r="J246" s="25">
        <v>44014</v>
      </c>
      <c r="K246" s="25">
        <v>44744</v>
      </c>
      <c r="L246" s="26">
        <f t="shared" si="112"/>
        <v>85.000000140255977</v>
      </c>
      <c r="M246" s="11">
        <v>5</v>
      </c>
      <c r="N246" s="11" t="s">
        <v>592</v>
      </c>
      <c r="O246" s="11" t="s">
        <v>1128</v>
      </c>
      <c r="P246" s="27" t="s">
        <v>174</v>
      </c>
      <c r="Q246" s="11" t="s">
        <v>34</v>
      </c>
      <c r="R246" s="1">
        <f t="shared" si="117"/>
        <v>3030173.76</v>
      </c>
      <c r="S246" s="2">
        <v>3030173.76</v>
      </c>
      <c r="T246" s="2">
        <v>0</v>
      </c>
      <c r="U246" s="1">
        <f t="shared" si="113"/>
        <v>463438.33</v>
      </c>
      <c r="V246" s="28">
        <v>463438.33</v>
      </c>
      <c r="W246" s="28">
        <v>0</v>
      </c>
      <c r="X246" s="1">
        <f t="shared" si="114"/>
        <v>71298.210000000006</v>
      </c>
      <c r="Y246" s="2">
        <v>71298.210000000006</v>
      </c>
      <c r="Z246" s="2">
        <v>0</v>
      </c>
      <c r="AA246" s="2">
        <f t="shared" si="115"/>
        <v>0</v>
      </c>
      <c r="AB246" s="2">
        <v>0</v>
      </c>
      <c r="AC246" s="2">
        <v>0</v>
      </c>
      <c r="AD246" s="16">
        <f t="shared" si="90"/>
        <v>3564910.3</v>
      </c>
      <c r="AE246" s="2">
        <v>0</v>
      </c>
      <c r="AF246" s="2">
        <f t="shared" si="116"/>
        <v>3564910.3</v>
      </c>
      <c r="AG246" s="38" t="s">
        <v>857</v>
      </c>
      <c r="AH246" s="29" t="s">
        <v>151</v>
      </c>
      <c r="AI246" s="30">
        <f>356491+211105-27180.46+204898.83+345233.51+301682.34+218575.04+595758.51+365697.42</f>
        <v>2572261.19</v>
      </c>
      <c r="AJ246" s="30">
        <f>32286.64+27180.46+52800.42+46139.65+33429.12+91116.01+110452.34</f>
        <v>393404.64</v>
      </c>
    </row>
    <row r="247" spans="1:36" s="179" customFormat="1" ht="141.75" x14ac:dyDescent="0.25">
      <c r="A247" s="6">
        <v>244</v>
      </c>
      <c r="B247" s="11">
        <v>152075</v>
      </c>
      <c r="C247" s="11">
        <v>1103</v>
      </c>
      <c r="D247" s="9" t="s">
        <v>1639</v>
      </c>
      <c r="E247" s="24" t="s">
        <v>1801</v>
      </c>
      <c r="F247" s="11" t="s">
        <v>1812</v>
      </c>
      <c r="G247" s="11" t="s">
        <v>1111</v>
      </c>
      <c r="H247" s="8" t="s">
        <v>151</v>
      </c>
      <c r="I247" s="12" t="s">
        <v>2737</v>
      </c>
      <c r="J247" s="25">
        <v>44476</v>
      </c>
      <c r="K247" s="25">
        <v>44841</v>
      </c>
      <c r="L247" s="26">
        <f t="shared" si="112"/>
        <v>85</v>
      </c>
      <c r="M247" s="11">
        <v>5</v>
      </c>
      <c r="N247" s="11" t="s">
        <v>592</v>
      </c>
      <c r="O247" s="11" t="s">
        <v>1113</v>
      </c>
      <c r="P247" s="27" t="s">
        <v>174</v>
      </c>
      <c r="Q247" s="11" t="s">
        <v>34</v>
      </c>
      <c r="R247" s="1">
        <f t="shared" si="117"/>
        <v>352497.55</v>
      </c>
      <c r="S247" s="2">
        <v>352497.55</v>
      </c>
      <c r="T247" s="2">
        <v>0</v>
      </c>
      <c r="U247" s="1">
        <f t="shared" si="113"/>
        <v>53911.39</v>
      </c>
      <c r="V247" s="28">
        <v>53911.39</v>
      </c>
      <c r="W247" s="28">
        <v>0</v>
      </c>
      <c r="X247" s="1">
        <f t="shared" si="114"/>
        <v>8294.06</v>
      </c>
      <c r="Y247" s="2">
        <v>8294.06</v>
      </c>
      <c r="Z247" s="2">
        <v>0</v>
      </c>
      <c r="AA247" s="2">
        <f t="shared" si="115"/>
        <v>0</v>
      </c>
      <c r="AB247" s="2">
        <v>0</v>
      </c>
      <c r="AC247" s="2">
        <v>0</v>
      </c>
      <c r="AD247" s="16">
        <f t="shared" si="90"/>
        <v>414703</v>
      </c>
      <c r="AE247" s="2">
        <v>0</v>
      </c>
      <c r="AF247" s="2">
        <f t="shared" si="116"/>
        <v>414703</v>
      </c>
      <c r="AG247" s="38" t="s">
        <v>857</v>
      </c>
      <c r="AH247" s="29" t="s">
        <v>151</v>
      </c>
      <c r="AI247" s="30">
        <f>40000+118177.55</f>
        <v>158177.54999999999</v>
      </c>
      <c r="AJ247" s="30">
        <v>22932.65</v>
      </c>
    </row>
    <row r="248" spans="1:36" s="179" customFormat="1" ht="141.75" x14ac:dyDescent="0.25">
      <c r="A248" s="6">
        <v>245</v>
      </c>
      <c r="B248" s="11">
        <v>151785</v>
      </c>
      <c r="C248" s="11">
        <v>1112</v>
      </c>
      <c r="D248" s="9" t="s">
        <v>1639</v>
      </c>
      <c r="E248" s="24" t="s">
        <v>1801</v>
      </c>
      <c r="F248" s="11" t="s">
        <v>1825</v>
      </c>
      <c r="G248" s="11" t="s">
        <v>1497</v>
      </c>
      <c r="H248" s="8" t="s">
        <v>151</v>
      </c>
      <c r="I248" s="12" t="s">
        <v>1826</v>
      </c>
      <c r="J248" s="25">
        <v>44481</v>
      </c>
      <c r="K248" s="25">
        <v>44969</v>
      </c>
      <c r="L248" s="26">
        <f t="shared" si="112"/>
        <v>85.000000000000014</v>
      </c>
      <c r="M248" s="11">
        <v>5</v>
      </c>
      <c r="N248" s="11" t="s">
        <v>592</v>
      </c>
      <c r="O248" s="11" t="s">
        <v>1418</v>
      </c>
      <c r="P248" s="27" t="s">
        <v>174</v>
      </c>
      <c r="Q248" s="11" t="s">
        <v>34</v>
      </c>
      <c r="R248" s="1">
        <f t="shared" si="117"/>
        <v>348953.9</v>
      </c>
      <c r="S248" s="2">
        <v>348953.9</v>
      </c>
      <c r="T248" s="2">
        <v>0</v>
      </c>
      <c r="U248" s="1">
        <f t="shared" si="113"/>
        <v>53369.42</v>
      </c>
      <c r="V248" s="28">
        <v>53369.42</v>
      </c>
      <c r="W248" s="28">
        <v>0</v>
      </c>
      <c r="X248" s="1">
        <f t="shared" si="114"/>
        <v>8210.68</v>
      </c>
      <c r="Y248" s="2">
        <v>8210.68</v>
      </c>
      <c r="Z248" s="2">
        <v>0</v>
      </c>
      <c r="AA248" s="2">
        <f t="shared" si="115"/>
        <v>0</v>
      </c>
      <c r="AB248" s="2">
        <v>0</v>
      </c>
      <c r="AC248" s="2">
        <v>0</v>
      </c>
      <c r="AD248" s="16">
        <f t="shared" si="90"/>
        <v>410534</v>
      </c>
      <c r="AE248" s="2">
        <v>0</v>
      </c>
      <c r="AF248" s="2">
        <f t="shared" si="116"/>
        <v>410534</v>
      </c>
      <c r="AG248" s="38" t="s">
        <v>486</v>
      </c>
      <c r="AH248" s="29" t="s">
        <v>151</v>
      </c>
      <c r="AI248" s="30">
        <f>41000+30243.85+90529.25-3784.95+50979.6+31854.5+90529.25</f>
        <v>331351.5</v>
      </c>
      <c r="AJ248" s="30">
        <f>4625.53+13845.65+3784.95+7796.88+1808.04+13845.65</f>
        <v>45706.700000000004</v>
      </c>
    </row>
    <row r="249" spans="1:36" s="179" customFormat="1" ht="141.75" x14ac:dyDescent="0.25">
      <c r="A249" s="6">
        <v>246</v>
      </c>
      <c r="B249" s="11">
        <v>151716</v>
      </c>
      <c r="C249" s="11">
        <v>1123</v>
      </c>
      <c r="D249" s="9" t="s">
        <v>1639</v>
      </c>
      <c r="E249" s="24" t="s">
        <v>1801</v>
      </c>
      <c r="F249" s="11" t="s">
        <v>1836</v>
      </c>
      <c r="G249" s="11" t="s">
        <v>930</v>
      </c>
      <c r="H249" s="8" t="s">
        <v>151</v>
      </c>
      <c r="I249" s="12" t="s">
        <v>2622</v>
      </c>
      <c r="J249" s="25">
        <v>44495</v>
      </c>
      <c r="K249" s="25">
        <v>44860</v>
      </c>
      <c r="L249" s="26">
        <f t="shared" si="112"/>
        <v>85.000000000000014</v>
      </c>
      <c r="M249" s="11">
        <v>5</v>
      </c>
      <c r="N249" s="11" t="s">
        <v>592</v>
      </c>
      <c r="O249" s="11" t="s">
        <v>593</v>
      </c>
      <c r="P249" s="27" t="s">
        <v>174</v>
      </c>
      <c r="Q249" s="11" t="s">
        <v>34</v>
      </c>
      <c r="R249" s="1">
        <f t="shared" si="117"/>
        <v>352608.9</v>
      </c>
      <c r="S249" s="2">
        <v>352608.9</v>
      </c>
      <c r="T249" s="2">
        <v>0</v>
      </c>
      <c r="U249" s="1">
        <f t="shared" si="113"/>
        <v>53928.42</v>
      </c>
      <c r="V249" s="28">
        <v>53928.42</v>
      </c>
      <c r="W249" s="28">
        <v>0</v>
      </c>
      <c r="X249" s="1">
        <f t="shared" si="114"/>
        <v>8296.68</v>
      </c>
      <c r="Y249" s="2">
        <v>8296.68</v>
      </c>
      <c r="Z249" s="2">
        <v>0</v>
      </c>
      <c r="AA249" s="2">
        <f t="shared" si="115"/>
        <v>0</v>
      </c>
      <c r="AB249" s="2">
        <v>0</v>
      </c>
      <c r="AC249" s="2">
        <v>0</v>
      </c>
      <c r="AD249" s="16">
        <f t="shared" si="90"/>
        <v>414834</v>
      </c>
      <c r="AE249" s="2">
        <v>0</v>
      </c>
      <c r="AF249" s="2">
        <f t="shared" si="116"/>
        <v>414834</v>
      </c>
      <c r="AG249" s="38" t="s">
        <v>486</v>
      </c>
      <c r="AH249" s="29" t="s">
        <v>151</v>
      </c>
      <c r="AI249" s="30">
        <v>0</v>
      </c>
      <c r="AJ249" s="30">
        <v>0</v>
      </c>
    </row>
    <row r="250" spans="1:36" s="179" customFormat="1" ht="141.75" x14ac:dyDescent="0.25">
      <c r="A250" s="6">
        <v>247</v>
      </c>
      <c r="B250" s="11">
        <v>152198</v>
      </c>
      <c r="C250" s="11">
        <v>1141</v>
      </c>
      <c r="D250" s="9" t="s">
        <v>1639</v>
      </c>
      <c r="E250" s="24" t="s">
        <v>1801</v>
      </c>
      <c r="F250" s="11" t="s">
        <v>1943</v>
      </c>
      <c r="G250" s="11" t="s">
        <v>1127</v>
      </c>
      <c r="H250" s="8" t="s">
        <v>151</v>
      </c>
      <c r="I250" s="12" t="s">
        <v>2738</v>
      </c>
      <c r="J250" s="25">
        <v>44550</v>
      </c>
      <c r="K250" s="25">
        <v>44915</v>
      </c>
      <c r="L250" s="26">
        <f t="shared" ref="L250:L256" si="118">R250/AD250*100</f>
        <v>85.000000000000014</v>
      </c>
      <c r="M250" s="11">
        <v>5</v>
      </c>
      <c r="N250" s="11" t="s">
        <v>592</v>
      </c>
      <c r="O250" s="11" t="s">
        <v>1128</v>
      </c>
      <c r="P250" s="27" t="s">
        <v>174</v>
      </c>
      <c r="Q250" s="11" t="s">
        <v>34</v>
      </c>
      <c r="R250" s="1">
        <f t="shared" ref="R250:R256" si="119">S250+T250</f>
        <v>350568.9</v>
      </c>
      <c r="S250" s="2">
        <v>350568.9</v>
      </c>
      <c r="T250" s="2">
        <v>0</v>
      </c>
      <c r="U250" s="1">
        <f t="shared" si="113"/>
        <v>53616.42</v>
      </c>
      <c r="V250" s="28">
        <v>53616.42</v>
      </c>
      <c r="W250" s="28">
        <v>0</v>
      </c>
      <c r="X250" s="1">
        <f t="shared" si="114"/>
        <v>8248.68</v>
      </c>
      <c r="Y250" s="2">
        <v>8248.68</v>
      </c>
      <c r="Z250" s="2">
        <v>0</v>
      </c>
      <c r="AA250" s="2">
        <f t="shared" si="115"/>
        <v>0</v>
      </c>
      <c r="AB250" s="2">
        <v>0</v>
      </c>
      <c r="AC250" s="2">
        <v>0</v>
      </c>
      <c r="AD250" s="16">
        <f t="shared" si="90"/>
        <v>412434</v>
      </c>
      <c r="AE250" s="2">
        <v>0</v>
      </c>
      <c r="AF250" s="2">
        <f t="shared" si="116"/>
        <v>412434</v>
      </c>
      <c r="AG250" s="38" t="s">
        <v>486</v>
      </c>
      <c r="AH250" s="29"/>
      <c r="AI250" s="30">
        <v>120889.08</v>
      </c>
      <c r="AJ250" s="30">
        <v>18488.919999999998</v>
      </c>
    </row>
    <row r="251" spans="1:36" s="179" customFormat="1" ht="141.75" x14ac:dyDescent="0.25">
      <c r="A251" s="6">
        <v>248</v>
      </c>
      <c r="B251" s="11">
        <v>152218</v>
      </c>
      <c r="C251" s="11">
        <v>1146</v>
      </c>
      <c r="D251" s="9" t="s">
        <v>1639</v>
      </c>
      <c r="E251" s="24" t="s">
        <v>1801</v>
      </c>
      <c r="F251" s="11" t="s">
        <v>1973</v>
      </c>
      <c r="G251" s="11" t="s">
        <v>1972</v>
      </c>
      <c r="H251" s="8" t="s">
        <v>151</v>
      </c>
      <c r="I251" s="12" t="s">
        <v>2739</v>
      </c>
      <c r="J251" s="25">
        <v>44579</v>
      </c>
      <c r="K251" s="25">
        <v>44944</v>
      </c>
      <c r="L251" s="26">
        <f t="shared" si="118"/>
        <v>85.000000000000014</v>
      </c>
      <c r="M251" s="11">
        <v>5</v>
      </c>
      <c r="N251" s="11" t="s">
        <v>592</v>
      </c>
      <c r="O251" s="11" t="s">
        <v>593</v>
      </c>
      <c r="P251" s="27" t="s">
        <v>174</v>
      </c>
      <c r="Q251" s="11" t="s">
        <v>34</v>
      </c>
      <c r="R251" s="1">
        <f t="shared" si="119"/>
        <v>352396.4</v>
      </c>
      <c r="S251" s="2">
        <v>352396.4</v>
      </c>
      <c r="T251" s="2">
        <v>0</v>
      </c>
      <c r="U251" s="1">
        <f t="shared" si="113"/>
        <v>53895.92</v>
      </c>
      <c r="V251" s="28">
        <v>53895.92</v>
      </c>
      <c r="W251" s="28">
        <v>0</v>
      </c>
      <c r="X251" s="1">
        <f t="shared" si="114"/>
        <v>8291.68</v>
      </c>
      <c r="Y251" s="2">
        <v>8291.68</v>
      </c>
      <c r="Z251" s="2">
        <v>0</v>
      </c>
      <c r="AA251" s="2">
        <f t="shared" si="115"/>
        <v>0</v>
      </c>
      <c r="AB251" s="2">
        <v>0</v>
      </c>
      <c r="AC251" s="2">
        <v>0</v>
      </c>
      <c r="AD251" s="16">
        <f t="shared" si="90"/>
        <v>414584</v>
      </c>
      <c r="AE251" s="2">
        <v>0</v>
      </c>
      <c r="AF251" s="2">
        <f t="shared" si="116"/>
        <v>414584</v>
      </c>
      <c r="AG251" s="38" t="s">
        <v>486</v>
      </c>
      <c r="AH251" s="29"/>
      <c r="AI251" s="30">
        <v>0</v>
      </c>
      <c r="AJ251" s="30">
        <v>0</v>
      </c>
    </row>
    <row r="252" spans="1:36" s="179" customFormat="1" ht="290.25" customHeight="1" x14ac:dyDescent="0.25">
      <c r="A252" s="6">
        <v>249</v>
      </c>
      <c r="B252" s="11">
        <v>155028</v>
      </c>
      <c r="C252" s="11">
        <v>1196</v>
      </c>
      <c r="D252" s="9" t="s">
        <v>1638</v>
      </c>
      <c r="E252" s="24" t="s">
        <v>2014</v>
      </c>
      <c r="F252" s="11" t="s">
        <v>2079</v>
      </c>
      <c r="G252" s="11" t="s">
        <v>1972</v>
      </c>
      <c r="H252" s="8" t="s">
        <v>151</v>
      </c>
      <c r="I252" s="12" t="s">
        <v>2740</v>
      </c>
      <c r="J252" s="25">
        <v>44655</v>
      </c>
      <c r="K252" s="25">
        <v>45081</v>
      </c>
      <c r="L252" s="26">
        <f t="shared" si="118"/>
        <v>85.000000109368045</v>
      </c>
      <c r="M252" s="11">
        <v>5</v>
      </c>
      <c r="N252" s="11" t="s">
        <v>592</v>
      </c>
      <c r="O252" s="11" t="s">
        <v>593</v>
      </c>
      <c r="P252" s="27" t="s">
        <v>174</v>
      </c>
      <c r="Q252" s="11" t="s">
        <v>34</v>
      </c>
      <c r="R252" s="1">
        <f t="shared" si="119"/>
        <v>3885961.58</v>
      </c>
      <c r="S252" s="2">
        <v>3885961.58</v>
      </c>
      <c r="T252" s="2">
        <v>0</v>
      </c>
      <c r="U252" s="1">
        <f t="shared" si="113"/>
        <v>594323.53</v>
      </c>
      <c r="V252" s="28">
        <v>594323.53</v>
      </c>
      <c r="W252" s="28">
        <v>0</v>
      </c>
      <c r="X252" s="1">
        <f t="shared" si="114"/>
        <v>91434.39</v>
      </c>
      <c r="Y252" s="2">
        <v>91434.39</v>
      </c>
      <c r="Z252" s="2">
        <v>0</v>
      </c>
      <c r="AA252" s="2">
        <f t="shared" si="115"/>
        <v>0</v>
      </c>
      <c r="AB252" s="2">
        <v>0</v>
      </c>
      <c r="AC252" s="2">
        <v>0</v>
      </c>
      <c r="AD252" s="16">
        <f t="shared" si="90"/>
        <v>4571719.5</v>
      </c>
      <c r="AE252" s="2">
        <v>0</v>
      </c>
      <c r="AF252" s="2">
        <f t="shared" si="116"/>
        <v>4571719.5</v>
      </c>
      <c r="AG252" s="38" t="s">
        <v>486</v>
      </c>
      <c r="AH252" s="29"/>
      <c r="AI252" s="30">
        <v>0</v>
      </c>
      <c r="AJ252" s="30">
        <v>0</v>
      </c>
    </row>
    <row r="253" spans="1:36" s="179" customFormat="1" ht="183.75" customHeight="1" x14ac:dyDescent="0.25">
      <c r="A253" s="6">
        <v>250</v>
      </c>
      <c r="B253" s="11">
        <v>155174</v>
      </c>
      <c r="C253" s="11">
        <v>1200</v>
      </c>
      <c r="D253" s="9" t="s">
        <v>1638</v>
      </c>
      <c r="E253" s="24" t="s">
        <v>2014</v>
      </c>
      <c r="F253" s="11" t="s">
        <v>2096</v>
      </c>
      <c r="G253" s="11" t="s">
        <v>930</v>
      </c>
      <c r="H253" s="8" t="s">
        <v>151</v>
      </c>
      <c r="I253" s="12" t="s">
        <v>2741</v>
      </c>
      <c r="J253" s="25">
        <v>44656</v>
      </c>
      <c r="K253" s="25">
        <v>45143</v>
      </c>
      <c r="L253" s="26">
        <f t="shared" si="118"/>
        <v>85</v>
      </c>
      <c r="M253" s="11">
        <v>5</v>
      </c>
      <c r="N253" s="11" t="s">
        <v>592</v>
      </c>
      <c r="O253" s="11" t="s">
        <v>592</v>
      </c>
      <c r="P253" s="27" t="s">
        <v>174</v>
      </c>
      <c r="Q253" s="11" t="s">
        <v>34</v>
      </c>
      <c r="R253" s="1">
        <f t="shared" si="119"/>
        <v>2540645.75</v>
      </c>
      <c r="S253" s="2">
        <v>2540645.75</v>
      </c>
      <c r="T253" s="2">
        <v>0</v>
      </c>
      <c r="U253" s="1">
        <f t="shared" si="113"/>
        <v>388569.35</v>
      </c>
      <c r="V253" s="28">
        <v>388569.35</v>
      </c>
      <c r="W253" s="28">
        <v>0</v>
      </c>
      <c r="X253" s="1">
        <f t="shared" si="114"/>
        <v>59779.9</v>
      </c>
      <c r="Y253" s="2">
        <v>59779.9</v>
      </c>
      <c r="Z253" s="2">
        <v>0</v>
      </c>
      <c r="AA253" s="2">
        <f t="shared" si="115"/>
        <v>0</v>
      </c>
      <c r="AB253" s="2">
        <v>0</v>
      </c>
      <c r="AC253" s="2">
        <v>0</v>
      </c>
      <c r="AD253" s="16">
        <f t="shared" si="90"/>
        <v>2988995</v>
      </c>
      <c r="AE253" s="2">
        <v>0</v>
      </c>
      <c r="AF253" s="2">
        <f t="shared" si="116"/>
        <v>2988995</v>
      </c>
      <c r="AG253" s="38" t="s">
        <v>486</v>
      </c>
      <c r="AH253" s="29"/>
      <c r="AI253" s="30">
        <v>10266.51</v>
      </c>
      <c r="AJ253" s="30">
        <v>1570.17</v>
      </c>
    </row>
    <row r="254" spans="1:36" s="179" customFormat="1" ht="183.75" customHeight="1" x14ac:dyDescent="0.25">
      <c r="A254" s="6">
        <v>251</v>
      </c>
      <c r="B254" s="11">
        <v>153860</v>
      </c>
      <c r="C254" s="11">
        <v>1206</v>
      </c>
      <c r="D254" s="9" t="s">
        <v>1638</v>
      </c>
      <c r="E254" s="24" t="s">
        <v>2014</v>
      </c>
      <c r="F254" s="11" t="s">
        <v>2190</v>
      </c>
      <c r="G254" s="11" t="s">
        <v>591</v>
      </c>
      <c r="H254" s="8" t="s">
        <v>151</v>
      </c>
      <c r="I254" s="12" t="s">
        <v>2742</v>
      </c>
      <c r="J254" s="25">
        <v>44686</v>
      </c>
      <c r="K254" s="25">
        <v>45051</v>
      </c>
      <c r="L254" s="26">
        <f t="shared" si="118"/>
        <v>85.000001439178192</v>
      </c>
      <c r="M254" s="11">
        <v>5</v>
      </c>
      <c r="N254" s="11" t="s">
        <v>592</v>
      </c>
      <c r="O254" s="11" t="s">
        <v>593</v>
      </c>
      <c r="P254" s="27" t="s">
        <v>174</v>
      </c>
      <c r="Q254" s="11" t="s">
        <v>34</v>
      </c>
      <c r="R254" s="1">
        <f t="shared" si="119"/>
        <v>295307.43</v>
      </c>
      <c r="S254" s="2">
        <v>295307.43</v>
      </c>
      <c r="T254" s="2">
        <v>0</v>
      </c>
      <c r="U254" s="1">
        <f t="shared" si="113"/>
        <v>45164.66</v>
      </c>
      <c r="V254" s="28">
        <v>45164.66</v>
      </c>
      <c r="W254" s="28">
        <v>0</v>
      </c>
      <c r="X254" s="1">
        <f t="shared" si="114"/>
        <v>6948.41</v>
      </c>
      <c r="Y254" s="2">
        <v>6948.41</v>
      </c>
      <c r="Z254" s="2">
        <v>0</v>
      </c>
      <c r="AA254" s="2">
        <f t="shared" si="115"/>
        <v>0</v>
      </c>
      <c r="AB254" s="2">
        <v>0</v>
      </c>
      <c r="AC254" s="2">
        <v>0</v>
      </c>
      <c r="AD254" s="16">
        <f t="shared" si="90"/>
        <v>347420.49999999994</v>
      </c>
      <c r="AE254" s="2">
        <v>0</v>
      </c>
      <c r="AF254" s="2">
        <f t="shared" si="116"/>
        <v>347420.49999999994</v>
      </c>
      <c r="AG254" s="38" t="s">
        <v>486</v>
      </c>
      <c r="AH254" s="29"/>
      <c r="AI254" s="30">
        <v>0</v>
      </c>
      <c r="AJ254" s="30">
        <v>0</v>
      </c>
    </row>
    <row r="255" spans="1:36" s="179" customFormat="1" ht="183.75" customHeight="1" x14ac:dyDescent="0.25">
      <c r="A255" s="6">
        <v>252</v>
      </c>
      <c r="B255" s="11">
        <v>155193</v>
      </c>
      <c r="C255" s="11">
        <v>1242</v>
      </c>
      <c r="D255" s="9" t="s">
        <v>1638</v>
      </c>
      <c r="E255" s="24" t="s">
        <v>2014</v>
      </c>
      <c r="F255" s="11" t="s">
        <v>2215</v>
      </c>
      <c r="G255" s="11" t="s">
        <v>1497</v>
      </c>
      <c r="H255" s="8" t="s">
        <v>151</v>
      </c>
      <c r="I255" s="12" t="s">
        <v>2743</v>
      </c>
      <c r="J255" s="25">
        <v>44698</v>
      </c>
      <c r="K255" s="25">
        <v>45063</v>
      </c>
      <c r="L255" s="26">
        <f t="shared" si="118"/>
        <v>84.999999386047151</v>
      </c>
      <c r="M255" s="11">
        <v>5</v>
      </c>
      <c r="N255" s="11" t="s">
        <v>592</v>
      </c>
      <c r="O255" s="11" t="s">
        <v>1418</v>
      </c>
      <c r="P255" s="27" t="s">
        <v>174</v>
      </c>
      <c r="Q255" s="11" t="s">
        <v>34</v>
      </c>
      <c r="R255" s="1">
        <f t="shared" si="119"/>
        <v>276894.23</v>
      </c>
      <c r="S255" s="2">
        <v>276894.23</v>
      </c>
      <c r="T255" s="2">
        <v>0</v>
      </c>
      <c r="U255" s="1">
        <f t="shared" si="113"/>
        <v>42348.54</v>
      </c>
      <c r="V255" s="28">
        <v>42348.54</v>
      </c>
      <c r="W255" s="28">
        <v>0</v>
      </c>
      <c r="X255" s="1">
        <f t="shared" si="114"/>
        <v>6515.15</v>
      </c>
      <c r="Y255" s="2">
        <v>6515.15</v>
      </c>
      <c r="Z255" s="2">
        <v>0</v>
      </c>
      <c r="AA255" s="2">
        <f t="shared" si="115"/>
        <v>0</v>
      </c>
      <c r="AB255" s="2">
        <v>0</v>
      </c>
      <c r="AC255" s="2">
        <v>0</v>
      </c>
      <c r="AD255" s="16">
        <f t="shared" si="90"/>
        <v>325757.92</v>
      </c>
      <c r="AE255" s="2">
        <v>0</v>
      </c>
      <c r="AF255" s="2">
        <f t="shared" si="116"/>
        <v>325757.92</v>
      </c>
      <c r="AG255" s="38" t="s">
        <v>486</v>
      </c>
      <c r="AH255" s="29"/>
      <c r="AI255" s="30">
        <v>32575.79</v>
      </c>
      <c r="AJ255" s="30">
        <v>0</v>
      </c>
    </row>
    <row r="256" spans="1:36" s="179" customFormat="1" ht="183.75" customHeight="1" x14ac:dyDescent="0.25">
      <c r="A256" s="6">
        <v>253</v>
      </c>
      <c r="B256" s="11">
        <v>154637</v>
      </c>
      <c r="C256" s="11">
        <v>1224</v>
      </c>
      <c r="D256" s="9" t="s">
        <v>1638</v>
      </c>
      <c r="E256" s="24" t="s">
        <v>2014</v>
      </c>
      <c r="F256" s="11" t="s">
        <v>1027</v>
      </c>
      <c r="G256" s="11" t="s">
        <v>1111</v>
      </c>
      <c r="H256" s="8" t="s">
        <v>151</v>
      </c>
      <c r="I256" s="12" t="s">
        <v>2744</v>
      </c>
      <c r="J256" s="25">
        <v>44712</v>
      </c>
      <c r="K256" s="25">
        <v>45199</v>
      </c>
      <c r="L256" s="26">
        <f t="shared" si="118"/>
        <v>84.999999946706311</v>
      </c>
      <c r="M256" s="11">
        <v>5</v>
      </c>
      <c r="N256" s="11" t="s">
        <v>592</v>
      </c>
      <c r="O256" s="11" t="s">
        <v>1113</v>
      </c>
      <c r="P256" s="27" t="s">
        <v>174</v>
      </c>
      <c r="Q256" s="11" t="s">
        <v>34</v>
      </c>
      <c r="R256" s="1">
        <f t="shared" si="119"/>
        <v>3189870.58</v>
      </c>
      <c r="S256" s="2">
        <v>3189870.58</v>
      </c>
      <c r="T256" s="2">
        <v>0</v>
      </c>
      <c r="U256" s="1">
        <f t="shared" si="113"/>
        <v>487862.55</v>
      </c>
      <c r="V256" s="28">
        <v>487862.55</v>
      </c>
      <c r="W256" s="28">
        <v>0</v>
      </c>
      <c r="X256" s="1">
        <f t="shared" si="114"/>
        <v>75055.789999999994</v>
      </c>
      <c r="Y256" s="2">
        <v>75055.789999999994</v>
      </c>
      <c r="Z256" s="2">
        <v>0</v>
      </c>
      <c r="AA256" s="2">
        <f t="shared" si="115"/>
        <v>0</v>
      </c>
      <c r="AB256" s="2">
        <v>0</v>
      </c>
      <c r="AC256" s="2">
        <v>0</v>
      </c>
      <c r="AD256" s="16">
        <f t="shared" si="90"/>
        <v>3752788.92</v>
      </c>
      <c r="AE256" s="2">
        <v>0</v>
      </c>
      <c r="AF256" s="2">
        <f t="shared" si="116"/>
        <v>3752788.92</v>
      </c>
      <c r="AG256" s="38" t="s">
        <v>486</v>
      </c>
      <c r="AH256" s="29"/>
      <c r="AI256" s="30">
        <v>0</v>
      </c>
      <c r="AJ256" s="30">
        <v>0</v>
      </c>
    </row>
    <row r="257" spans="1:36" s="179" customFormat="1" ht="173.25" x14ac:dyDescent="0.25">
      <c r="A257" s="6">
        <v>254</v>
      </c>
      <c r="B257" s="31">
        <v>120482</v>
      </c>
      <c r="C257" s="11">
        <v>68</v>
      </c>
      <c r="D257" s="9" t="s">
        <v>1638</v>
      </c>
      <c r="E257" s="24" t="s">
        <v>277</v>
      </c>
      <c r="F257" s="11" t="s">
        <v>235</v>
      </c>
      <c r="G257" s="11" t="s">
        <v>238</v>
      </c>
      <c r="H257" s="8" t="s">
        <v>151</v>
      </c>
      <c r="I257" s="46" t="s">
        <v>239</v>
      </c>
      <c r="J257" s="25">
        <v>43145</v>
      </c>
      <c r="K257" s="25">
        <v>43630</v>
      </c>
      <c r="L257" s="26">
        <f t="shared" ref="L257:L269" si="120">R257/AD257*100</f>
        <v>85</v>
      </c>
      <c r="M257" s="11">
        <v>3</v>
      </c>
      <c r="N257" s="11" t="s">
        <v>240</v>
      </c>
      <c r="O257" s="11" t="s">
        <v>241</v>
      </c>
      <c r="P257" s="27" t="s">
        <v>174</v>
      </c>
      <c r="Q257" s="11" t="s">
        <v>34</v>
      </c>
      <c r="R257" s="2">
        <f t="shared" ref="R257:R262" si="121">S257+T257</f>
        <v>508342.5</v>
      </c>
      <c r="S257" s="57">
        <v>508342.5</v>
      </c>
      <c r="T257" s="2">
        <v>0</v>
      </c>
      <c r="U257" s="1">
        <f t="shared" ref="U257:U269" si="122">V257+W257</f>
        <v>77746.5</v>
      </c>
      <c r="V257" s="28">
        <v>77746.5</v>
      </c>
      <c r="W257" s="28">
        <v>0</v>
      </c>
      <c r="X257" s="1">
        <f t="shared" ref="X257:X269" si="123">Y257+Z257</f>
        <v>11961</v>
      </c>
      <c r="Y257" s="2">
        <v>11961</v>
      </c>
      <c r="Z257" s="2">
        <v>0</v>
      </c>
      <c r="AA257" s="2">
        <f>AB257+AC257</f>
        <v>0</v>
      </c>
      <c r="AB257" s="2">
        <v>0</v>
      </c>
      <c r="AC257" s="2">
        <v>0</v>
      </c>
      <c r="AD257" s="16">
        <f t="shared" si="90"/>
        <v>598050</v>
      </c>
      <c r="AE257" s="2">
        <v>0</v>
      </c>
      <c r="AF257" s="2">
        <f t="shared" ref="AF257:AF269" si="124">AD257+AE257</f>
        <v>598050</v>
      </c>
      <c r="AG257" s="21" t="s">
        <v>857</v>
      </c>
      <c r="AH257" s="29"/>
      <c r="AI257" s="30">
        <v>385296.94</v>
      </c>
      <c r="AJ257" s="30">
        <v>58927.729999999996</v>
      </c>
    </row>
    <row r="258" spans="1:36" s="179" customFormat="1" ht="330.75" x14ac:dyDescent="0.25">
      <c r="A258" s="6">
        <v>255</v>
      </c>
      <c r="B258" s="31">
        <v>122108</v>
      </c>
      <c r="C258" s="11">
        <v>83</v>
      </c>
      <c r="D258" s="9" t="s">
        <v>1638</v>
      </c>
      <c r="E258" s="24" t="s">
        <v>277</v>
      </c>
      <c r="F258" s="11" t="s">
        <v>390</v>
      </c>
      <c r="G258" s="11" t="s">
        <v>1134</v>
      </c>
      <c r="H258" s="8" t="s">
        <v>151</v>
      </c>
      <c r="I258" s="46" t="s">
        <v>435</v>
      </c>
      <c r="J258" s="25">
        <v>43234</v>
      </c>
      <c r="K258" s="25">
        <v>43722</v>
      </c>
      <c r="L258" s="26">
        <f t="shared" si="120"/>
        <v>84.999995128143141</v>
      </c>
      <c r="M258" s="11">
        <v>3</v>
      </c>
      <c r="N258" s="11" t="s">
        <v>240</v>
      </c>
      <c r="O258" s="11" t="s">
        <v>391</v>
      </c>
      <c r="P258" s="27" t="s">
        <v>174</v>
      </c>
      <c r="Q258" s="11" t="s">
        <v>34</v>
      </c>
      <c r="R258" s="2">
        <f t="shared" si="121"/>
        <v>322772.19</v>
      </c>
      <c r="S258" s="39">
        <v>322772.19</v>
      </c>
      <c r="T258" s="109">
        <v>0</v>
      </c>
      <c r="U258" s="1">
        <f t="shared" si="122"/>
        <v>49365.18</v>
      </c>
      <c r="V258" s="28">
        <v>49365.18</v>
      </c>
      <c r="W258" s="28">
        <v>0</v>
      </c>
      <c r="X258" s="1">
        <f t="shared" si="123"/>
        <v>7594.64</v>
      </c>
      <c r="Y258" s="2">
        <v>7594.64</v>
      </c>
      <c r="Z258" s="2">
        <v>0</v>
      </c>
      <c r="AA258" s="2">
        <f>AB258+AC258</f>
        <v>0</v>
      </c>
      <c r="AB258" s="2">
        <v>0</v>
      </c>
      <c r="AC258" s="2">
        <v>0</v>
      </c>
      <c r="AD258" s="16">
        <f t="shared" si="90"/>
        <v>379732.01</v>
      </c>
      <c r="AE258" s="2">
        <v>55635.199999999997</v>
      </c>
      <c r="AF258" s="2">
        <f t="shared" si="124"/>
        <v>435367.21</v>
      </c>
      <c r="AG258" s="21" t="s">
        <v>857</v>
      </c>
      <c r="AH258" s="29" t="s">
        <v>1095</v>
      </c>
      <c r="AI258" s="30">
        <v>218039.20999999996</v>
      </c>
      <c r="AJ258" s="30">
        <v>33347.15</v>
      </c>
    </row>
    <row r="259" spans="1:36" s="179" customFormat="1" ht="204.75" x14ac:dyDescent="0.25">
      <c r="A259" s="6">
        <v>256</v>
      </c>
      <c r="B259" s="31">
        <v>118782</v>
      </c>
      <c r="C259" s="11">
        <v>444</v>
      </c>
      <c r="D259" s="32" t="s">
        <v>1639</v>
      </c>
      <c r="E259" s="24" t="s">
        <v>507</v>
      </c>
      <c r="F259" s="11" t="s">
        <v>674</v>
      </c>
      <c r="G259" s="11" t="s">
        <v>1089</v>
      </c>
      <c r="H259" s="11"/>
      <c r="I259" s="33" t="s">
        <v>673</v>
      </c>
      <c r="J259" s="25">
        <v>43304</v>
      </c>
      <c r="K259" s="25">
        <v>43792</v>
      </c>
      <c r="L259" s="26">
        <f t="shared" si="120"/>
        <v>85</v>
      </c>
      <c r="M259" s="40">
        <v>3</v>
      </c>
      <c r="N259" s="11" t="s">
        <v>240</v>
      </c>
      <c r="O259" s="11" t="s">
        <v>675</v>
      </c>
      <c r="P259" s="27" t="s">
        <v>174</v>
      </c>
      <c r="Q259" s="11" t="s">
        <v>34</v>
      </c>
      <c r="R259" s="2">
        <f t="shared" si="121"/>
        <v>242091.39</v>
      </c>
      <c r="S259" s="37">
        <v>242091.39</v>
      </c>
      <c r="T259" s="36">
        <v>0</v>
      </c>
      <c r="U259" s="1">
        <f t="shared" si="122"/>
        <v>37025.74</v>
      </c>
      <c r="V259" s="42">
        <v>37025.74</v>
      </c>
      <c r="W259" s="55">
        <v>0</v>
      </c>
      <c r="X259" s="1">
        <f t="shared" si="123"/>
        <v>5696.27</v>
      </c>
      <c r="Y259" s="30">
        <v>5696.27</v>
      </c>
      <c r="Z259" s="30">
        <v>0</v>
      </c>
      <c r="AA259" s="2">
        <f>AB259+AC259</f>
        <v>0</v>
      </c>
      <c r="AB259" s="34">
        <v>0</v>
      </c>
      <c r="AC259" s="34">
        <v>0</v>
      </c>
      <c r="AD259" s="16">
        <f t="shared" si="90"/>
        <v>284813.40000000002</v>
      </c>
      <c r="AE259" s="51">
        <v>0</v>
      </c>
      <c r="AF259" s="2">
        <f t="shared" si="124"/>
        <v>284813.40000000002</v>
      </c>
      <c r="AG259" s="21" t="s">
        <v>857</v>
      </c>
      <c r="AH259" s="35" t="s">
        <v>1183</v>
      </c>
      <c r="AI259" s="30">
        <v>218691.65000000002</v>
      </c>
      <c r="AJ259" s="30">
        <v>33446.97</v>
      </c>
    </row>
    <row r="260" spans="1:36" s="43" customFormat="1" ht="237.75" customHeight="1" x14ac:dyDescent="0.25">
      <c r="A260" s="6">
        <v>257</v>
      </c>
      <c r="B260" s="31">
        <v>118562</v>
      </c>
      <c r="C260" s="11">
        <v>430</v>
      </c>
      <c r="D260" s="32" t="s">
        <v>1639</v>
      </c>
      <c r="E260" s="24" t="s">
        <v>507</v>
      </c>
      <c r="F260" s="11" t="s">
        <v>717</v>
      </c>
      <c r="G260" s="11" t="s">
        <v>718</v>
      </c>
      <c r="H260" s="8" t="s">
        <v>151</v>
      </c>
      <c r="I260" s="33" t="s">
        <v>719</v>
      </c>
      <c r="J260" s="25">
        <v>43318</v>
      </c>
      <c r="K260" s="25">
        <v>43683</v>
      </c>
      <c r="L260" s="26">
        <f t="shared" si="120"/>
        <v>85</v>
      </c>
      <c r="M260" s="40">
        <v>3</v>
      </c>
      <c r="N260" s="11" t="s">
        <v>240</v>
      </c>
      <c r="O260" s="11" t="s">
        <v>241</v>
      </c>
      <c r="P260" s="27" t="s">
        <v>174</v>
      </c>
      <c r="Q260" s="11" t="s">
        <v>34</v>
      </c>
      <c r="R260" s="2">
        <f t="shared" si="121"/>
        <v>244199.22</v>
      </c>
      <c r="S260" s="37">
        <v>244199.22</v>
      </c>
      <c r="T260" s="36">
        <v>0</v>
      </c>
      <c r="U260" s="1">
        <f t="shared" si="122"/>
        <v>37348.11</v>
      </c>
      <c r="V260" s="42">
        <v>37348.11</v>
      </c>
      <c r="W260" s="55">
        <v>0</v>
      </c>
      <c r="X260" s="1">
        <f t="shared" si="123"/>
        <v>5745.87</v>
      </c>
      <c r="Y260" s="30">
        <v>5745.87</v>
      </c>
      <c r="Z260" s="30">
        <v>0</v>
      </c>
      <c r="AB260" s="36">
        <v>0</v>
      </c>
      <c r="AC260" s="36">
        <v>0</v>
      </c>
      <c r="AD260" s="16">
        <f t="shared" si="90"/>
        <v>287293.2</v>
      </c>
      <c r="AE260" s="35">
        <v>0</v>
      </c>
      <c r="AF260" s="2">
        <f t="shared" si="124"/>
        <v>287293.2</v>
      </c>
      <c r="AG260" s="21" t="s">
        <v>857</v>
      </c>
      <c r="AH260" s="35"/>
      <c r="AI260" s="30">
        <v>187221.18</v>
      </c>
      <c r="AJ260" s="30">
        <v>28633.829999999994</v>
      </c>
    </row>
    <row r="261" spans="1:36" s="43" customFormat="1" ht="237.75" customHeight="1" x14ac:dyDescent="0.25">
      <c r="A261" s="6">
        <v>258</v>
      </c>
      <c r="B261" s="31">
        <v>128788</v>
      </c>
      <c r="C261" s="11">
        <v>632</v>
      </c>
      <c r="D261" s="9" t="s">
        <v>1638</v>
      </c>
      <c r="E261" s="24" t="s">
        <v>1071</v>
      </c>
      <c r="F261" s="11" t="s">
        <v>1092</v>
      </c>
      <c r="G261" s="11" t="s">
        <v>1089</v>
      </c>
      <c r="H261" s="8" t="s">
        <v>151</v>
      </c>
      <c r="I261" s="33" t="s">
        <v>1091</v>
      </c>
      <c r="J261" s="25">
        <v>43622</v>
      </c>
      <c r="K261" s="25">
        <v>44626</v>
      </c>
      <c r="L261" s="26">
        <f t="shared" si="120"/>
        <v>85.000000230035937</v>
      </c>
      <c r="M261" s="40">
        <v>3</v>
      </c>
      <c r="N261" s="11" t="s">
        <v>240</v>
      </c>
      <c r="O261" s="11" t="s">
        <v>1090</v>
      </c>
      <c r="P261" s="27" t="s">
        <v>174</v>
      </c>
      <c r="Q261" s="11" t="s">
        <v>34</v>
      </c>
      <c r="R261" s="2">
        <f t="shared" si="121"/>
        <v>1847537.48</v>
      </c>
      <c r="S261" s="37">
        <v>1847537.48</v>
      </c>
      <c r="T261" s="36">
        <v>0</v>
      </c>
      <c r="U261" s="1">
        <f t="shared" si="122"/>
        <v>282564.55</v>
      </c>
      <c r="V261" s="42">
        <v>282564.55</v>
      </c>
      <c r="W261" s="55">
        <v>0</v>
      </c>
      <c r="X261" s="1">
        <f t="shared" si="123"/>
        <v>43471.47</v>
      </c>
      <c r="Y261" s="30">
        <v>43471.47</v>
      </c>
      <c r="Z261" s="30">
        <v>0</v>
      </c>
      <c r="AA261" s="30">
        <f t="shared" ref="AA261:AA268" si="125">AB261+AC261</f>
        <v>0</v>
      </c>
      <c r="AB261" s="36">
        <v>0</v>
      </c>
      <c r="AC261" s="36">
        <v>0</v>
      </c>
      <c r="AD261" s="16">
        <f t="shared" ref="AD261:AD324" si="126">R261+U261+X261+AA261</f>
        <v>2173573.5</v>
      </c>
      <c r="AE261" s="35">
        <v>0</v>
      </c>
      <c r="AF261" s="2">
        <f t="shared" si="124"/>
        <v>2173573.5</v>
      </c>
      <c r="AG261" s="38" t="s">
        <v>857</v>
      </c>
      <c r="AH261" s="38" t="s">
        <v>1748</v>
      </c>
      <c r="AI261" s="30">
        <f>159761.73+205286.29-12744.7-6213.9+144175.74-19413.29+1122259.25-5941.52+167659.17-3136.51</f>
        <v>1751692.26</v>
      </c>
      <c r="AJ261" s="30">
        <f>14235.89+8544.38+12744.7+6213.9+19413.29+171639.65+5941.52+26036.01+3136.51</f>
        <v>267905.84999999998</v>
      </c>
    </row>
    <row r="262" spans="1:36" s="43" customFormat="1" ht="232.5" customHeight="1" x14ac:dyDescent="0.25">
      <c r="A262" s="6">
        <v>259</v>
      </c>
      <c r="B262" s="31">
        <v>129218</v>
      </c>
      <c r="C262" s="11">
        <v>645</v>
      </c>
      <c r="D262" s="9" t="s">
        <v>1638</v>
      </c>
      <c r="E262" s="24" t="s">
        <v>1071</v>
      </c>
      <c r="F262" s="70" t="s">
        <v>1133</v>
      </c>
      <c r="G262" s="11" t="s">
        <v>1134</v>
      </c>
      <c r="H262" s="8" t="s">
        <v>151</v>
      </c>
      <c r="I262" s="33" t="s">
        <v>2745</v>
      </c>
      <c r="J262" s="25">
        <v>43643</v>
      </c>
      <c r="K262" s="25">
        <v>44282</v>
      </c>
      <c r="L262" s="26">
        <f t="shared" si="120"/>
        <v>84.999999707660962</v>
      </c>
      <c r="M262" s="40">
        <v>3</v>
      </c>
      <c r="N262" s="11" t="s">
        <v>240</v>
      </c>
      <c r="O262" s="11" t="s">
        <v>391</v>
      </c>
      <c r="P262" s="27" t="s">
        <v>174</v>
      </c>
      <c r="Q262" s="11" t="s">
        <v>34</v>
      </c>
      <c r="R262" s="2">
        <f t="shared" si="121"/>
        <v>2326066.37</v>
      </c>
      <c r="S262" s="37">
        <v>2326066.37</v>
      </c>
      <c r="T262" s="36">
        <v>0</v>
      </c>
      <c r="U262" s="1">
        <f t="shared" si="122"/>
        <v>355751.33</v>
      </c>
      <c r="V262" s="42">
        <v>355751.33</v>
      </c>
      <c r="W262" s="55">
        <v>0</v>
      </c>
      <c r="X262" s="1">
        <f t="shared" si="123"/>
        <v>54730.98</v>
      </c>
      <c r="Y262" s="30">
        <v>54730.98</v>
      </c>
      <c r="Z262" s="30">
        <v>0</v>
      </c>
      <c r="AA262" s="30">
        <f t="shared" si="125"/>
        <v>0</v>
      </c>
      <c r="AB262" s="36">
        <v>0</v>
      </c>
      <c r="AC262" s="36">
        <v>0</v>
      </c>
      <c r="AD262" s="16">
        <f t="shared" si="126"/>
        <v>2736548.68</v>
      </c>
      <c r="AE262" s="35">
        <v>0</v>
      </c>
      <c r="AF262" s="2">
        <f t="shared" si="124"/>
        <v>2736548.68</v>
      </c>
      <c r="AG262" s="38" t="s">
        <v>857</v>
      </c>
      <c r="AH262" s="38" t="s">
        <v>1688</v>
      </c>
      <c r="AI262" s="30">
        <f>1079226.9+25907.15+1092653.83+34194.23</f>
        <v>2231982.11</v>
      </c>
      <c r="AJ262" s="30">
        <f>165058.24+3962.27+167111.76+5229.7</f>
        <v>341361.97000000003</v>
      </c>
    </row>
    <row r="263" spans="1:36" s="43" customFormat="1" ht="175.5" customHeight="1" x14ac:dyDescent="0.25">
      <c r="A263" s="6">
        <v>260</v>
      </c>
      <c r="B263" s="31">
        <v>136346</v>
      </c>
      <c r="C263" s="11">
        <v>803</v>
      </c>
      <c r="D263" s="9" t="s">
        <v>1638</v>
      </c>
      <c r="E263" s="24" t="s">
        <v>1441</v>
      </c>
      <c r="F263" s="31" t="s">
        <v>1444</v>
      </c>
      <c r="G263" s="11" t="s">
        <v>1134</v>
      </c>
      <c r="H263" s="8" t="s">
        <v>151</v>
      </c>
      <c r="I263" s="12" t="s">
        <v>2746</v>
      </c>
      <c r="J263" s="25">
        <v>43949</v>
      </c>
      <c r="K263" s="25">
        <v>44740</v>
      </c>
      <c r="L263" s="26">
        <f t="shared" si="120"/>
        <v>84.999999931876232</v>
      </c>
      <c r="M263" s="11">
        <v>3</v>
      </c>
      <c r="N263" s="11" t="s">
        <v>240</v>
      </c>
      <c r="O263" s="11" t="s">
        <v>391</v>
      </c>
      <c r="P263" s="27" t="s">
        <v>174</v>
      </c>
      <c r="Q263" s="11" t="s">
        <v>34</v>
      </c>
      <c r="R263" s="2">
        <f t="shared" ref="R263:R269" si="127">S263+T263</f>
        <v>2495457.98</v>
      </c>
      <c r="S263" s="2">
        <v>2495457.98</v>
      </c>
      <c r="T263" s="2">
        <v>0</v>
      </c>
      <c r="U263" s="1">
        <f t="shared" si="122"/>
        <v>381658.28</v>
      </c>
      <c r="V263" s="28">
        <v>381658.28</v>
      </c>
      <c r="W263" s="28">
        <v>0</v>
      </c>
      <c r="X263" s="1">
        <f t="shared" si="123"/>
        <v>58716.66</v>
      </c>
      <c r="Y263" s="2">
        <v>58716.66</v>
      </c>
      <c r="Z263" s="2">
        <v>0</v>
      </c>
      <c r="AA263" s="2">
        <f t="shared" si="125"/>
        <v>0</v>
      </c>
      <c r="AB263" s="2">
        <v>0</v>
      </c>
      <c r="AC263" s="2">
        <v>0</v>
      </c>
      <c r="AD263" s="16">
        <f t="shared" si="126"/>
        <v>2935832.92</v>
      </c>
      <c r="AE263" s="2">
        <v>0</v>
      </c>
      <c r="AF263" s="2">
        <f t="shared" si="124"/>
        <v>2935832.92</v>
      </c>
      <c r="AG263" s="38" t="s">
        <v>857</v>
      </c>
      <c r="AH263" s="38" t="s">
        <v>2151</v>
      </c>
      <c r="AI263" s="30">
        <f>55951.7+71473.21+23932.81+846333.53+655578.65+7974.7+25692.95+672613.26+56195.62</f>
        <v>2415746.4299999997</v>
      </c>
      <c r="AJ263" s="30">
        <f>8557.32+10931.2+3660.31+129439.24+100264.97+1219.66+3929.51+102870.26+8594.63</f>
        <v>369467.10000000003</v>
      </c>
    </row>
    <row r="264" spans="1:36" s="43" customFormat="1" ht="175.5" customHeight="1" x14ac:dyDescent="0.25">
      <c r="A264" s="6">
        <v>261</v>
      </c>
      <c r="B264" s="31">
        <v>135154</v>
      </c>
      <c r="C264" s="11">
        <v>800</v>
      </c>
      <c r="D264" s="9" t="s">
        <v>1638</v>
      </c>
      <c r="E264" s="24" t="s">
        <v>1441</v>
      </c>
      <c r="F264" s="31" t="s">
        <v>1480</v>
      </c>
      <c r="G264" s="11" t="s">
        <v>718</v>
      </c>
      <c r="H264" s="8" t="s">
        <v>151</v>
      </c>
      <c r="I264" s="12" t="s">
        <v>2747</v>
      </c>
      <c r="J264" s="25">
        <v>43969</v>
      </c>
      <c r="K264" s="25">
        <v>45278</v>
      </c>
      <c r="L264" s="26">
        <f t="shared" si="120"/>
        <v>85</v>
      </c>
      <c r="M264" s="11">
        <v>3</v>
      </c>
      <c r="N264" s="11" t="s">
        <v>240</v>
      </c>
      <c r="O264" s="11" t="s">
        <v>241</v>
      </c>
      <c r="P264" s="27" t="s">
        <v>174</v>
      </c>
      <c r="Q264" s="11" t="s">
        <v>34</v>
      </c>
      <c r="R264" s="2">
        <f t="shared" si="127"/>
        <v>1599713.6</v>
      </c>
      <c r="S264" s="2">
        <v>1599713.6</v>
      </c>
      <c r="T264" s="2">
        <v>0</v>
      </c>
      <c r="U264" s="1">
        <f t="shared" si="122"/>
        <v>244662.08</v>
      </c>
      <c r="V264" s="28">
        <v>244662.08</v>
      </c>
      <c r="W264" s="28">
        <v>0</v>
      </c>
      <c r="X264" s="1">
        <f t="shared" si="123"/>
        <v>37640.32</v>
      </c>
      <c r="Y264" s="2">
        <v>37640.32</v>
      </c>
      <c r="Z264" s="2">
        <v>0</v>
      </c>
      <c r="AA264" s="2">
        <f t="shared" si="125"/>
        <v>0</v>
      </c>
      <c r="AB264" s="2">
        <v>0</v>
      </c>
      <c r="AC264" s="2">
        <v>0</v>
      </c>
      <c r="AD264" s="16">
        <f t="shared" si="126"/>
        <v>1882016.0000000002</v>
      </c>
      <c r="AE264" s="2">
        <v>0</v>
      </c>
      <c r="AF264" s="2">
        <f t="shared" si="124"/>
        <v>1882016.0000000002</v>
      </c>
      <c r="AG264" s="38" t="s">
        <v>486</v>
      </c>
      <c r="AH264" s="38" t="s">
        <v>1955</v>
      </c>
      <c r="AI264" s="30">
        <v>2551.5</v>
      </c>
      <c r="AJ264" s="30">
        <v>390.23</v>
      </c>
    </row>
    <row r="265" spans="1:36" s="43" customFormat="1" ht="175.5" customHeight="1" x14ac:dyDescent="0.25">
      <c r="A265" s="6">
        <v>262</v>
      </c>
      <c r="B265" s="31">
        <v>135954</v>
      </c>
      <c r="C265" s="11">
        <v>801</v>
      </c>
      <c r="D265" s="9" t="s">
        <v>1638</v>
      </c>
      <c r="E265" s="24" t="s">
        <v>1441</v>
      </c>
      <c r="F265" s="31" t="s">
        <v>1481</v>
      </c>
      <c r="G265" s="11" t="s">
        <v>1482</v>
      </c>
      <c r="H265" s="8" t="s">
        <v>151</v>
      </c>
      <c r="I265" s="12" t="s">
        <v>1483</v>
      </c>
      <c r="J265" s="25">
        <v>43969</v>
      </c>
      <c r="K265" s="25">
        <v>44822</v>
      </c>
      <c r="L265" s="26">
        <f t="shared" si="120"/>
        <v>84.999999779520635</v>
      </c>
      <c r="M265" s="11">
        <v>3</v>
      </c>
      <c r="N265" s="11" t="s">
        <v>240</v>
      </c>
      <c r="O265" s="11" t="s">
        <v>1445</v>
      </c>
      <c r="P265" s="27" t="s">
        <v>174</v>
      </c>
      <c r="Q265" s="11" t="s">
        <v>34</v>
      </c>
      <c r="R265" s="2">
        <f t="shared" si="127"/>
        <v>1927618.01</v>
      </c>
      <c r="S265" s="2">
        <v>1927618.01</v>
      </c>
      <c r="T265" s="2">
        <v>0</v>
      </c>
      <c r="U265" s="1">
        <f t="shared" si="122"/>
        <v>294812.18</v>
      </c>
      <c r="V265" s="28">
        <v>294812.18</v>
      </c>
      <c r="W265" s="28">
        <v>0</v>
      </c>
      <c r="X265" s="1">
        <f t="shared" si="123"/>
        <v>45355.71</v>
      </c>
      <c r="Y265" s="2">
        <v>45355.71</v>
      </c>
      <c r="Z265" s="2">
        <v>0</v>
      </c>
      <c r="AA265" s="2">
        <f t="shared" si="125"/>
        <v>0</v>
      </c>
      <c r="AB265" s="2">
        <v>0</v>
      </c>
      <c r="AC265" s="2">
        <v>0</v>
      </c>
      <c r="AD265" s="16">
        <f t="shared" si="126"/>
        <v>2267785.9</v>
      </c>
      <c r="AE265" s="2">
        <v>0</v>
      </c>
      <c r="AF265" s="2">
        <f t="shared" si="124"/>
        <v>2267785.9</v>
      </c>
      <c r="AG265" s="38" t="s">
        <v>857</v>
      </c>
      <c r="AH265" s="38"/>
      <c r="AI265" s="30">
        <f>11293.7+181280.25+37633.87+137376.76+195420.34+50178.49+328175.1+329900.12</f>
        <v>1271258.6299999999</v>
      </c>
      <c r="AJ265" s="30">
        <f>1727.28+27725.21+5755.77+21010.57+29887.82+7674.36+50191.49+50455.31</f>
        <v>194427.81</v>
      </c>
    </row>
    <row r="266" spans="1:36" s="43" customFormat="1" ht="175.5" customHeight="1" x14ac:dyDescent="0.25">
      <c r="A266" s="6">
        <v>263</v>
      </c>
      <c r="B266" s="31">
        <v>135870</v>
      </c>
      <c r="C266" s="11">
        <v>796</v>
      </c>
      <c r="D266" s="9" t="s">
        <v>1638</v>
      </c>
      <c r="E266" s="24" t="s">
        <v>1441</v>
      </c>
      <c r="F266" s="31" t="s">
        <v>1572</v>
      </c>
      <c r="G266" s="11" t="s">
        <v>1089</v>
      </c>
      <c r="H266" s="8" t="s">
        <v>151</v>
      </c>
      <c r="I266" s="12" t="s">
        <v>1573</v>
      </c>
      <c r="J266" s="25">
        <v>44020</v>
      </c>
      <c r="K266" s="25">
        <v>44993</v>
      </c>
      <c r="L266" s="26">
        <f t="shared" si="120"/>
        <v>85.000000069296306</v>
      </c>
      <c r="M266" s="11">
        <v>3</v>
      </c>
      <c r="N266" s="11" t="s">
        <v>240</v>
      </c>
      <c r="O266" s="11" t="s">
        <v>1090</v>
      </c>
      <c r="P266" s="27" t="s">
        <v>174</v>
      </c>
      <c r="Q266" s="11" t="s">
        <v>34</v>
      </c>
      <c r="R266" s="2">
        <f t="shared" si="127"/>
        <v>3066541.05</v>
      </c>
      <c r="S266" s="2">
        <v>3066541.05</v>
      </c>
      <c r="T266" s="2">
        <v>0</v>
      </c>
      <c r="U266" s="1">
        <f t="shared" si="122"/>
        <v>469000.39</v>
      </c>
      <c r="V266" s="28">
        <v>469000.39</v>
      </c>
      <c r="W266" s="28">
        <v>0</v>
      </c>
      <c r="X266" s="1">
        <f t="shared" si="123"/>
        <v>72153.91</v>
      </c>
      <c r="Y266" s="2">
        <v>72153.91</v>
      </c>
      <c r="Z266" s="2">
        <v>0</v>
      </c>
      <c r="AA266" s="2">
        <f t="shared" si="125"/>
        <v>0</v>
      </c>
      <c r="AB266" s="2">
        <v>0</v>
      </c>
      <c r="AC266" s="2">
        <v>0</v>
      </c>
      <c r="AD266" s="16">
        <f t="shared" si="126"/>
        <v>3607695.35</v>
      </c>
      <c r="AE266" s="2">
        <v>41108.15</v>
      </c>
      <c r="AF266" s="2">
        <f t="shared" si="124"/>
        <v>3648803.5</v>
      </c>
      <c r="AG266" s="38" t="s">
        <v>486</v>
      </c>
      <c r="AH266" s="38" t="s">
        <v>2066</v>
      </c>
      <c r="AI266" s="30">
        <f>71325-8183.89+206458.91+1322240.89-25938.12+160227.55+435956.5+125426</f>
        <v>2287512.84</v>
      </c>
      <c r="AJ266" s="30">
        <f>8183.89+202225.08+25938.12+24505.39+66675.7+19182.8</f>
        <v>346710.98</v>
      </c>
    </row>
    <row r="267" spans="1:36" s="43" customFormat="1" ht="175.5" customHeight="1" x14ac:dyDescent="0.25">
      <c r="A267" s="6">
        <v>264</v>
      </c>
      <c r="B267" s="31">
        <v>152191</v>
      </c>
      <c r="C267" s="11">
        <v>1140</v>
      </c>
      <c r="D267" s="9" t="s">
        <v>1639</v>
      </c>
      <c r="E267" s="24" t="s">
        <v>1801</v>
      </c>
      <c r="F267" s="31" t="s">
        <v>1942</v>
      </c>
      <c r="G267" s="11" t="s">
        <v>1134</v>
      </c>
      <c r="H267" s="8" t="s">
        <v>151</v>
      </c>
      <c r="I267" s="12" t="s">
        <v>2748</v>
      </c>
      <c r="J267" s="25">
        <v>44550</v>
      </c>
      <c r="K267" s="25">
        <v>45036</v>
      </c>
      <c r="L267" s="26">
        <f t="shared" si="120"/>
        <v>85.000000261000835</v>
      </c>
      <c r="M267" s="11">
        <v>3</v>
      </c>
      <c r="N267" s="11" t="s">
        <v>240</v>
      </c>
      <c r="O267" s="11" t="s">
        <v>391</v>
      </c>
      <c r="P267" s="27" t="s">
        <v>174</v>
      </c>
      <c r="Q267" s="11" t="s">
        <v>34</v>
      </c>
      <c r="R267" s="2">
        <f t="shared" si="127"/>
        <v>325669.46000000002</v>
      </c>
      <c r="S267" s="2">
        <v>325669.46000000002</v>
      </c>
      <c r="T267" s="2">
        <v>0</v>
      </c>
      <c r="U267" s="1">
        <f t="shared" si="122"/>
        <v>49808.27</v>
      </c>
      <c r="V267" s="28">
        <v>49808.27</v>
      </c>
      <c r="W267" s="28">
        <v>0</v>
      </c>
      <c r="X267" s="1">
        <f t="shared" si="123"/>
        <v>7662.81</v>
      </c>
      <c r="Y267" s="2">
        <v>7662.81</v>
      </c>
      <c r="Z267" s="2">
        <v>0</v>
      </c>
      <c r="AA267" s="2">
        <f t="shared" si="125"/>
        <v>0</v>
      </c>
      <c r="AB267" s="2">
        <v>0</v>
      </c>
      <c r="AC267" s="2">
        <v>0</v>
      </c>
      <c r="AD267" s="16">
        <f t="shared" si="126"/>
        <v>383140.54000000004</v>
      </c>
      <c r="AE267" s="2">
        <v>0</v>
      </c>
      <c r="AF267" s="2">
        <f t="shared" si="124"/>
        <v>383140.54000000004</v>
      </c>
      <c r="AG267" s="38" t="s">
        <v>486</v>
      </c>
      <c r="AH267" s="35"/>
      <c r="AI267" s="30">
        <v>3774.85</v>
      </c>
      <c r="AJ267" s="30">
        <v>577.33000000000004</v>
      </c>
    </row>
    <row r="268" spans="1:36" s="43" customFormat="1" ht="175.5" customHeight="1" x14ac:dyDescent="0.25">
      <c r="A268" s="6">
        <v>265</v>
      </c>
      <c r="B268" s="31">
        <v>152216</v>
      </c>
      <c r="C268" s="11">
        <v>1145</v>
      </c>
      <c r="D268" s="9" t="s">
        <v>1639</v>
      </c>
      <c r="E268" s="24" t="s">
        <v>1801</v>
      </c>
      <c r="F268" s="31" t="s">
        <v>1979</v>
      </c>
      <c r="G268" s="11" t="s">
        <v>1482</v>
      </c>
      <c r="H268" s="11" t="s">
        <v>1924</v>
      </c>
      <c r="I268" s="12" t="s">
        <v>2749</v>
      </c>
      <c r="J268" s="25">
        <v>44596</v>
      </c>
      <c r="K268" s="25">
        <v>44989</v>
      </c>
      <c r="L268" s="26">
        <f t="shared" si="120"/>
        <v>84.999996304339746</v>
      </c>
      <c r="M268" s="11">
        <v>3</v>
      </c>
      <c r="N268" s="11" t="s">
        <v>240</v>
      </c>
      <c r="O268" s="11" t="s">
        <v>241</v>
      </c>
      <c r="P268" s="27" t="s">
        <v>174</v>
      </c>
      <c r="Q268" s="11" t="s">
        <v>34</v>
      </c>
      <c r="R268" s="2">
        <f t="shared" si="127"/>
        <v>264499.40999999997</v>
      </c>
      <c r="S268" s="2">
        <v>264499.40999999997</v>
      </c>
      <c r="T268" s="2">
        <v>0</v>
      </c>
      <c r="U268" s="1">
        <f t="shared" si="122"/>
        <v>36623.68</v>
      </c>
      <c r="V268" s="28">
        <v>36623.68</v>
      </c>
      <c r="W268" s="28">
        <v>0</v>
      </c>
      <c r="X268" s="1">
        <f t="shared" si="123"/>
        <v>10052.700000000001</v>
      </c>
      <c r="Y268" s="2">
        <v>10052.700000000001</v>
      </c>
      <c r="Z268" s="2">
        <v>0</v>
      </c>
      <c r="AA268" s="2">
        <f t="shared" si="125"/>
        <v>0</v>
      </c>
      <c r="AB268" s="2">
        <v>0</v>
      </c>
      <c r="AC268" s="2">
        <v>0</v>
      </c>
      <c r="AD268" s="16">
        <f t="shared" si="126"/>
        <v>311175.78999999998</v>
      </c>
      <c r="AE268" s="2">
        <v>0</v>
      </c>
      <c r="AF268" s="2">
        <f t="shared" si="124"/>
        <v>311175.78999999998</v>
      </c>
      <c r="AG268" s="38" t="s">
        <v>486</v>
      </c>
      <c r="AH268" s="35"/>
      <c r="AI268" s="30">
        <f>2486.43</f>
        <v>2486.4299999999998</v>
      </c>
      <c r="AJ268" s="30">
        <v>69.62</v>
      </c>
    </row>
    <row r="269" spans="1:36" s="43" customFormat="1" ht="175.5" customHeight="1" x14ac:dyDescent="0.25">
      <c r="A269" s="6">
        <v>266</v>
      </c>
      <c r="B269" s="31">
        <v>154717</v>
      </c>
      <c r="C269" s="11">
        <v>1233</v>
      </c>
      <c r="D269" s="9" t="s">
        <v>1638</v>
      </c>
      <c r="E269" s="24" t="s">
        <v>2014</v>
      </c>
      <c r="F269" s="31" t="s">
        <v>2031</v>
      </c>
      <c r="G269" s="11" t="s">
        <v>1482</v>
      </c>
      <c r="H269" s="8" t="s">
        <v>151</v>
      </c>
      <c r="I269" s="12" t="s">
        <v>2750</v>
      </c>
      <c r="J269" s="25">
        <v>44637</v>
      </c>
      <c r="K269" s="25">
        <v>45124</v>
      </c>
      <c r="L269" s="26">
        <f t="shared" si="120"/>
        <v>85</v>
      </c>
      <c r="M269" s="11">
        <v>3</v>
      </c>
      <c r="N269" s="11" t="s">
        <v>240</v>
      </c>
      <c r="O269" s="11" t="s">
        <v>241</v>
      </c>
      <c r="P269" s="27" t="s">
        <v>174</v>
      </c>
      <c r="Q269" s="11" t="s">
        <v>34</v>
      </c>
      <c r="R269" s="2">
        <f t="shared" si="127"/>
        <v>2453899</v>
      </c>
      <c r="S269" s="2">
        <v>2453899</v>
      </c>
      <c r="T269" s="2">
        <v>0</v>
      </c>
      <c r="U269" s="1">
        <f t="shared" si="122"/>
        <v>375302.2</v>
      </c>
      <c r="V269" s="28">
        <v>375302.2</v>
      </c>
      <c r="W269" s="28">
        <v>0</v>
      </c>
      <c r="X269" s="1">
        <f t="shared" si="123"/>
        <v>57738.8</v>
      </c>
      <c r="Y269" s="2">
        <v>57738.8</v>
      </c>
      <c r="Z269" s="2">
        <v>0</v>
      </c>
      <c r="AA269" s="2">
        <v>0</v>
      </c>
      <c r="AB269" s="2">
        <v>0</v>
      </c>
      <c r="AC269" s="2">
        <v>0</v>
      </c>
      <c r="AD269" s="16">
        <f t="shared" si="126"/>
        <v>2886940</v>
      </c>
      <c r="AE269" s="2">
        <v>0</v>
      </c>
      <c r="AF269" s="2">
        <f t="shared" si="124"/>
        <v>2886940</v>
      </c>
      <c r="AG269" s="38" t="s">
        <v>486</v>
      </c>
      <c r="AH269" s="35"/>
      <c r="AI269" s="30">
        <v>0</v>
      </c>
      <c r="AJ269" s="30">
        <v>0</v>
      </c>
    </row>
    <row r="270" spans="1:36" s="179" customFormat="1" ht="155.25" customHeight="1" x14ac:dyDescent="0.25">
      <c r="A270" s="6">
        <v>267</v>
      </c>
      <c r="B270" s="11">
        <v>128275</v>
      </c>
      <c r="C270" s="11">
        <v>636</v>
      </c>
      <c r="D270" s="9" t="s">
        <v>1638</v>
      </c>
      <c r="E270" s="32" t="s">
        <v>1071</v>
      </c>
      <c r="F270" s="27" t="s">
        <v>1104</v>
      </c>
      <c r="G270" s="27" t="s">
        <v>1565</v>
      </c>
      <c r="H270" s="8" t="s">
        <v>151</v>
      </c>
      <c r="I270" s="32" t="s">
        <v>2751</v>
      </c>
      <c r="J270" s="25">
        <v>43629</v>
      </c>
      <c r="K270" s="25">
        <v>44360</v>
      </c>
      <c r="L270" s="26">
        <f>R270/AD270*100</f>
        <v>85.000000189128897</v>
      </c>
      <c r="M270" s="11">
        <v>1</v>
      </c>
      <c r="N270" s="11" t="s">
        <v>361</v>
      </c>
      <c r="O270" s="11" t="s">
        <v>1916</v>
      </c>
      <c r="P270" s="11" t="s">
        <v>174</v>
      </c>
      <c r="Q270" s="11" t="s">
        <v>34</v>
      </c>
      <c r="R270" s="2">
        <f>S270+T270</f>
        <v>2247144.58</v>
      </c>
      <c r="S270" s="30">
        <v>2247144.58</v>
      </c>
      <c r="T270" s="30">
        <v>0</v>
      </c>
      <c r="U270" s="1">
        <f t="shared" ref="U270:U286" si="128">V270+W270</f>
        <v>343680.93</v>
      </c>
      <c r="V270" s="42">
        <v>343680.93</v>
      </c>
      <c r="W270" s="42">
        <v>0</v>
      </c>
      <c r="X270" s="1">
        <f t="shared" ref="X270:X286" si="129">Y270+Z270</f>
        <v>52873.99</v>
      </c>
      <c r="Y270" s="30">
        <v>52873.99</v>
      </c>
      <c r="Z270" s="110">
        <v>0</v>
      </c>
      <c r="AA270" s="37">
        <f>AB270+AC270</f>
        <v>0</v>
      </c>
      <c r="AB270" s="30">
        <v>0</v>
      </c>
      <c r="AC270" s="110">
        <v>0</v>
      </c>
      <c r="AD270" s="16">
        <f t="shared" si="126"/>
        <v>2643699.5000000005</v>
      </c>
      <c r="AE270" s="10">
        <v>0</v>
      </c>
      <c r="AF270" s="2">
        <f>AD270+AE270</f>
        <v>2643699.5000000005</v>
      </c>
      <c r="AG270" s="38" t="s">
        <v>857</v>
      </c>
      <c r="AH270" s="35"/>
      <c r="AI270" s="30">
        <f>116746.84+110612.24+605723.6+756305.01</f>
        <v>1589387.69</v>
      </c>
      <c r="AJ270" s="30">
        <f>11751.31+6104.09+16917.17+92640.08+115670.18</f>
        <v>243082.83</v>
      </c>
    </row>
    <row r="271" spans="1:36" s="179" customFormat="1" ht="155.25" customHeight="1" x14ac:dyDescent="0.25">
      <c r="A271" s="6">
        <v>268</v>
      </c>
      <c r="B271" s="11">
        <v>136247</v>
      </c>
      <c r="C271" s="11">
        <v>837</v>
      </c>
      <c r="D271" s="9" t="s">
        <v>1638</v>
      </c>
      <c r="E271" s="24" t="s">
        <v>1441</v>
      </c>
      <c r="F271" s="27" t="s">
        <v>1508</v>
      </c>
      <c r="G271" s="27" t="s">
        <v>1509</v>
      </c>
      <c r="H271" s="8" t="s">
        <v>151</v>
      </c>
      <c r="I271" s="32" t="s">
        <v>1510</v>
      </c>
      <c r="J271" s="25">
        <v>43973</v>
      </c>
      <c r="K271" s="25">
        <v>45068</v>
      </c>
      <c r="L271" s="26">
        <f>R271/AD271*100</f>
        <v>85</v>
      </c>
      <c r="M271" s="11">
        <v>1</v>
      </c>
      <c r="N271" s="11" t="s">
        <v>361</v>
      </c>
      <c r="O271" s="11" t="s">
        <v>361</v>
      </c>
      <c r="P271" s="27" t="s">
        <v>174</v>
      </c>
      <c r="Q271" s="11" t="s">
        <v>34</v>
      </c>
      <c r="R271" s="2">
        <f>S271+T271</f>
        <v>3008302.15</v>
      </c>
      <c r="S271" s="30">
        <v>3008302.15</v>
      </c>
      <c r="T271" s="30">
        <v>0</v>
      </c>
      <c r="U271" s="1">
        <f t="shared" si="128"/>
        <v>460093.27</v>
      </c>
      <c r="V271" s="42">
        <v>460093.27</v>
      </c>
      <c r="W271" s="42">
        <v>0</v>
      </c>
      <c r="X271" s="1">
        <f t="shared" si="129"/>
        <v>70783.58</v>
      </c>
      <c r="Y271" s="30">
        <v>70783.58</v>
      </c>
      <c r="Z271" s="110">
        <v>0</v>
      </c>
      <c r="AA271" s="37">
        <f>AB271+AC271</f>
        <v>0</v>
      </c>
      <c r="AB271" s="30">
        <v>0</v>
      </c>
      <c r="AC271" s="110">
        <v>0</v>
      </c>
      <c r="AD271" s="16">
        <f t="shared" si="126"/>
        <v>3539179</v>
      </c>
      <c r="AE271" s="10">
        <v>0</v>
      </c>
      <c r="AF271" s="2">
        <f>AD271+AE271</f>
        <v>3539179</v>
      </c>
      <c r="AG271" s="38" t="s">
        <v>486</v>
      </c>
      <c r="AH271" s="38" t="s">
        <v>3192</v>
      </c>
      <c r="AI271" s="30">
        <f>19875.98+34896.75+73158.18+152403.77+53734.93+439385.48+169587.21+184895.54</f>
        <v>1127937.8399999999</v>
      </c>
      <c r="AJ271" s="30">
        <f>3039.85+5337.15+11188.9+23308.81+8218.28+67200.13+25936.87+28278.14</f>
        <v>172508.13</v>
      </c>
    </row>
    <row r="272" spans="1:36" s="179" customFormat="1" ht="155.25" customHeight="1" x14ac:dyDescent="0.25">
      <c r="A272" s="6">
        <v>269</v>
      </c>
      <c r="B272" s="11">
        <v>136308</v>
      </c>
      <c r="C272" s="11">
        <v>841</v>
      </c>
      <c r="D272" s="9" t="s">
        <v>1638</v>
      </c>
      <c r="E272" s="24" t="s">
        <v>1441</v>
      </c>
      <c r="F272" s="27" t="s">
        <v>1566</v>
      </c>
      <c r="G272" s="27" t="s">
        <v>1565</v>
      </c>
      <c r="H272" s="8" t="s">
        <v>151</v>
      </c>
      <c r="I272" s="32" t="s">
        <v>2752</v>
      </c>
      <c r="J272" s="25">
        <v>44014</v>
      </c>
      <c r="K272" s="25">
        <v>44928</v>
      </c>
      <c r="L272" s="26">
        <f>R272/AD272*100</f>
        <v>85.000000279577478</v>
      </c>
      <c r="M272" s="11">
        <v>1</v>
      </c>
      <c r="N272" s="11" t="s">
        <v>361</v>
      </c>
      <c r="O272" s="11" t="s">
        <v>1916</v>
      </c>
      <c r="P272" s="27" t="s">
        <v>174</v>
      </c>
      <c r="Q272" s="11" t="s">
        <v>34</v>
      </c>
      <c r="R272" s="2">
        <f>S272+T272</f>
        <v>3040302.11</v>
      </c>
      <c r="S272" s="30">
        <v>3040302.11</v>
      </c>
      <c r="T272" s="30">
        <v>0</v>
      </c>
      <c r="U272" s="1">
        <f t="shared" si="128"/>
        <v>464987.37</v>
      </c>
      <c r="V272" s="42">
        <v>464987.37</v>
      </c>
      <c r="W272" s="42">
        <v>0</v>
      </c>
      <c r="X272" s="1">
        <f t="shared" si="129"/>
        <v>71536.52</v>
      </c>
      <c r="Y272" s="30">
        <v>71536.52</v>
      </c>
      <c r="Z272" s="110">
        <v>0</v>
      </c>
      <c r="AA272" s="37">
        <f>AB272+AC272</f>
        <v>0</v>
      </c>
      <c r="AB272" s="30">
        <v>0</v>
      </c>
      <c r="AC272" s="110">
        <v>0</v>
      </c>
      <c r="AD272" s="16">
        <f t="shared" si="126"/>
        <v>3576826</v>
      </c>
      <c r="AE272" s="10">
        <v>0</v>
      </c>
      <c r="AF272" s="2">
        <f>AD272+AE272</f>
        <v>3576826</v>
      </c>
      <c r="AG272" s="38" t="s">
        <v>486</v>
      </c>
      <c r="AH272" s="35"/>
      <c r="AI272" s="30">
        <f>40833.14+449354.4</f>
        <v>490187.54000000004</v>
      </c>
      <c r="AJ272" s="30">
        <f>6245.07+68724.79</f>
        <v>74969.859999999986</v>
      </c>
    </row>
    <row r="273" spans="1:36" s="179" customFormat="1" ht="155.25" customHeight="1" x14ac:dyDescent="0.25">
      <c r="A273" s="6">
        <v>270</v>
      </c>
      <c r="B273" s="11">
        <v>154770</v>
      </c>
      <c r="C273" s="11">
        <v>1253</v>
      </c>
      <c r="D273" s="9" t="s">
        <v>1638</v>
      </c>
      <c r="E273" s="24" t="s">
        <v>2014</v>
      </c>
      <c r="F273" s="27" t="s">
        <v>2189</v>
      </c>
      <c r="G273" s="27" t="s">
        <v>1509</v>
      </c>
      <c r="H273" s="8" t="s">
        <v>151</v>
      </c>
      <c r="I273" s="32" t="s">
        <v>2753</v>
      </c>
      <c r="J273" s="25">
        <v>44685</v>
      </c>
      <c r="K273" s="25">
        <v>45173</v>
      </c>
      <c r="L273" s="26">
        <f>R273/AD273*100</f>
        <v>85</v>
      </c>
      <c r="M273" s="11">
        <v>1</v>
      </c>
      <c r="N273" s="11" t="s">
        <v>361</v>
      </c>
      <c r="O273" s="11" t="s">
        <v>361</v>
      </c>
      <c r="P273" s="27" t="s">
        <v>174</v>
      </c>
      <c r="Q273" s="11" t="s">
        <v>34</v>
      </c>
      <c r="R273" s="2">
        <f>S273+T273</f>
        <v>2547421.44</v>
      </c>
      <c r="S273" s="30">
        <v>2547421.44</v>
      </c>
      <c r="T273" s="30">
        <v>0</v>
      </c>
      <c r="U273" s="1">
        <f t="shared" si="128"/>
        <v>389605.63</v>
      </c>
      <c r="V273" s="42">
        <v>389605.63</v>
      </c>
      <c r="W273" s="42">
        <v>0</v>
      </c>
      <c r="X273" s="1">
        <f t="shared" si="129"/>
        <v>59939.33</v>
      </c>
      <c r="Y273" s="30">
        <v>59939.33</v>
      </c>
      <c r="Z273" s="110">
        <v>0</v>
      </c>
      <c r="AA273" s="37">
        <f>AB273+AC273</f>
        <v>0</v>
      </c>
      <c r="AB273" s="30">
        <v>0</v>
      </c>
      <c r="AC273" s="110">
        <v>0</v>
      </c>
      <c r="AD273" s="16">
        <f t="shared" si="126"/>
        <v>2996966.4</v>
      </c>
      <c r="AE273" s="10">
        <v>0</v>
      </c>
      <c r="AF273" s="2">
        <f>AD273+AE273</f>
        <v>2996966.4</v>
      </c>
      <c r="AG273" s="38" t="s">
        <v>486</v>
      </c>
      <c r="AH273" s="35"/>
      <c r="AI273" s="30">
        <v>85000</v>
      </c>
      <c r="AJ273" s="30">
        <v>13000</v>
      </c>
    </row>
    <row r="274" spans="1:36" s="179" customFormat="1" ht="155.25" customHeight="1" x14ac:dyDescent="0.25">
      <c r="A274" s="6">
        <v>271</v>
      </c>
      <c r="B274" s="11">
        <v>154816</v>
      </c>
      <c r="C274" s="11">
        <v>1192</v>
      </c>
      <c r="D274" s="9" t="s">
        <v>1638</v>
      </c>
      <c r="E274" s="24" t="s">
        <v>2014</v>
      </c>
      <c r="F274" s="27" t="s">
        <v>2226</v>
      </c>
      <c r="G274" s="27" t="s">
        <v>2225</v>
      </c>
      <c r="H274" s="8" t="s">
        <v>151</v>
      </c>
      <c r="I274" s="32" t="s">
        <v>2754</v>
      </c>
      <c r="J274" s="25">
        <v>44706</v>
      </c>
      <c r="K274" s="25">
        <v>45194</v>
      </c>
      <c r="L274" s="26">
        <f>R274/AD274*100</f>
        <v>84.999999807530244</v>
      </c>
      <c r="M274" s="11">
        <v>1</v>
      </c>
      <c r="N274" s="11" t="s">
        <v>361</v>
      </c>
      <c r="O274" s="11" t="s">
        <v>361</v>
      </c>
      <c r="P274" s="27" t="s">
        <v>174</v>
      </c>
      <c r="Q274" s="11" t="s">
        <v>34</v>
      </c>
      <c r="R274" s="2">
        <f>S274+T274</f>
        <v>1766511.34</v>
      </c>
      <c r="S274" s="30">
        <v>1766511.34</v>
      </c>
      <c r="T274" s="30">
        <v>0</v>
      </c>
      <c r="U274" s="1">
        <f t="shared" si="128"/>
        <v>270172.33</v>
      </c>
      <c r="V274" s="42">
        <v>270172.33</v>
      </c>
      <c r="W274" s="42">
        <v>0</v>
      </c>
      <c r="X274" s="1">
        <f t="shared" si="129"/>
        <v>41564.97</v>
      </c>
      <c r="Y274" s="30">
        <v>41564.97</v>
      </c>
      <c r="Z274" s="110">
        <v>0</v>
      </c>
      <c r="AA274" s="37">
        <f>AB274+AC274</f>
        <v>0</v>
      </c>
      <c r="AB274" s="30">
        <v>0</v>
      </c>
      <c r="AC274" s="110">
        <v>0</v>
      </c>
      <c r="AD274" s="16">
        <f t="shared" si="126"/>
        <v>2078248.6400000001</v>
      </c>
      <c r="AE274" s="10">
        <v>0</v>
      </c>
      <c r="AF274" s="2">
        <f>AD274+AE274</f>
        <v>2078248.6400000001</v>
      </c>
      <c r="AG274" s="38" t="s">
        <v>486</v>
      </c>
      <c r="AH274" s="35"/>
      <c r="AI274" s="30">
        <v>0</v>
      </c>
      <c r="AJ274" s="30">
        <v>0</v>
      </c>
    </row>
    <row r="275" spans="1:36" s="179" customFormat="1" ht="270" customHeight="1" x14ac:dyDescent="0.25">
      <c r="A275" s="6">
        <v>272</v>
      </c>
      <c r="B275" s="11">
        <v>119895</v>
      </c>
      <c r="C275" s="11">
        <v>458</v>
      </c>
      <c r="D275" s="9" t="s">
        <v>1638</v>
      </c>
      <c r="E275" s="32" t="s">
        <v>682</v>
      </c>
      <c r="F275" s="27" t="s">
        <v>689</v>
      </c>
      <c r="G275" s="27" t="s">
        <v>690</v>
      </c>
      <c r="H275" s="8" t="s">
        <v>151</v>
      </c>
      <c r="I275" s="32" t="s">
        <v>2755</v>
      </c>
      <c r="J275" s="25">
        <v>43312</v>
      </c>
      <c r="K275" s="25">
        <v>43861</v>
      </c>
      <c r="L275" s="26">
        <f>R275/AD275*100</f>
        <v>79.999998251321642</v>
      </c>
      <c r="M275" s="11">
        <v>8</v>
      </c>
      <c r="N275" s="11" t="s">
        <v>691</v>
      </c>
      <c r="O275" s="11" t="s">
        <v>691</v>
      </c>
      <c r="P275" s="11" t="s">
        <v>174</v>
      </c>
      <c r="Q275" s="11" t="s">
        <v>34</v>
      </c>
      <c r="R275" s="2">
        <f>S275+T275</f>
        <v>457488.35</v>
      </c>
      <c r="S275" s="111">
        <v>0</v>
      </c>
      <c r="T275" s="57">
        <v>457488.35</v>
      </c>
      <c r="U275" s="1">
        <f t="shared" si="128"/>
        <v>102934.89</v>
      </c>
      <c r="V275" s="87">
        <v>0</v>
      </c>
      <c r="W275" s="52">
        <v>102934.89</v>
      </c>
      <c r="X275" s="1">
        <f t="shared" si="129"/>
        <v>11437.21</v>
      </c>
      <c r="Y275" s="57">
        <v>0</v>
      </c>
      <c r="Z275" s="112">
        <v>11437.21</v>
      </c>
      <c r="AA275" s="2">
        <f>AB275+AC275</f>
        <v>0</v>
      </c>
      <c r="AB275" s="57">
        <v>0</v>
      </c>
      <c r="AC275" s="112">
        <v>0</v>
      </c>
      <c r="AD275" s="16">
        <f t="shared" si="126"/>
        <v>571860.44999999995</v>
      </c>
      <c r="AE275" s="2">
        <v>0</v>
      </c>
      <c r="AF275" s="2">
        <f>AD275+AE275</f>
        <v>571860.44999999995</v>
      </c>
      <c r="AG275" s="38" t="s">
        <v>857</v>
      </c>
      <c r="AH275" s="38" t="s">
        <v>1393</v>
      </c>
      <c r="AI275" s="30">
        <v>446392.8</v>
      </c>
      <c r="AJ275" s="30">
        <v>100438.38</v>
      </c>
    </row>
    <row r="276" spans="1:36" s="179" customFormat="1" ht="142.5" customHeight="1" x14ac:dyDescent="0.25">
      <c r="A276" s="6">
        <v>273</v>
      </c>
      <c r="B276" s="31">
        <v>126391</v>
      </c>
      <c r="C276" s="11">
        <v>508</v>
      </c>
      <c r="D276" s="9" t="s">
        <v>1638</v>
      </c>
      <c r="E276" s="11" t="s">
        <v>903</v>
      </c>
      <c r="F276" s="11" t="s">
        <v>943</v>
      </c>
      <c r="G276" s="27" t="s">
        <v>690</v>
      </c>
      <c r="H276" s="8" t="s">
        <v>151</v>
      </c>
      <c r="I276" s="32" t="s">
        <v>2756</v>
      </c>
      <c r="J276" s="25">
        <v>43452</v>
      </c>
      <c r="K276" s="25">
        <v>45217</v>
      </c>
      <c r="L276" s="26">
        <f>R276/AD276*100</f>
        <v>80.000000098352359</v>
      </c>
      <c r="M276" s="11">
        <v>8</v>
      </c>
      <c r="N276" s="11" t="s">
        <v>691</v>
      </c>
      <c r="O276" s="11" t="s">
        <v>691</v>
      </c>
      <c r="P276" s="11" t="s">
        <v>174</v>
      </c>
      <c r="Q276" s="11" t="s">
        <v>34</v>
      </c>
      <c r="R276" s="2">
        <f>S276+T276</f>
        <v>1626803.97</v>
      </c>
      <c r="S276" s="113">
        <v>0</v>
      </c>
      <c r="T276" s="114">
        <v>1626803.97</v>
      </c>
      <c r="U276" s="1">
        <f t="shared" si="128"/>
        <v>366030.89</v>
      </c>
      <c r="V276" s="42">
        <v>0</v>
      </c>
      <c r="W276" s="42">
        <v>366030.89</v>
      </c>
      <c r="X276" s="1">
        <f t="shared" si="129"/>
        <v>40670.1</v>
      </c>
      <c r="Y276" s="30">
        <v>0</v>
      </c>
      <c r="Z276" s="30">
        <v>40670.1</v>
      </c>
      <c r="AA276" s="2">
        <f>AB276+AC276</f>
        <v>0</v>
      </c>
      <c r="AB276" s="30">
        <v>0</v>
      </c>
      <c r="AC276" s="30">
        <v>0</v>
      </c>
      <c r="AD276" s="16">
        <f t="shared" si="126"/>
        <v>2033504.96</v>
      </c>
      <c r="AE276" s="37">
        <v>624652.74</v>
      </c>
      <c r="AF276" s="2">
        <f>AD276+AE276</f>
        <v>2658157.7000000002</v>
      </c>
      <c r="AG276" s="38" t="s">
        <v>486</v>
      </c>
      <c r="AH276" s="38" t="s">
        <v>2046</v>
      </c>
      <c r="AI276" s="30">
        <f>5712+189782.66</f>
        <v>195494.66</v>
      </c>
      <c r="AJ276" s="30">
        <f>1285.2+10217.34</f>
        <v>11502.54</v>
      </c>
    </row>
    <row r="277" spans="1:36" s="179" customFormat="1" ht="142.5" customHeight="1" x14ac:dyDescent="0.25">
      <c r="A277" s="6">
        <v>274</v>
      </c>
      <c r="B277" s="31">
        <v>128946</v>
      </c>
      <c r="C277" s="11">
        <v>654</v>
      </c>
      <c r="D277" s="9" t="s">
        <v>1638</v>
      </c>
      <c r="E277" s="11" t="s">
        <v>1116</v>
      </c>
      <c r="F277" s="11" t="s">
        <v>1157</v>
      </c>
      <c r="G277" s="27" t="s">
        <v>690</v>
      </c>
      <c r="H277" s="8" t="s">
        <v>151</v>
      </c>
      <c r="I277" s="32" t="s">
        <v>2757</v>
      </c>
      <c r="J277" s="25">
        <v>43657</v>
      </c>
      <c r="K277" s="25">
        <v>44388</v>
      </c>
      <c r="L277" s="26">
        <f>R277/AD277*100</f>
        <v>80</v>
      </c>
      <c r="M277" s="11">
        <v>8</v>
      </c>
      <c r="N277" s="11" t="s">
        <v>691</v>
      </c>
      <c r="O277" s="11" t="s">
        <v>691</v>
      </c>
      <c r="P277" s="11" t="s">
        <v>174</v>
      </c>
      <c r="Q277" s="11" t="s">
        <v>34</v>
      </c>
      <c r="R277" s="2">
        <f>S277+T277</f>
        <v>271938.8</v>
      </c>
      <c r="S277" s="30">
        <v>0</v>
      </c>
      <c r="T277" s="30">
        <v>271938.8</v>
      </c>
      <c r="U277" s="1">
        <f t="shared" si="128"/>
        <v>61186.239999999998</v>
      </c>
      <c r="V277" s="42">
        <v>0</v>
      </c>
      <c r="W277" s="42">
        <v>61186.239999999998</v>
      </c>
      <c r="X277" s="1">
        <f t="shared" si="129"/>
        <v>6798.46</v>
      </c>
      <c r="Y277" s="30">
        <v>0</v>
      </c>
      <c r="Z277" s="30">
        <v>6798.46</v>
      </c>
      <c r="AA277" s="2">
        <f>AB277+AC277</f>
        <v>0</v>
      </c>
      <c r="AB277" s="30">
        <v>0</v>
      </c>
      <c r="AC277" s="30">
        <v>0</v>
      </c>
      <c r="AD277" s="16">
        <f t="shared" si="126"/>
        <v>339923.5</v>
      </c>
      <c r="AE277" s="37">
        <v>0</v>
      </c>
      <c r="AF277" s="2">
        <f>AD277+AE277</f>
        <v>339923.5</v>
      </c>
      <c r="AG277" s="38" t="s">
        <v>857</v>
      </c>
      <c r="AH277" s="38" t="s">
        <v>1677</v>
      </c>
      <c r="AI277" s="30">
        <v>233696.12</v>
      </c>
      <c r="AJ277" s="30">
        <f>3403.11+5524.39+16107.84+27546.29</f>
        <v>52581.630000000005</v>
      </c>
    </row>
    <row r="278" spans="1:36" s="179" customFormat="1" ht="142.5" customHeight="1" x14ac:dyDescent="0.25">
      <c r="A278" s="6">
        <v>275</v>
      </c>
      <c r="B278" s="31">
        <v>151869</v>
      </c>
      <c r="C278" s="11">
        <v>1149</v>
      </c>
      <c r="D278" s="9" t="s">
        <v>1639</v>
      </c>
      <c r="E278" s="24" t="s">
        <v>1990</v>
      </c>
      <c r="F278" s="11" t="s">
        <v>2003</v>
      </c>
      <c r="G278" s="27" t="s">
        <v>690</v>
      </c>
      <c r="H278" s="11" t="s">
        <v>2002</v>
      </c>
      <c r="I278" s="32" t="s">
        <v>2758</v>
      </c>
      <c r="J278" s="25">
        <v>44622</v>
      </c>
      <c r="K278" s="25">
        <v>45048</v>
      </c>
      <c r="L278" s="26">
        <f>R278/AD278*100</f>
        <v>79.999999025496976</v>
      </c>
      <c r="M278" s="11">
        <v>8</v>
      </c>
      <c r="N278" s="11" t="s">
        <v>691</v>
      </c>
      <c r="O278" s="11" t="s">
        <v>691</v>
      </c>
      <c r="P278" s="11" t="s">
        <v>174</v>
      </c>
      <c r="Q278" s="11" t="s">
        <v>34</v>
      </c>
      <c r="R278" s="2">
        <f>S278+T278</f>
        <v>328372.5</v>
      </c>
      <c r="S278" s="30">
        <v>0</v>
      </c>
      <c r="T278" s="30">
        <v>328372.5</v>
      </c>
      <c r="U278" s="1">
        <f t="shared" si="128"/>
        <v>57298.5</v>
      </c>
      <c r="V278" s="42">
        <v>0</v>
      </c>
      <c r="W278" s="42">
        <v>57298.5</v>
      </c>
      <c r="X278" s="1">
        <f t="shared" si="129"/>
        <v>24794.629999999997</v>
      </c>
      <c r="Y278" s="30">
        <v>0</v>
      </c>
      <c r="Z278" s="30">
        <v>24794.629999999997</v>
      </c>
      <c r="AA278" s="2">
        <f>AB278+AC278</f>
        <v>0</v>
      </c>
      <c r="AB278" s="30">
        <v>0</v>
      </c>
      <c r="AC278" s="30">
        <v>0</v>
      </c>
      <c r="AD278" s="16">
        <f t="shared" si="126"/>
        <v>410465.63</v>
      </c>
      <c r="AE278" s="37">
        <v>0</v>
      </c>
      <c r="AF278" s="2">
        <f>AD278+AE278</f>
        <v>410465.63</v>
      </c>
      <c r="AG278" s="38" t="s">
        <v>486</v>
      </c>
      <c r="AH278" s="35"/>
      <c r="AI278" s="30">
        <v>31832.5</v>
      </c>
      <c r="AJ278" s="30">
        <v>0</v>
      </c>
    </row>
    <row r="279" spans="1:36" s="179" customFormat="1" ht="109.5" customHeight="1" x14ac:dyDescent="0.25">
      <c r="A279" s="6">
        <v>276</v>
      </c>
      <c r="B279" s="31">
        <v>154552</v>
      </c>
      <c r="C279" s="11">
        <v>1254</v>
      </c>
      <c r="D279" s="9" t="s">
        <v>1638</v>
      </c>
      <c r="E279" s="24" t="s">
        <v>2106</v>
      </c>
      <c r="F279" s="11" t="s">
        <v>2249</v>
      </c>
      <c r="G279" s="27" t="s">
        <v>690</v>
      </c>
      <c r="H279" s="11" t="s">
        <v>2250</v>
      </c>
      <c r="I279" s="32" t="s">
        <v>2759</v>
      </c>
      <c r="J279" s="25">
        <v>44719</v>
      </c>
      <c r="K279" s="25">
        <v>45206</v>
      </c>
      <c r="L279" s="26">
        <f>R279/AD279*100</f>
        <v>80.000000066683114</v>
      </c>
      <c r="M279" s="11">
        <v>8</v>
      </c>
      <c r="N279" s="11" t="s">
        <v>691</v>
      </c>
      <c r="O279" s="11" t="s">
        <v>691</v>
      </c>
      <c r="P279" s="11" t="s">
        <v>174</v>
      </c>
      <c r="Q279" s="11" t="s">
        <v>34</v>
      </c>
      <c r="R279" s="2">
        <f>S279+T279</f>
        <v>2399407.85</v>
      </c>
      <c r="S279" s="30">
        <v>0</v>
      </c>
      <c r="T279" s="30">
        <v>2399407.85</v>
      </c>
      <c r="U279" s="1">
        <f t="shared" si="128"/>
        <v>539866.76</v>
      </c>
      <c r="V279" s="42">
        <v>0</v>
      </c>
      <c r="W279" s="42">
        <v>539866.76</v>
      </c>
      <c r="X279" s="1">
        <f t="shared" si="129"/>
        <v>59985.2</v>
      </c>
      <c r="Y279" s="30">
        <v>0</v>
      </c>
      <c r="Z279" s="30">
        <v>59985.2</v>
      </c>
      <c r="AA279" s="2">
        <f>AB279+AC279</f>
        <v>0</v>
      </c>
      <c r="AB279" s="30">
        <v>0</v>
      </c>
      <c r="AC279" s="30">
        <v>0</v>
      </c>
      <c r="AD279" s="16">
        <f t="shared" si="126"/>
        <v>2999259.8100000005</v>
      </c>
      <c r="AE279" s="37">
        <v>0</v>
      </c>
      <c r="AF279" s="2">
        <f>AD279+AE279</f>
        <v>2999259.8100000005</v>
      </c>
      <c r="AG279" s="38" t="s">
        <v>486</v>
      </c>
      <c r="AH279" s="35"/>
      <c r="AI279" s="30">
        <v>299925</v>
      </c>
      <c r="AJ279" s="30">
        <v>0</v>
      </c>
    </row>
    <row r="280" spans="1:36" s="179" customFormat="1" ht="150" customHeight="1" x14ac:dyDescent="0.25">
      <c r="A280" s="6">
        <v>277</v>
      </c>
      <c r="B280" s="31">
        <v>122738</v>
      </c>
      <c r="C280" s="11">
        <v>73</v>
      </c>
      <c r="D280" s="9" t="s">
        <v>1638</v>
      </c>
      <c r="E280" s="24" t="s">
        <v>277</v>
      </c>
      <c r="F280" s="70" t="s">
        <v>580</v>
      </c>
      <c r="G280" s="11" t="s">
        <v>581</v>
      </c>
      <c r="H280" s="8" t="s">
        <v>151</v>
      </c>
      <c r="I280" s="32" t="s">
        <v>2760</v>
      </c>
      <c r="J280" s="25">
        <v>43284</v>
      </c>
      <c r="K280" s="25">
        <v>43772</v>
      </c>
      <c r="L280" s="26">
        <f t="shared" ref="L280:L286" si="130">R280/AD280*100</f>
        <v>85.000002334434541</v>
      </c>
      <c r="M280" s="11">
        <v>6</v>
      </c>
      <c r="N280" s="11" t="s">
        <v>582</v>
      </c>
      <c r="O280" s="11" t="s">
        <v>583</v>
      </c>
      <c r="P280" s="27" t="s">
        <v>174</v>
      </c>
      <c r="Q280" s="11" t="s">
        <v>34</v>
      </c>
      <c r="R280" s="1">
        <f t="shared" ref="R280:R286" si="131">S280+T280</f>
        <v>527965.13</v>
      </c>
      <c r="S280" s="57">
        <v>527965.13</v>
      </c>
      <c r="T280" s="2">
        <v>0</v>
      </c>
      <c r="U280" s="1">
        <f t="shared" si="128"/>
        <v>80747.570000000007</v>
      </c>
      <c r="V280" s="87">
        <v>80747.570000000007</v>
      </c>
      <c r="W280" s="28">
        <v>0</v>
      </c>
      <c r="X280" s="1">
        <f t="shared" si="129"/>
        <v>12422.73</v>
      </c>
      <c r="Y280" s="115">
        <v>12422.73</v>
      </c>
      <c r="Z280" s="2">
        <v>0</v>
      </c>
      <c r="AA280" s="2">
        <f t="shared" ref="AA280:AA286" si="132">AB280+AC280</f>
        <v>0</v>
      </c>
      <c r="AB280" s="2">
        <v>0</v>
      </c>
      <c r="AC280" s="2">
        <v>0</v>
      </c>
      <c r="AD280" s="16">
        <f t="shared" si="126"/>
        <v>621135.42999999993</v>
      </c>
      <c r="AE280" s="2">
        <v>0</v>
      </c>
      <c r="AF280" s="2">
        <f t="shared" ref="AF280:AF286" si="133">AD280+AE280</f>
        <v>621135.42999999993</v>
      </c>
      <c r="AG280" s="21" t="s">
        <v>857</v>
      </c>
      <c r="AH280" s="29"/>
      <c r="AI280" s="30">
        <v>494682.26</v>
      </c>
      <c r="AJ280" s="30">
        <v>75657.279999999999</v>
      </c>
    </row>
    <row r="281" spans="1:36" s="179" customFormat="1" ht="173.25" x14ac:dyDescent="0.25">
      <c r="A281" s="6">
        <v>278</v>
      </c>
      <c r="B281" s="31">
        <v>126337</v>
      </c>
      <c r="C281" s="11">
        <v>556</v>
      </c>
      <c r="D281" s="9" t="s">
        <v>1638</v>
      </c>
      <c r="E281" s="24" t="s">
        <v>899</v>
      </c>
      <c r="F281" s="11" t="s">
        <v>1051</v>
      </c>
      <c r="G281" s="11" t="s">
        <v>581</v>
      </c>
      <c r="H281" s="8" t="s">
        <v>151</v>
      </c>
      <c r="I281" s="32" t="s">
        <v>2761</v>
      </c>
      <c r="J281" s="25">
        <v>43577</v>
      </c>
      <c r="K281" s="25">
        <v>45129</v>
      </c>
      <c r="L281" s="26">
        <f t="shared" si="130"/>
        <v>85.000000695857267</v>
      </c>
      <c r="M281" s="11">
        <v>6</v>
      </c>
      <c r="N281" s="11" t="s">
        <v>582</v>
      </c>
      <c r="O281" s="11" t="s">
        <v>583</v>
      </c>
      <c r="P281" s="27" t="s">
        <v>174</v>
      </c>
      <c r="Q281" s="11" t="s">
        <v>34</v>
      </c>
      <c r="R281" s="2">
        <f t="shared" si="131"/>
        <v>3359165.9</v>
      </c>
      <c r="S281" s="57">
        <v>3359165.9</v>
      </c>
      <c r="T281" s="2">
        <v>0</v>
      </c>
      <c r="U281" s="1">
        <f t="shared" si="128"/>
        <v>513754.75</v>
      </c>
      <c r="V281" s="87">
        <v>513754.75</v>
      </c>
      <c r="W281" s="28">
        <v>0</v>
      </c>
      <c r="X281" s="1">
        <f t="shared" si="129"/>
        <v>79039.199999999997</v>
      </c>
      <c r="Y281" s="115">
        <v>79039.199999999997</v>
      </c>
      <c r="Z281" s="2">
        <v>0</v>
      </c>
      <c r="AA281" s="2">
        <f t="shared" si="132"/>
        <v>0</v>
      </c>
      <c r="AB281" s="2">
        <v>0</v>
      </c>
      <c r="AC281" s="2">
        <v>0</v>
      </c>
      <c r="AD281" s="16">
        <f t="shared" si="126"/>
        <v>3951959.85</v>
      </c>
      <c r="AE281" s="2">
        <v>933819.42</v>
      </c>
      <c r="AF281" s="2">
        <f t="shared" si="133"/>
        <v>4885779.2700000005</v>
      </c>
      <c r="AG281" s="38" t="s">
        <v>486</v>
      </c>
      <c r="AH281" s="38" t="s">
        <v>3294</v>
      </c>
      <c r="AI281" s="30">
        <f>124564.71+42628.15+210319.83+1627651.3+14510.35+346253.02+31126.07+5155.25+41094.1+5842.05</f>
        <v>2449144.83</v>
      </c>
      <c r="AJ281" s="30">
        <f>19051.05+6519.6+32166.56+248934.88+2219.23+52956.34+4760.45+788.45+6284.98+893.49</f>
        <v>374575.03</v>
      </c>
    </row>
    <row r="282" spans="1:36" s="179" customFormat="1" ht="173.25" x14ac:dyDescent="0.25">
      <c r="A282" s="6">
        <v>279</v>
      </c>
      <c r="B282" s="31">
        <v>129243</v>
      </c>
      <c r="C282" s="11">
        <v>683</v>
      </c>
      <c r="D282" s="9" t="s">
        <v>1638</v>
      </c>
      <c r="E282" s="24" t="s">
        <v>1071</v>
      </c>
      <c r="F282" s="11" t="s">
        <v>1306</v>
      </c>
      <c r="G282" s="11" t="s">
        <v>1307</v>
      </c>
      <c r="H282" s="11" t="s">
        <v>1308</v>
      </c>
      <c r="I282" s="32" t="s">
        <v>1309</v>
      </c>
      <c r="J282" s="25">
        <v>43745</v>
      </c>
      <c r="K282" s="25">
        <v>45023</v>
      </c>
      <c r="L282" s="26">
        <f t="shared" si="130"/>
        <v>84.714589571145268</v>
      </c>
      <c r="M282" s="11">
        <v>7</v>
      </c>
      <c r="N282" s="11" t="s">
        <v>582</v>
      </c>
      <c r="O282" s="11" t="s">
        <v>583</v>
      </c>
      <c r="P282" s="27" t="s">
        <v>174</v>
      </c>
      <c r="Q282" s="11" t="s">
        <v>34</v>
      </c>
      <c r="R282" s="2">
        <f t="shared" si="131"/>
        <v>2890733.73</v>
      </c>
      <c r="S282" s="2">
        <v>2890733.73</v>
      </c>
      <c r="T282" s="2">
        <v>0</v>
      </c>
      <c r="U282" s="1">
        <f t="shared" si="128"/>
        <v>453340.85</v>
      </c>
      <c r="V282" s="28">
        <v>453340.85</v>
      </c>
      <c r="W282" s="28">
        <v>0</v>
      </c>
      <c r="X282" s="1">
        <f>Y282+Z282</f>
        <v>56788.62</v>
      </c>
      <c r="Y282" s="2">
        <v>56788.62</v>
      </c>
      <c r="Z282" s="2">
        <v>0</v>
      </c>
      <c r="AA282" s="2">
        <f t="shared" si="132"/>
        <v>11457.8</v>
      </c>
      <c r="AB282" s="2">
        <v>11457.8</v>
      </c>
      <c r="AC282" s="2">
        <v>0</v>
      </c>
      <c r="AD282" s="16">
        <f t="shared" si="126"/>
        <v>3412321</v>
      </c>
      <c r="AE282" s="2">
        <v>0</v>
      </c>
      <c r="AF282" s="2">
        <f t="shared" si="133"/>
        <v>3412321</v>
      </c>
      <c r="AG282" s="38" t="s">
        <v>486</v>
      </c>
      <c r="AH282" s="38" t="s">
        <v>2485</v>
      </c>
      <c r="AI282" s="30">
        <f>404117.15+47748.5-9345.4+24374.07+31812.91+39199.68+303094.82+13314.89+27960.26-12513.05+52938.5+143633+133226.42+1069175.73-1464.57+293483.6</f>
        <v>2560756.5100000002</v>
      </c>
      <c r="AJ282" s="30">
        <f>39188.8+9345.4+12408.84+16703.81+4274.95+10775.89+19788.24+13512.92+21967.4+30588.47+163520.99+5657.86</f>
        <v>347733.56999999995</v>
      </c>
    </row>
    <row r="283" spans="1:36" s="179" customFormat="1" ht="141.75" x14ac:dyDescent="0.25">
      <c r="A283" s="6">
        <v>280</v>
      </c>
      <c r="B283" s="31">
        <v>136164</v>
      </c>
      <c r="C283" s="11">
        <v>838</v>
      </c>
      <c r="D283" s="9" t="s">
        <v>1638</v>
      </c>
      <c r="E283" s="24" t="s">
        <v>1441</v>
      </c>
      <c r="F283" s="11" t="s">
        <v>1535</v>
      </c>
      <c r="G283" s="11" t="s">
        <v>1307</v>
      </c>
      <c r="H283" s="11" t="s">
        <v>1307</v>
      </c>
      <c r="I283" s="32" t="s">
        <v>2762</v>
      </c>
      <c r="J283" s="25">
        <v>43998</v>
      </c>
      <c r="K283" s="25">
        <v>45123</v>
      </c>
      <c r="L283" s="26">
        <f t="shared" si="130"/>
        <v>85</v>
      </c>
      <c r="M283" s="11">
        <v>7</v>
      </c>
      <c r="N283" s="11" t="s">
        <v>582</v>
      </c>
      <c r="O283" s="11" t="s">
        <v>583</v>
      </c>
      <c r="P283" s="27" t="s">
        <v>174</v>
      </c>
      <c r="Q283" s="11" t="s">
        <v>34</v>
      </c>
      <c r="R283" s="2">
        <f t="shared" si="131"/>
        <v>2037216.25</v>
      </c>
      <c r="S283" s="2">
        <v>2037216.25</v>
      </c>
      <c r="T283" s="2">
        <v>0</v>
      </c>
      <c r="U283" s="1">
        <f t="shared" si="128"/>
        <v>311574.25</v>
      </c>
      <c r="V283" s="28">
        <v>311574.25</v>
      </c>
      <c r="W283" s="28">
        <v>0</v>
      </c>
      <c r="X283" s="1">
        <f t="shared" si="129"/>
        <v>47934.5</v>
      </c>
      <c r="Y283" s="2">
        <v>47934.5</v>
      </c>
      <c r="Z283" s="2">
        <v>0</v>
      </c>
      <c r="AA283" s="2">
        <f t="shared" si="132"/>
        <v>0</v>
      </c>
      <c r="AB283" s="2">
        <v>0</v>
      </c>
      <c r="AC283" s="2">
        <v>0</v>
      </c>
      <c r="AD283" s="16">
        <f t="shared" si="126"/>
        <v>2396725</v>
      </c>
      <c r="AE283" s="2">
        <v>0</v>
      </c>
      <c r="AF283" s="2">
        <f t="shared" si="133"/>
        <v>2396725</v>
      </c>
      <c r="AG283" s="38" t="s">
        <v>486</v>
      </c>
      <c r="AH283" s="38" t="s">
        <v>2229</v>
      </c>
      <c r="AI283" s="30">
        <f>239000-2570.36-3498.3-2564.11+24008.04-6898.58+130443.04+51416.31-7714.07</f>
        <v>421621.97000000003</v>
      </c>
      <c r="AJ283" s="30">
        <f>2570.36+3498.3+2564.11+6898.58+19950.11+9346.35+7714.07</f>
        <v>52541.88</v>
      </c>
    </row>
    <row r="284" spans="1:36" s="179" customFormat="1" ht="236.25" x14ac:dyDescent="0.25">
      <c r="A284" s="6">
        <v>281</v>
      </c>
      <c r="B284" s="31">
        <v>152033</v>
      </c>
      <c r="C284" s="11">
        <v>1118</v>
      </c>
      <c r="D284" s="9" t="s">
        <v>1639</v>
      </c>
      <c r="E284" s="24" t="s">
        <v>1801</v>
      </c>
      <c r="F284" s="11" t="s">
        <v>1841</v>
      </c>
      <c r="G284" s="11" t="s">
        <v>1840</v>
      </c>
      <c r="H284" s="8" t="s">
        <v>151</v>
      </c>
      <c r="I284" s="32" t="s">
        <v>2763</v>
      </c>
      <c r="J284" s="25">
        <v>44498</v>
      </c>
      <c r="K284" s="25">
        <v>44863</v>
      </c>
      <c r="L284" s="26">
        <f t="shared" si="130"/>
        <v>84.999999999999986</v>
      </c>
      <c r="M284" s="11">
        <v>7</v>
      </c>
      <c r="N284" s="11" t="s">
        <v>582</v>
      </c>
      <c r="O284" s="11" t="s">
        <v>1842</v>
      </c>
      <c r="P284" s="27" t="s">
        <v>174</v>
      </c>
      <c r="Q284" s="11" t="s">
        <v>34</v>
      </c>
      <c r="R284" s="2">
        <f t="shared" si="131"/>
        <v>352679.11</v>
      </c>
      <c r="S284" s="2">
        <v>352679.11</v>
      </c>
      <c r="T284" s="2">
        <v>0</v>
      </c>
      <c r="U284" s="1">
        <f t="shared" si="128"/>
        <v>53939.15</v>
      </c>
      <c r="V284" s="28">
        <v>53939.15</v>
      </c>
      <c r="W284" s="28">
        <v>0</v>
      </c>
      <c r="X284" s="1">
        <f t="shared" si="129"/>
        <v>8298.34</v>
      </c>
      <c r="Y284" s="2">
        <v>8298.34</v>
      </c>
      <c r="Z284" s="2">
        <v>0</v>
      </c>
      <c r="AA284" s="2">
        <f t="shared" si="132"/>
        <v>0</v>
      </c>
      <c r="AB284" s="2">
        <v>0</v>
      </c>
      <c r="AC284" s="2">
        <v>0</v>
      </c>
      <c r="AD284" s="16">
        <f t="shared" si="126"/>
        <v>414916.60000000003</v>
      </c>
      <c r="AE284" s="2">
        <v>0</v>
      </c>
      <c r="AF284" s="2">
        <f t="shared" si="133"/>
        <v>414916.60000000003</v>
      </c>
      <c r="AG284" s="38" t="s">
        <v>486</v>
      </c>
      <c r="AH284" s="38"/>
      <c r="AI284" s="30">
        <f>40000+36592.28+63977.38</f>
        <v>140569.66</v>
      </c>
      <c r="AJ284" s="30">
        <f>5596.46+9784.78</f>
        <v>15381.240000000002</v>
      </c>
    </row>
    <row r="285" spans="1:36" s="179" customFormat="1" ht="141.75" x14ac:dyDescent="0.25">
      <c r="A285" s="6">
        <v>282</v>
      </c>
      <c r="B285" s="31">
        <v>155190</v>
      </c>
      <c r="C285" s="11">
        <v>1213</v>
      </c>
      <c r="D285" s="9" t="s">
        <v>1638</v>
      </c>
      <c r="E285" s="24" t="s">
        <v>2014</v>
      </c>
      <c r="F285" s="11" t="s">
        <v>2097</v>
      </c>
      <c r="G285" s="11" t="s">
        <v>581</v>
      </c>
      <c r="H285" s="8" t="s">
        <v>151</v>
      </c>
      <c r="I285" s="32" t="s">
        <v>2098</v>
      </c>
      <c r="J285" s="25">
        <v>44656</v>
      </c>
      <c r="K285" s="25">
        <v>45143</v>
      </c>
      <c r="L285" s="26">
        <f t="shared" si="130"/>
        <v>85</v>
      </c>
      <c r="M285" s="11">
        <v>7</v>
      </c>
      <c r="N285" s="11" t="s">
        <v>582</v>
      </c>
      <c r="O285" s="11" t="s">
        <v>583</v>
      </c>
      <c r="P285" s="27" t="s">
        <v>174</v>
      </c>
      <c r="Q285" s="11" t="s">
        <v>34</v>
      </c>
      <c r="R285" s="2">
        <f t="shared" si="131"/>
        <v>2549830.85</v>
      </c>
      <c r="S285" s="2">
        <v>2549830.85</v>
      </c>
      <c r="T285" s="2">
        <v>0</v>
      </c>
      <c r="U285" s="1">
        <f t="shared" si="128"/>
        <v>389974.13</v>
      </c>
      <c r="V285" s="28">
        <v>389974.13</v>
      </c>
      <c r="W285" s="28">
        <v>0</v>
      </c>
      <c r="X285" s="1">
        <f t="shared" si="129"/>
        <v>59996.02</v>
      </c>
      <c r="Y285" s="2">
        <v>59996.02</v>
      </c>
      <c r="Z285" s="2">
        <v>0</v>
      </c>
      <c r="AA285" s="2">
        <f t="shared" si="132"/>
        <v>0</v>
      </c>
      <c r="AB285" s="2">
        <v>0</v>
      </c>
      <c r="AC285" s="2">
        <v>0</v>
      </c>
      <c r="AD285" s="16">
        <f t="shared" si="126"/>
        <v>2999801</v>
      </c>
      <c r="AE285" s="2">
        <v>0</v>
      </c>
      <c r="AF285" s="2">
        <f t="shared" si="133"/>
        <v>2999801</v>
      </c>
      <c r="AG285" s="38" t="s">
        <v>486</v>
      </c>
      <c r="AH285" s="38"/>
      <c r="AI285" s="30">
        <v>0</v>
      </c>
      <c r="AJ285" s="30">
        <v>0</v>
      </c>
    </row>
    <row r="286" spans="1:36" s="179" customFormat="1" ht="173.25" x14ac:dyDescent="0.25">
      <c r="A286" s="6">
        <v>283</v>
      </c>
      <c r="B286" s="31">
        <v>154289</v>
      </c>
      <c r="C286" s="11">
        <v>1208</v>
      </c>
      <c r="D286" s="9" t="s">
        <v>1638</v>
      </c>
      <c r="E286" s="24" t="s">
        <v>2014</v>
      </c>
      <c r="F286" s="11" t="s">
        <v>2210</v>
      </c>
      <c r="G286" s="11" t="s">
        <v>1840</v>
      </c>
      <c r="H286" s="8" t="s">
        <v>151</v>
      </c>
      <c r="I286" s="32" t="s">
        <v>2211</v>
      </c>
      <c r="J286" s="25">
        <v>44700</v>
      </c>
      <c r="K286" s="25">
        <v>45188</v>
      </c>
      <c r="L286" s="26">
        <f t="shared" si="130"/>
        <v>85.00000029227435</v>
      </c>
      <c r="M286" s="11">
        <v>7</v>
      </c>
      <c r="N286" s="11" t="s">
        <v>582</v>
      </c>
      <c r="O286" s="11" t="s">
        <v>1842</v>
      </c>
      <c r="P286" s="27" t="s">
        <v>174</v>
      </c>
      <c r="Q286" s="11" t="s">
        <v>34</v>
      </c>
      <c r="R286" s="2">
        <f t="shared" si="131"/>
        <v>2908226.56</v>
      </c>
      <c r="S286" s="2">
        <v>2908226.56</v>
      </c>
      <c r="T286" s="2">
        <v>0</v>
      </c>
      <c r="U286" s="1">
        <f t="shared" si="128"/>
        <v>444787.58</v>
      </c>
      <c r="V286" s="28">
        <v>444787.58</v>
      </c>
      <c r="W286" s="28">
        <v>0</v>
      </c>
      <c r="X286" s="1">
        <f t="shared" si="129"/>
        <v>68428.86</v>
      </c>
      <c r="Y286" s="2">
        <v>68428.86</v>
      </c>
      <c r="Z286" s="2">
        <v>0</v>
      </c>
      <c r="AA286" s="2">
        <f t="shared" si="132"/>
        <v>0</v>
      </c>
      <c r="AB286" s="2">
        <v>0</v>
      </c>
      <c r="AC286" s="2">
        <v>0</v>
      </c>
      <c r="AD286" s="16">
        <f t="shared" si="126"/>
        <v>3421443</v>
      </c>
      <c r="AE286" s="2">
        <v>0</v>
      </c>
      <c r="AF286" s="2">
        <f t="shared" si="133"/>
        <v>3421443</v>
      </c>
      <c r="AG286" s="38" t="s">
        <v>486</v>
      </c>
      <c r="AH286" s="38"/>
      <c r="AI286" s="30">
        <v>100000</v>
      </c>
      <c r="AJ286" s="30">
        <v>0</v>
      </c>
    </row>
    <row r="287" spans="1:36" s="179" customFormat="1" ht="173.25" x14ac:dyDescent="0.25">
      <c r="A287" s="6">
        <v>284</v>
      </c>
      <c r="B287" s="31">
        <v>110238</v>
      </c>
      <c r="C287" s="11">
        <v>120</v>
      </c>
      <c r="D287" s="9" t="s">
        <v>1638</v>
      </c>
      <c r="E287" s="24" t="s">
        <v>277</v>
      </c>
      <c r="F287" s="70" t="s">
        <v>245</v>
      </c>
      <c r="G287" s="11" t="s">
        <v>685</v>
      </c>
      <c r="H287" s="8" t="s">
        <v>151</v>
      </c>
      <c r="I287" s="12" t="s">
        <v>259</v>
      </c>
      <c r="J287" s="25">
        <v>43166</v>
      </c>
      <c r="K287" s="25">
        <v>43837</v>
      </c>
      <c r="L287" s="26">
        <f t="shared" ref="L287:L292" si="134">R287/AD287*100</f>
        <v>85.000000235397167</v>
      </c>
      <c r="M287" s="11">
        <v>4</v>
      </c>
      <c r="N287" s="11" t="s">
        <v>248</v>
      </c>
      <c r="O287" s="11" t="s">
        <v>247</v>
      </c>
      <c r="P287" s="27" t="s">
        <v>174</v>
      </c>
      <c r="Q287" s="11" t="s">
        <v>34</v>
      </c>
      <c r="R287" s="1">
        <f t="shared" ref="R287:R292" si="135">S287+T287</f>
        <v>361091.85</v>
      </c>
      <c r="S287" s="39">
        <v>361091.85</v>
      </c>
      <c r="T287" s="2">
        <v>0</v>
      </c>
      <c r="U287" s="1">
        <f t="shared" ref="U287:U292" si="136">V287+W287</f>
        <v>55225.82</v>
      </c>
      <c r="V287" s="52">
        <v>55225.82</v>
      </c>
      <c r="W287" s="28">
        <v>0</v>
      </c>
      <c r="X287" s="1">
        <f t="shared" ref="X287:X292" si="137">Y287+Z287</f>
        <v>8496.27</v>
      </c>
      <c r="Y287" s="116">
        <v>8496.27</v>
      </c>
      <c r="Z287" s="2">
        <v>0</v>
      </c>
      <c r="AA287" s="2">
        <f t="shared" ref="AA287:AA292" si="138">AB287+AC287</f>
        <v>0</v>
      </c>
      <c r="AB287" s="2">
        <v>0</v>
      </c>
      <c r="AC287" s="2">
        <v>0</v>
      </c>
      <c r="AD287" s="16">
        <f t="shared" si="126"/>
        <v>424813.94</v>
      </c>
      <c r="AE287" s="2">
        <v>0</v>
      </c>
      <c r="AF287" s="2">
        <f t="shared" ref="AF287:AF292" si="139">AD287+AE287</f>
        <v>424813.94</v>
      </c>
      <c r="AG287" s="38" t="s">
        <v>857</v>
      </c>
      <c r="AH287" s="29" t="s">
        <v>1062</v>
      </c>
      <c r="AI287" s="30">
        <v>348222.91000000003</v>
      </c>
      <c r="AJ287" s="30">
        <v>53257.61</v>
      </c>
    </row>
    <row r="288" spans="1:36" s="179" customFormat="1" ht="173.25" x14ac:dyDescent="0.25">
      <c r="A288" s="6">
        <v>285</v>
      </c>
      <c r="B288" s="31">
        <v>117741</v>
      </c>
      <c r="C288" s="11">
        <v>415</v>
      </c>
      <c r="D288" s="32" t="s">
        <v>1639</v>
      </c>
      <c r="E288" s="32" t="s">
        <v>507</v>
      </c>
      <c r="F288" s="11" t="s">
        <v>684</v>
      </c>
      <c r="G288" s="11" t="s">
        <v>685</v>
      </c>
      <c r="H288" s="11" t="s">
        <v>610</v>
      </c>
      <c r="I288" s="32" t="s">
        <v>686</v>
      </c>
      <c r="J288" s="25">
        <v>43311</v>
      </c>
      <c r="K288" s="25">
        <v>43707</v>
      </c>
      <c r="L288" s="26">
        <f t="shared" si="134"/>
        <v>84.15024511492409</v>
      </c>
      <c r="M288" s="11">
        <v>4</v>
      </c>
      <c r="N288" s="11" t="s">
        <v>248</v>
      </c>
      <c r="O288" s="11" t="s">
        <v>247</v>
      </c>
      <c r="P288" s="11" t="s">
        <v>174</v>
      </c>
      <c r="Q288" s="11" t="s">
        <v>34</v>
      </c>
      <c r="R288" s="1">
        <f t="shared" si="135"/>
        <v>242958.31</v>
      </c>
      <c r="S288" s="30">
        <v>242958.31</v>
      </c>
      <c r="T288" s="2">
        <v>0</v>
      </c>
      <c r="U288" s="1">
        <f t="shared" si="136"/>
        <v>39986.97</v>
      </c>
      <c r="V288" s="42">
        <v>39986.97</v>
      </c>
      <c r="W288" s="28">
        <v>0</v>
      </c>
      <c r="X288" s="1">
        <f t="shared" si="137"/>
        <v>2888.03</v>
      </c>
      <c r="Y288" s="30">
        <v>2888.03</v>
      </c>
      <c r="Z288" s="30">
        <v>0</v>
      </c>
      <c r="AA288" s="2">
        <f t="shared" si="138"/>
        <v>2886.36</v>
      </c>
      <c r="AB288" s="30">
        <v>2886.36</v>
      </c>
      <c r="AC288" s="41">
        <v>0</v>
      </c>
      <c r="AD288" s="16">
        <f t="shared" si="126"/>
        <v>288719.67000000004</v>
      </c>
      <c r="AE288" s="38"/>
      <c r="AF288" s="2">
        <f t="shared" si="139"/>
        <v>288719.67000000004</v>
      </c>
      <c r="AG288" s="21" t="s">
        <v>857</v>
      </c>
      <c r="AH288" s="38" t="s">
        <v>1189</v>
      </c>
      <c r="AI288" s="30">
        <v>154052.83000000002</v>
      </c>
      <c r="AJ288" s="30">
        <v>25737.5</v>
      </c>
    </row>
    <row r="289" spans="1:36" s="179" customFormat="1" ht="172.5" customHeight="1" x14ac:dyDescent="0.25">
      <c r="A289" s="6">
        <v>286</v>
      </c>
      <c r="B289" s="31">
        <v>126246</v>
      </c>
      <c r="C289" s="11">
        <v>537</v>
      </c>
      <c r="D289" s="9" t="s">
        <v>1638</v>
      </c>
      <c r="E289" s="24" t="s">
        <v>899</v>
      </c>
      <c r="F289" s="11" t="s">
        <v>1009</v>
      </c>
      <c r="G289" s="11" t="s">
        <v>685</v>
      </c>
      <c r="H289" s="11" t="s">
        <v>497</v>
      </c>
      <c r="I289" s="12" t="s">
        <v>1010</v>
      </c>
      <c r="J289" s="25">
        <v>43532</v>
      </c>
      <c r="K289" s="25">
        <v>44689</v>
      </c>
      <c r="L289" s="26">
        <f t="shared" si="134"/>
        <v>84.376573406981009</v>
      </c>
      <c r="M289" s="11">
        <v>4</v>
      </c>
      <c r="N289" s="11" t="s">
        <v>248</v>
      </c>
      <c r="O289" s="11" t="s">
        <v>247</v>
      </c>
      <c r="P289" s="11" t="s">
        <v>174</v>
      </c>
      <c r="Q289" s="11" t="s">
        <v>34</v>
      </c>
      <c r="R289" s="1">
        <f t="shared" si="135"/>
        <v>3134478.73</v>
      </c>
      <c r="S289" s="51">
        <v>3134478.73</v>
      </c>
      <c r="T289" s="2">
        <v>0</v>
      </c>
      <c r="U289" s="1">
        <f t="shared" si="136"/>
        <v>506092.36</v>
      </c>
      <c r="V289" s="55">
        <v>506092.36</v>
      </c>
      <c r="W289" s="28">
        <v>0</v>
      </c>
      <c r="X289" s="1">
        <f t="shared" si="137"/>
        <v>47050.89</v>
      </c>
      <c r="Y289" s="51">
        <v>47050.89</v>
      </c>
      <c r="Z289" s="51">
        <v>0</v>
      </c>
      <c r="AA289" s="2">
        <f t="shared" si="138"/>
        <v>27246.5</v>
      </c>
      <c r="AB289" s="51">
        <v>27246.5</v>
      </c>
      <c r="AC289" s="36">
        <v>0</v>
      </c>
      <c r="AD289" s="16">
        <f t="shared" si="126"/>
        <v>3714868.48</v>
      </c>
      <c r="AE289" s="35">
        <v>0</v>
      </c>
      <c r="AF289" s="2">
        <f t="shared" si="139"/>
        <v>3714868.48</v>
      </c>
      <c r="AG289" s="38" t="s">
        <v>857</v>
      </c>
      <c r="AH289" s="38" t="s">
        <v>1998</v>
      </c>
      <c r="AI289" s="30">
        <f>561658.42-14692.77+100771.01+103124.13-13629.24+122496.25+66492.5-5752.3+44782.25+116689.97-16767.99+92786.64-13103.59+67357.2-1478.82-4986.54-6611.21+45977.07+1541768.77-6544.59+281753.97-7975.63-1829.12+8952.63</f>
        <v>3061239.01</v>
      </c>
      <c r="AJ289" s="30">
        <f>78790.01+14692.77+17180.78+13629.24+23582.31+5752.3+6849.05+3956.65+16767.99+13103.59+1478.82+4986.54+6611.21+235799.91+6544.59+35470.63+7975.63+1369.22</f>
        <v>494541.24</v>
      </c>
    </row>
    <row r="290" spans="1:36" s="179" customFormat="1" ht="274.5" customHeight="1" x14ac:dyDescent="0.25">
      <c r="A290" s="6">
        <v>287</v>
      </c>
      <c r="B290" s="31">
        <v>135982</v>
      </c>
      <c r="C290" s="11">
        <v>815</v>
      </c>
      <c r="D290" s="9" t="s">
        <v>1638</v>
      </c>
      <c r="E290" s="24" t="s">
        <v>1441</v>
      </c>
      <c r="F290" s="31" t="s">
        <v>1456</v>
      </c>
      <c r="G290" s="11" t="s">
        <v>685</v>
      </c>
      <c r="H290" s="8" t="s">
        <v>151</v>
      </c>
      <c r="I290" s="12" t="s">
        <v>2764</v>
      </c>
      <c r="J290" s="25">
        <v>43959</v>
      </c>
      <c r="K290" s="25">
        <v>44812</v>
      </c>
      <c r="L290" s="26">
        <f t="shared" si="134"/>
        <v>85.000000040154887</v>
      </c>
      <c r="M290" s="11">
        <v>4</v>
      </c>
      <c r="N290" s="11" t="s">
        <v>248</v>
      </c>
      <c r="O290" s="11" t="s">
        <v>247</v>
      </c>
      <c r="P290" s="11" t="s">
        <v>174</v>
      </c>
      <c r="Q290" s="11" t="s">
        <v>34</v>
      </c>
      <c r="R290" s="1">
        <f t="shared" si="135"/>
        <v>3175204.76</v>
      </c>
      <c r="S290" s="51">
        <v>3175204.76</v>
      </c>
      <c r="T290" s="2">
        <v>0</v>
      </c>
      <c r="U290" s="1">
        <f t="shared" si="136"/>
        <v>485619.55</v>
      </c>
      <c r="V290" s="55">
        <v>485619.55</v>
      </c>
      <c r="W290" s="28">
        <v>0</v>
      </c>
      <c r="X290" s="1">
        <f t="shared" si="137"/>
        <v>74710.7</v>
      </c>
      <c r="Y290" s="51">
        <v>74710.7</v>
      </c>
      <c r="Z290" s="51">
        <v>0</v>
      </c>
      <c r="AA290" s="2">
        <f t="shared" si="138"/>
        <v>0</v>
      </c>
      <c r="AB290" s="51">
        <v>0</v>
      </c>
      <c r="AC290" s="36">
        <v>0</v>
      </c>
      <c r="AD290" s="16">
        <f t="shared" si="126"/>
        <v>3735535.01</v>
      </c>
      <c r="AE290" s="35">
        <v>0</v>
      </c>
      <c r="AF290" s="2">
        <f t="shared" si="139"/>
        <v>3735535.01</v>
      </c>
      <c r="AG290" s="38" t="s">
        <v>857</v>
      </c>
      <c r="AH290" s="29" t="s">
        <v>2182</v>
      </c>
      <c r="AI290" s="30">
        <f>40778.75+103935.07+89246.17+1228972.5+373553.5-35511.45+373553.5+16550.13</f>
        <v>2191078.17</v>
      </c>
      <c r="AJ290" s="30">
        <f>6236.75+15895.95+13649.41+187960.5+51700.55+59662.91</f>
        <v>335106.06999999995</v>
      </c>
    </row>
    <row r="291" spans="1:36" s="179" customFormat="1" ht="409.5" x14ac:dyDescent="0.25">
      <c r="A291" s="6">
        <v>288</v>
      </c>
      <c r="B291" s="31">
        <v>135980</v>
      </c>
      <c r="C291" s="11">
        <v>785</v>
      </c>
      <c r="D291" s="9" t="s">
        <v>1638</v>
      </c>
      <c r="E291" s="24" t="s">
        <v>1441</v>
      </c>
      <c r="F291" s="31" t="s">
        <v>1486</v>
      </c>
      <c r="G291" s="11" t="s">
        <v>1487</v>
      </c>
      <c r="H291" s="8" t="s">
        <v>151</v>
      </c>
      <c r="I291" s="12" t="s">
        <v>2765</v>
      </c>
      <c r="J291" s="25">
        <v>43969</v>
      </c>
      <c r="K291" s="25">
        <v>44760</v>
      </c>
      <c r="L291" s="26">
        <f t="shared" si="134"/>
        <v>85.000000000000014</v>
      </c>
      <c r="M291" s="11">
        <v>4</v>
      </c>
      <c r="N291" s="11" t="s">
        <v>248</v>
      </c>
      <c r="O291" s="11" t="s">
        <v>1488</v>
      </c>
      <c r="P291" s="11" t="s">
        <v>174</v>
      </c>
      <c r="Q291" s="11" t="s">
        <v>34</v>
      </c>
      <c r="R291" s="1">
        <f t="shared" si="135"/>
        <v>2466463.7000000002</v>
      </c>
      <c r="S291" s="30">
        <v>2466463.7000000002</v>
      </c>
      <c r="T291" s="2">
        <v>0</v>
      </c>
      <c r="U291" s="1">
        <f t="shared" si="136"/>
        <v>377223.86</v>
      </c>
      <c r="V291" s="42">
        <v>377223.86</v>
      </c>
      <c r="W291" s="28">
        <v>0</v>
      </c>
      <c r="X291" s="1">
        <f t="shared" si="137"/>
        <v>58034.44</v>
      </c>
      <c r="Y291" s="30">
        <v>58034.44</v>
      </c>
      <c r="Z291" s="30">
        <v>0</v>
      </c>
      <c r="AA291" s="2">
        <f t="shared" si="138"/>
        <v>0</v>
      </c>
      <c r="AB291" s="30">
        <v>0</v>
      </c>
      <c r="AC291" s="36">
        <v>0</v>
      </c>
      <c r="AD291" s="16">
        <f t="shared" si="126"/>
        <v>2901722</v>
      </c>
      <c r="AE291" s="35">
        <v>0</v>
      </c>
      <c r="AF291" s="2">
        <f t="shared" si="139"/>
        <v>2901722</v>
      </c>
      <c r="AG291" s="38" t="s">
        <v>857</v>
      </c>
      <c r="AH291" s="29" t="s">
        <v>151</v>
      </c>
      <c r="AI291" s="30">
        <f>57510.16+41820+20836.05+34875.5+35599.7+34006.8+27269.7+335484.21+1001385+8156.6+286954.56+292352.4</f>
        <v>2176250.6800000002</v>
      </c>
      <c r="AJ291" s="30">
        <f>8795.67+6396+3186.69+5333.9+5444.66+5201.04+4170.66+51309.35+153153+1247.48+43887.17+44712.72</f>
        <v>332838.33999999997</v>
      </c>
    </row>
    <row r="292" spans="1:36" s="179" customFormat="1" ht="83.25" customHeight="1" x14ac:dyDescent="0.25">
      <c r="A292" s="6">
        <v>289</v>
      </c>
      <c r="B292" s="31">
        <v>152182</v>
      </c>
      <c r="C292" s="11">
        <v>1109</v>
      </c>
      <c r="D292" s="9" t="s">
        <v>1639</v>
      </c>
      <c r="E292" s="24" t="s">
        <v>1801</v>
      </c>
      <c r="F292" s="31" t="s">
        <v>1872</v>
      </c>
      <c r="G292" s="11" t="s">
        <v>1487</v>
      </c>
      <c r="H292" s="11" t="s">
        <v>1873</v>
      </c>
      <c r="I292" s="12" t="s">
        <v>1874</v>
      </c>
      <c r="J292" s="25">
        <v>44518</v>
      </c>
      <c r="K292" s="25">
        <v>45003</v>
      </c>
      <c r="L292" s="26">
        <f t="shared" si="134"/>
        <v>84.204459153318652</v>
      </c>
      <c r="M292" s="11">
        <v>4</v>
      </c>
      <c r="N292" s="11" t="s">
        <v>248</v>
      </c>
      <c r="O292" s="11" t="s">
        <v>1488</v>
      </c>
      <c r="P292" s="11" t="s">
        <v>174</v>
      </c>
      <c r="Q292" s="11" t="s">
        <v>34</v>
      </c>
      <c r="R292" s="1">
        <f t="shared" si="135"/>
        <v>293498.44</v>
      </c>
      <c r="S292" s="30">
        <v>293498.44</v>
      </c>
      <c r="T292" s="2">
        <v>0</v>
      </c>
      <c r="U292" s="1">
        <f t="shared" si="136"/>
        <v>48084.959999999999</v>
      </c>
      <c r="V292" s="42">
        <v>48084.959999999999</v>
      </c>
      <c r="W292" s="28">
        <v>0</v>
      </c>
      <c r="X292" s="1">
        <f t="shared" si="137"/>
        <v>3708.86</v>
      </c>
      <c r="Y292" s="30">
        <v>3708.86</v>
      </c>
      <c r="Z292" s="30">
        <v>0</v>
      </c>
      <c r="AA292" s="2">
        <f t="shared" si="138"/>
        <v>3262.25</v>
      </c>
      <c r="AB292" s="30">
        <v>3262.25</v>
      </c>
      <c r="AC292" s="36">
        <v>0</v>
      </c>
      <c r="AD292" s="16">
        <f t="shared" si="126"/>
        <v>348554.51</v>
      </c>
      <c r="AE292" s="35">
        <v>0</v>
      </c>
      <c r="AF292" s="2">
        <f t="shared" si="139"/>
        <v>348554.51</v>
      </c>
      <c r="AG292" s="38" t="s">
        <v>486</v>
      </c>
      <c r="AH292" s="29"/>
      <c r="AI292" s="30">
        <f>15000+16983.2+9400.02-1416.81+15000+18099.05</f>
        <v>73065.460000000006</v>
      </c>
      <c r="AJ292" s="30">
        <f>2997.04+2204.16+1851.69+2768.09</f>
        <v>9820.98</v>
      </c>
    </row>
    <row r="293" spans="1:36" s="181" customFormat="1" ht="157.5" x14ac:dyDescent="0.25">
      <c r="A293" s="6">
        <v>290</v>
      </c>
      <c r="B293" s="31">
        <v>120531</v>
      </c>
      <c r="C293" s="11">
        <v>76</v>
      </c>
      <c r="D293" s="9" t="s">
        <v>1638</v>
      </c>
      <c r="E293" s="24" t="s">
        <v>277</v>
      </c>
      <c r="F293" s="27" t="s">
        <v>190</v>
      </c>
      <c r="G293" s="27" t="s">
        <v>191</v>
      </c>
      <c r="H293" s="8" t="s">
        <v>151</v>
      </c>
      <c r="I293" s="32" t="s">
        <v>192</v>
      </c>
      <c r="J293" s="25">
        <v>43129</v>
      </c>
      <c r="K293" s="25">
        <v>43798</v>
      </c>
      <c r="L293" s="26">
        <f t="shared" ref="L293:L303" si="140">R293/AD293*100</f>
        <v>85.000000405063261</v>
      </c>
      <c r="M293" s="11">
        <v>3</v>
      </c>
      <c r="N293" s="11" t="s">
        <v>194</v>
      </c>
      <c r="O293" s="11" t="s">
        <v>193</v>
      </c>
      <c r="P293" s="27" t="s">
        <v>174</v>
      </c>
      <c r="Q293" s="11" t="s">
        <v>34</v>
      </c>
      <c r="R293" s="2">
        <f t="shared" ref="R293:R303" si="141">S293+T293</f>
        <v>524609.42000000004</v>
      </c>
      <c r="S293" s="57">
        <v>524609.42000000004</v>
      </c>
      <c r="T293" s="2">
        <v>0</v>
      </c>
      <c r="U293" s="1">
        <f t="shared" ref="U293:U303" si="142">V293+W293</f>
        <v>80234.38</v>
      </c>
      <c r="V293" s="87">
        <v>80234.38</v>
      </c>
      <c r="W293" s="28">
        <v>0</v>
      </c>
      <c r="X293" s="1">
        <f t="shared" ref="X293:X303" si="143">Y293+Z293</f>
        <v>12343.75</v>
      </c>
      <c r="Y293" s="57">
        <v>12343.75</v>
      </c>
      <c r="Z293" s="2">
        <v>0</v>
      </c>
      <c r="AA293" s="2">
        <f t="shared" ref="AA293:AA303" si="144">AB293+AC293</f>
        <v>0</v>
      </c>
      <c r="AB293" s="2">
        <v>0</v>
      </c>
      <c r="AC293" s="2">
        <v>0</v>
      </c>
      <c r="AD293" s="16">
        <f t="shared" si="126"/>
        <v>617187.55000000005</v>
      </c>
      <c r="AE293" s="2">
        <v>0</v>
      </c>
      <c r="AF293" s="2">
        <f t="shared" ref="AF293:AF303" si="145">AD293+AE293</f>
        <v>617187.55000000005</v>
      </c>
      <c r="AG293" s="21" t="s">
        <v>857</v>
      </c>
      <c r="AH293" s="29" t="s">
        <v>151</v>
      </c>
      <c r="AI293" s="30">
        <v>398279.01</v>
      </c>
      <c r="AJ293" s="30">
        <v>60913.25</v>
      </c>
    </row>
    <row r="294" spans="1:36" s="184" customFormat="1" ht="157.5" x14ac:dyDescent="0.25">
      <c r="A294" s="6">
        <v>291</v>
      </c>
      <c r="B294" s="31">
        <v>119702</v>
      </c>
      <c r="C294" s="11">
        <v>462</v>
      </c>
      <c r="D294" s="9" t="s">
        <v>1638</v>
      </c>
      <c r="E294" s="68" t="s">
        <v>457</v>
      </c>
      <c r="F294" s="11" t="s">
        <v>502</v>
      </c>
      <c r="G294" s="11" t="s">
        <v>191</v>
      </c>
      <c r="H294" s="8" t="s">
        <v>151</v>
      </c>
      <c r="I294" s="32" t="s">
        <v>2766</v>
      </c>
      <c r="J294" s="25">
        <v>43269</v>
      </c>
      <c r="K294" s="25">
        <v>43756</v>
      </c>
      <c r="L294" s="26">
        <f t="shared" si="140"/>
        <v>85.000000000000014</v>
      </c>
      <c r="M294" s="11">
        <v>3</v>
      </c>
      <c r="N294" s="11" t="s">
        <v>194</v>
      </c>
      <c r="O294" s="11" t="s">
        <v>193</v>
      </c>
      <c r="P294" s="11" t="s">
        <v>174</v>
      </c>
      <c r="Q294" s="11" t="s">
        <v>460</v>
      </c>
      <c r="R294" s="2">
        <f t="shared" si="141"/>
        <v>289363.96999999997</v>
      </c>
      <c r="S294" s="30">
        <v>289363.96999999997</v>
      </c>
      <c r="T294" s="2">
        <v>0</v>
      </c>
      <c r="U294" s="1">
        <f t="shared" si="142"/>
        <v>44255.67</v>
      </c>
      <c r="V294" s="42">
        <v>44255.67</v>
      </c>
      <c r="W294" s="28">
        <v>0</v>
      </c>
      <c r="X294" s="1">
        <f t="shared" si="143"/>
        <v>6808.5599999999995</v>
      </c>
      <c r="Y294" s="30">
        <v>6808.5599999999995</v>
      </c>
      <c r="Z294" s="2">
        <v>0</v>
      </c>
      <c r="AA294" s="2">
        <f t="shared" si="144"/>
        <v>0</v>
      </c>
      <c r="AB294" s="2">
        <v>0</v>
      </c>
      <c r="AC294" s="2">
        <v>0</v>
      </c>
      <c r="AD294" s="16">
        <f t="shared" si="126"/>
        <v>340428.19999999995</v>
      </c>
      <c r="AE294" s="2">
        <v>0</v>
      </c>
      <c r="AF294" s="2">
        <f t="shared" si="145"/>
        <v>340428.19999999995</v>
      </c>
      <c r="AG294" s="21" t="s">
        <v>857</v>
      </c>
      <c r="AH294" s="73" t="s">
        <v>1048</v>
      </c>
      <c r="AI294" s="30">
        <v>261948.47000000003</v>
      </c>
      <c r="AJ294" s="30">
        <v>40062.699999999997</v>
      </c>
    </row>
    <row r="295" spans="1:36" s="179" customFormat="1" ht="204.75" x14ac:dyDescent="0.25">
      <c r="A295" s="6">
        <v>292</v>
      </c>
      <c r="B295" s="31">
        <v>117960</v>
      </c>
      <c r="C295" s="11">
        <v>418</v>
      </c>
      <c r="D295" s="32" t="s">
        <v>1639</v>
      </c>
      <c r="E295" s="32" t="s">
        <v>507</v>
      </c>
      <c r="F295" s="11" t="s">
        <v>720</v>
      </c>
      <c r="G295" s="11" t="s">
        <v>191</v>
      </c>
      <c r="H295" s="8" t="s">
        <v>151</v>
      </c>
      <c r="I295" s="32" t="s">
        <v>721</v>
      </c>
      <c r="J295" s="25">
        <v>43318</v>
      </c>
      <c r="K295" s="25">
        <v>43805</v>
      </c>
      <c r="L295" s="26">
        <f t="shared" si="140"/>
        <v>85</v>
      </c>
      <c r="M295" s="11">
        <v>3</v>
      </c>
      <c r="N295" s="11" t="s">
        <v>194</v>
      </c>
      <c r="O295" s="11" t="s">
        <v>193</v>
      </c>
      <c r="P295" s="11" t="s">
        <v>174</v>
      </c>
      <c r="Q295" s="11" t="s">
        <v>460</v>
      </c>
      <c r="R295" s="2">
        <f t="shared" si="141"/>
        <v>339865.02</v>
      </c>
      <c r="S295" s="30">
        <v>339865.02</v>
      </c>
      <c r="T295" s="34">
        <v>0</v>
      </c>
      <c r="U295" s="1">
        <f t="shared" si="142"/>
        <v>51979.35</v>
      </c>
      <c r="V295" s="42">
        <v>51979.35</v>
      </c>
      <c r="W295" s="42">
        <v>0</v>
      </c>
      <c r="X295" s="1">
        <f t="shared" si="143"/>
        <v>7996.83</v>
      </c>
      <c r="Y295" s="30">
        <v>7996.83</v>
      </c>
      <c r="Z295" s="30">
        <v>0</v>
      </c>
      <c r="AA295" s="2">
        <f t="shared" si="144"/>
        <v>0</v>
      </c>
      <c r="AB295" s="34">
        <v>0</v>
      </c>
      <c r="AC295" s="34">
        <v>0</v>
      </c>
      <c r="AD295" s="16">
        <f t="shared" si="126"/>
        <v>399841.2</v>
      </c>
      <c r="AE295" s="30">
        <v>0</v>
      </c>
      <c r="AF295" s="2">
        <f t="shared" si="145"/>
        <v>399841.2</v>
      </c>
      <c r="AG295" s="21" t="s">
        <v>857</v>
      </c>
      <c r="AH295" s="38"/>
      <c r="AI295" s="30">
        <v>229276.43000000002</v>
      </c>
      <c r="AJ295" s="30">
        <v>35065.81</v>
      </c>
    </row>
    <row r="296" spans="1:36" s="179" customFormat="1" ht="141.75" x14ac:dyDescent="0.25">
      <c r="A296" s="6">
        <v>293</v>
      </c>
      <c r="B296" s="31">
        <v>126286</v>
      </c>
      <c r="C296" s="11">
        <v>513</v>
      </c>
      <c r="D296" s="9" t="s">
        <v>1638</v>
      </c>
      <c r="E296" s="32" t="s">
        <v>899</v>
      </c>
      <c r="F296" s="11" t="s">
        <v>944</v>
      </c>
      <c r="G296" s="11" t="s">
        <v>945</v>
      </c>
      <c r="H296" s="8" t="s">
        <v>151</v>
      </c>
      <c r="I296" s="32" t="s">
        <v>2767</v>
      </c>
      <c r="J296" s="25">
        <v>43451</v>
      </c>
      <c r="K296" s="25">
        <v>44182</v>
      </c>
      <c r="L296" s="26">
        <f t="shared" si="140"/>
        <v>85.000000627550136</v>
      </c>
      <c r="M296" s="11">
        <v>3</v>
      </c>
      <c r="N296" s="11" t="s">
        <v>1147</v>
      </c>
      <c r="O296" s="11" t="s">
        <v>945</v>
      </c>
      <c r="P296" s="11" t="s">
        <v>174</v>
      </c>
      <c r="Q296" s="11" t="s">
        <v>460</v>
      </c>
      <c r="R296" s="2">
        <f t="shared" si="141"/>
        <v>2370328.59</v>
      </c>
      <c r="S296" s="30">
        <v>2370328.59</v>
      </c>
      <c r="T296" s="34">
        <v>0</v>
      </c>
      <c r="U296" s="1">
        <f t="shared" si="142"/>
        <v>362520.82</v>
      </c>
      <c r="V296" s="42">
        <v>362520.82</v>
      </c>
      <c r="W296" s="42">
        <v>0</v>
      </c>
      <c r="X296" s="1">
        <f t="shared" si="143"/>
        <v>55772.44</v>
      </c>
      <c r="Y296" s="30">
        <v>55772.44</v>
      </c>
      <c r="Z296" s="30">
        <v>0</v>
      </c>
      <c r="AA296" s="2">
        <f t="shared" si="144"/>
        <v>0</v>
      </c>
      <c r="AB296" s="34">
        <v>0</v>
      </c>
      <c r="AC296" s="34">
        <v>0</v>
      </c>
      <c r="AD296" s="16">
        <f t="shared" si="126"/>
        <v>2788621.8499999996</v>
      </c>
      <c r="AE296" s="30">
        <v>0</v>
      </c>
      <c r="AF296" s="2">
        <f t="shared" si="145"/>
        <v>2788621.8499999996</v>
      </c>
      <c r="AG296" s="38" t="s">
        <v>857</v>
      </c>
      <c r="AH296" s="38" t="s">
        <v>151</v>
      </c>
      <c r="AI296" s="30">
        <f>627672.32-17778.09+287234.86+139082.99+89907.24+794027.5-2746.9+72930.32-12652.29 -1844.57-726.44</f>
        <v>1975106.9400000002</v>
      </c>
      <c r="AJ296" s="30">
        <f>63184.36+17778.09+43930.03+21271.52+17999.69+121439.5+2746.9+11154.05+1844.57+726.44</f>
        <v>302075.15000000002</v>
      </c>
    </row>
    <row r="297" spans="1:36" s="179" customFormat="1" ht="141.75" x14ac:dyDescent="0.25">
      <c r="A297" s="6">
        <v>294</v>
      </c>
      <c r="B297" s="31">
        <v>129573</v>
      </c>
      <c r="C297" s="11">
        <v>665</v>
      </c>
      <c r="D297" s="9" t="s">
        <v>1638</v>
      </c>
      <c r="E297" s="32" t="s">
        <v>1071</v>
      </c>
      <c r="F297" s="11" t="s">
        <v>1146</v>
      </c>
      <c r="G297" s="11" t="s">
        <v>191</v>
      </c>
      <c r="H297" s="8" t="s">
        <v>151</v>
      </c>
      <c r="I297" s="32" t="s">
        <v>2768</v>
      </c>
      <c r="J297" s="25">
        <v>43654</v>
      </c>
      <c r="K297" s="25">
        <v>44750</v>
      </c>
      <c r="L297" s="26">
        <f t="shared" si="140"/>
        <v>85.000000000000014</v>
      </c>
      <c r="M297" s="11">
        <v>3</v>
      </c>
      <c r="N297" s="11" t="s">
        <v>1147</v>
      </c>
      <c r="O297" s="11" t="s">
        <v>193</v>
      </c>
      <c r="P297" s="11" t="s">
        <v>174</v>
      </c>
      <c r="Q297" s="11" t="s">
        <v>460</v>
      </c>
      <c r="R297" s="2">
        <f t="shared" si="141"/>
        <v>2547988.73</v>
      </c>
      <c r="S297" s="30">
        <v>2547988.73</v>
      </c>
      <c r="T297" s="34">
        <v>0</v>
      </c>
      <c r="U297" s="1">
        <f t="shared" si="142"/>
        <v>389692.4</v>
      </c>
      <c r="V297" s="42">
        <v>389692.4</v>
      </c>
      <c r="W297" s="42">
        <v>0</v>
      </c>
      <c r="X297" s="1">
        <f t="shared" si="143"/>
        <v>59952.67</v>
      </c>
      <c r="Y297" s="30">
        <v>59952.67</v>
      </c>
      <c r="Z297" s="30">
        <v>0</v>
      </c>
      <c r="AA297" s="2">
        <f t="shared" si="144"/>
        <v>0</v>
      </c>
      <c r="AB297" s="34">
        <v>0</v>
      </c>
      <c r="AC297" s="34">
        <v>0</v>
      </c>
      <c r="AD297" s="16">
        <f t="shared" si="126"/>
        <v>2997633.8</v>
      </c>
      <c r="AE297" s="30">
        <v>21896</v>
      </c>
      <c r="AF297" s="2">
        <f t="shared" si="145"/>
        <v>3019529.8</v>
      </c>
      <c r="AG297" s="38" t="s">
        <v>857</v>
      </c>
      <c r="AH297" s="38" t="s">
        <v>1804</v>
      </c>
      <c r="AI297" s="30">
        <f>72625.7+892213.31+580328.59+448089.25</f>
        <v>1993256.85</v>
      </c>
      <c r="AJ297" s="30">
        <f>11107.46+136456.15+88756.14+68531.29</f>
        <v>304851.03999999998</v>
      </c>
    </row>
    <row r="298" spans="1:36" s="179" customFormat="1" ht="250.5" customHeight="1" x14ac:dyDescent="0.25">
      <c r="A298" s="6">
        <v>295</v>
      </c>
      <c r="B298" s="31">
        <v>129682</v>
      </c>
      <c r="C298" s="11">
        <v>666</v>
      </c>
      <c r="D298" s="9" t="s">
        <v>1638</v>
      </c>
      <c r="E298" s="32" t="s">
        <v>1071</v>
      </c>
      <c r="F298" s="11" t="s">
        <v>1187</v>
      </c>
      <c r="G298" s="11" t="s">
        <v>1656</v>
      </c>
      <c r="H298" s="8" t="s">
        <v>151</v>
      </c>
      <c r="I298" s="32" t="s">
        <v>1188</v>
      </c>
      <c r="J298" s="25">
        <v>43677</v>
      </c>
      <c r="K298" s="25">
        <v>44592</v>
      </c>
      <c r="L298" s="26">
        <f t="shared" si="140"/>
        <v>84.999999798883323</v>
      </c>
      <c r="M298" s="11">
        <v>3</v>
      </c>
      <c r="N298" s="11" t="s">
        <v>194</v>
      </c>
      <c r="O298" s="11" t="s">
        <v>1917</v>
      </c>
      <c r="P298" s="11" t="s">
        <v>174</v>
      </c>
      <c r="Q298" s="11" t="s">
        <v>460</v>
      </c>
      <c r="R298" s="2">
        <f t="shared" si="141"/>
        <v>3381122.07</v>
      </c>
      <c r="S298" s="30">
        <v>3381122.07</v>
      </c>
      <c r="T298" s="34">
        <v>0</v>
      </c>
      <c r="U298" s="1">
        <f t="shared" si="142"/>
        <v>517112.16</v>
      </c>
      <c r="V298" s="42">
        <v>517112.16</v>
      </c>
      <c r="W298" s="42">
        <v>0</v>
      </c>
      <c r="X298" s="1">
        <f t="shared" si="143"/>
        <v>79556.45</v>
      </c>
      <c r="Y298" s="30">
        <v>79556.45</v>
      </c>
      <c r="Z298" s="34">
        <v>0</v>
      </c>
      <c r="AA298" s="2">
        <f t="shared" si="144"/>
        <v>0</v>
      </c>
      <c r="AB298" s="2">
        <v>0</v>
      </c>
      <c r="AC298" s="2">
        <v>0</v>
      </c>
      <c r="AD298" s="16">
        <f t="shared" si="126"/>
        <v>3977790.68</v>
      </c>
      <c r="AE298" s="30">
        <v>0</v>
      </c>
      <c r="AF298" s="2">
        <f t="shared" si="145"/>
        <v>3977790.68</v>
      </c>
      <c r="AG298" s="38" t="s">
        <v>857</v>
      </c>
      <c r="AH298" s="38" t="s">
        <v>151</v>
      </c>
      <c r="AI298" s="30">
        <f>232011.58+75548+208007.75+777843.5+140612.95+616612.95+365761.8+812909.4</f>
        <v>3229307.9299999997</v>
      </c>
      <c r="AJ298" s="30">
        <f>35483.98+11554.29+31812.88+118964.3+21505.4+94305.42+55939.95+124327.29</f>
        <v>493893.51</v>
      </c>
    </row>
    <row r="299" spans="1:36" s="179" customFormat="1" ht="210.75" customHeight="1" x14ac:dyDescent="0.25">
      <c r="A299" s="6">
        <v>296</v>
      </c>
      <c r="B299" s="31">
        <v>135925</v>
      </c>
      <c r="C299" s="11">
        <v>767</v>
      </c>
      <c r="D299" s="9" t="s">
        <v>1638</v>
      </c>
      <c r="E299" s="24" t="s">
        <v>1441</v>
      </c>
      <c r="F299" s="11" t="s">
        <v>1457</v>
      </c>
      <c r="G299" s="11" t="s">
        <v>1458</v>
      </c>
      <c r="H299" s="8" t="s">
        <v>151</v>
      </c>
      <c r="I299" s="32" t="s">
        <v>2769</v>
      </c>
      <c r="J299" s="25">
        <v>43959</v>
      </c>
      <c r="K299" s="25">
        <v>44508</v>
      </c>
      <c r="L299" s="26">
        <f t="shared" si="140"/>
        <v>84.999999999999986</v>
      </c>
      <c r="M299" s="11">
        <v>3</v>
      </c>
      <c r="N299" s="11" t="s">
        <v>194</v>
      </c>
      <c r="O299" s="11" t="s">
        <v>1458</v>
      </c>
      <c r="P299" s="11" t="s">
        <v>174</v>
      </c>
      <c r="Q299" s="11" t="s">
        <v>1450</v>
      </c>
      <c r="R299" s="2">
        <f t="shared" si="141"/>
        <v>1880240.97</v>
      </c>
      <c r="S299" s="30">
        <v>1880240.97</v>
      </c>
      <c r="T299" s="34">
        <v>0</v>
      </c>
      <c r="U299" s="1">
        <f t="shared" si="142"/>
        <v>287566.27</v>
      </c>
      <c r="V299" s="42">
        <v>287566.27</v>
      </c>
      <c r="W299" s="42">
        <v>0</v>
      </c>
      <c r="X299" s="1">
        <f t="shared" si="143"/>
        <v>44240.959999999999</v>
      </c>
      <c r="Y299" s="30">
        <v>44240.959999999999</v>
      </c>
      <c r="Z299" s="34">
        <v>0</v>
      </c>
      <c r="AA299" s="2">
        <f t="shared" si="144"/>
        <v>0</v>
      </c>
      <c r="AB299" s="2">
        <v>0</v>
      </c>
      <c r="AC299" s="2">
        <v>0</v>
      </c>
      <c r="AD299" s="16">
        <f t="shared" si="126"/>
        <v>2212048.2000000002</v>
      </c>
      <c r="AE299" s="30">
        <v>2975</v>
      </c>
      <c r="AF299" s="2">
        <f t="shared" si="145"/>
        <v>2215023.2000000002</v>
      </c>
      <c r="AG299" s="38" t="s">
        <v>857</v>
      </c>
      <c r="AH299" s="38" t="s">
        <v>1753</v>
      </c>
      <c r="AI299" s="30">
        <f>216000-24481.73+44910.08+216000+179158.75-179158.75</f>
        <v>452428.35</v>
      </c>
      <c r="AJ299" s="30">
        <f>24481.73+11677.9+27400.75-27400.75</f>
        <v>36159.629999999997</v>
      </c>
    </row>
    <row r="300" spans="1:36" s="179" customFormat="1" ht="267.75" x14ac:dyDescent="0.25">
      <c r="A300" s="6">
        <v>297</v>
      </c>
      <c r="B300" s="31">
        <v>136159</v>
      </c>
      <c r="C300" s="11">
        <v>846</v>
      </c>
      <c r="D300" s="9" t="s">
        <v>1638</v>
      </c>
      <c r="E300" s="24" t="s">
        <v>1441</v>
      </c>
      <c r="F300" s="11" t="s">
        <v>1463</v>
      </c>
      <c r="G300" s="11" t="s">
        <v>945</v>
      </c>
      <c r="H300" s="8" t="s">
        <v>151</v>
      </c>
      <c r="I300" s="32" t="s">
        <v>1464</v>
      </c>
      <c r="J300" s="25">
        <v>43959</v>
      </c>
      <c r="K300" s="25">
        <v>44993</v>
      </c>
      <c r="L300" s="26">
        <f t="shared" si="140"/>
        <v>84.999999999999986</v>
      </c>
      <c r="M300" s="11">
        <v>3</v>
      </c>
      <c r="N300" s="11" t="s">
        <v>194</v>
      </c>
      <c r="O300" s="11" t="s">
        <v>945</v>
      </c>
      <c r="P300" s="11" t="s">
        <v>174</v>
      </c>
      <c r="Q300" s="11" t="s">
        <v>1450</v>
      </c>
      <c r="R300" s="2">
        <f t="shared" si="141"/>
        <v>1894229.42</v>
      </c>
      <c r="S300" s="30">
        <v>1894229.42</v>
      </c>
      <c r="T300" s="34">
        <v>0</v>
      </c>
      <c r="U300" s="1">
        <f t="shared" si="142"/>
        <v>289705.68</v>
      </c>
      <c r="V300" s="42">
        <v>289705.68</v>
      </c>
      <c r="W300" s="42">
        <v>0</v>
      </c>
      <c r="X300" s="1">
        <f t="shared" si="143"/>
        <v>44570.1</v>
      </c>
      <c r="Y300" s="30">
        <v>44570.1</v>
      </c>
      <c r="Z300" s="34">
        <v>0</v>
      </c>
      <c r="AA300" s="2">
        <f t="shared" si="144"/>
        <v>0</v>
      </c>
      <c r="AB300" s="2">
        <v>0</v>
      </c>
      <c r="AC300" s="2">
        <v>0</v>
      </c>
      <c r="AD300" s="16">
        <f t="shared" si="126"/>
        <v>2228505.2000000002</v>
      </c>
      <c r="AE300" s="30">
        <v>0</v>
      </c>
      <c r="AF300" s="2">
        <f t="shared" si="145"/>
        <v>2228505.2000000002</v>
      </c>
      <c r="AG300" s="38" t="s">
        <v>486</v>
      </c>
      <c r="AH300" s="38" t="s">
        <v>1854</v>
      </c>
      <c r="AI300" s="30">
        <f>207152.02-5478.06-136607.56-980+52494.71+16815.94</f>
        <v>133397.04999999999</v>
      </c>
      <c r="AJ300" s="30">
        <f>5478.06+4473.27-130+10580.57</f>
        <v>20401.900000000001</v>
      </c>
    </row>
    <row r="301" spans="1:36" s="179" customFormat="1" ht="267.75" x14ac:dyDescent="0.25">
      <c r="A301" s="6">
        <v>298</v>
      </c>
      <c r="B301" s="31">
        <v>136243</v>
      </c>
      <c r="C301" s="11">
        <v>824</v>
      </c>
      <c r="D301" s="9" t="s">
        <v>1638</v>
      </c>
      <c r="E301" s="24" t="s">
        <v>1441</v>
      </c>
      <c r="F301" s="11" t="s">
        <v>1490</v>
      </c>
      <c r="G301" s="11" t="s">
        <v>1491</v>
      </c>
      <c r="H301" s="8" t="s">
        <v>151</v>
      </c>
      <c r="I301" s="32" t="s">
        <v>1492</v>
      </c>
      <c r="J301" s="25">
        <v>43969</v>
      </c>
      <c r="K301" s="25">
        <v>45095</v>
      </c>
      <c r="L301" s="26">
        <f t="shared" si="140"/>
        <v>85.000000012520232</v>
      </c>
      <c r="M301" s="11">
        <v>3</v>
      </c>
      <c r="N301" s="11" t="s">
        <v>194</v>
      </c>
      <c r="O301" s="11" t="s">
        <v>1491</v>
      </c>
      <c r="P301" s="11" t="s">
        <v>174</v>
      </c>
      <c r="Q301" s="11" t="s">
        <v>1450</v>
      </c>
      <c r="R301" s="2">
        <f t="shared" si="141"/>
        <v>3394504.81</v>
      </c>
      <c r="S301" s="30">
        <v>3394504.81</v>
      </c>
      <c r="T301" s="34">
        <v>0</v>
      </c>
      <c r="U301" s="1">
        <f t="shared" si="142"/>
        <v>519159.56</v>
      </c>
      <c r="V301" s="42">
        <v>519159.56</v>
      </c>
      <c r="W301" s="42">
        <v>0</v>
      </c>
      <c r="X301" s="1">
        <f t="shared" si="143"/>
        <v>79870.7</v>
      </c>
      <c r="Y301" s="30">
        <v>79870.7</v>
      </c>
      <c r="Z301" s="34">
        <v>0</v>
      </c>
      <c r="AA301" s="2">
        <f t="shared" si="144"/>
        <v>0</v>
      </c>
      <c r="AB301" s="2">
        <v>0</v>
      </c>
      <c r="AC301" s="2">
        <v>0</v>
      </c>
      <c r="AD301" s="16">
        <f t="shared" si="126"/>
        <v>3993535.0700000003</v>
      </c>
      <c r="AE301" s="30">
        <v>0</v>
      </c>
      <c r="AF301" s="2">
        <f t="shared" si="145"/>
        <v>3993535.0700000003</v>
      </c>
      <c r="AG301" s="38" t="s">
        <v>486</v>
      </c>
      <c r="AH301" s="38" t="s">
        <v>2201</v>
      </c>
      <c r="AI301" s="30">
        <f>14571.55+71362.34+79992.65</f>
        <v>165926.53999999998</v>
      </c>
      <c r="AJ301" s="30">
        <f>2228.59+10914.24+12234.17</f>
        <v>25377</v>
      </c>
    </row>
    <row r="302" spans="1:36" s="179" customFormat="1" ht="220.5" customHeight="1" x14ac:dyDescent="0.25">
      <c r="A302" s="6">
        <v>299</v>
      </c>
      <c r="B302" s="31">
        <v>136133</v>
      </c>
      <c r="C302" s="11">
        <v>792</v>
      </c>
      <c r="D302" s="9" t="s">
        <v>1638</v>
      </c>
      <c r="E302" s="24" t="s">
        <v>1441</v>
      </c>
      <c r="F302" s="11" t="s">
        <v>1561</v>
      </c>
      <c r="G302" s="11" t="s">
        <v>1656</v>
      </c>
      <c r="H302" s="8" t="s">
        <v>151</v>
      </c>
      <c r="I302" s="32" t="s">
        <v>2770</v>
      </c>
      <c r="J302" s="25">
        <v>44014</v>
      </c>
      <c r="K302" s="25">
        <v>44897</v>
      </c>
      <c r="L302" s="26">
        <f t="shared" si="140"/>
        <v>85.000000233024664</v>
      </c>
      <c r="M302" s="11">
        <v>3</v>
      </c>
      <c r="N302" s="11" t="s">
        <v>194</v>
      </c>
      <c r="O302" s="11" t="s">
        <v>1917</v>
      </c>
      <c r="P302" s="11" t="s">
        <v>174</v>
      </c>
      <c r="Q302" s="11" t="s">
        <v>1450</v>
      </c>
      <c r="R302" s="2">
        <f t="shared" si="141"/>
        <v>2370993.67</v>
      </c>
      <c r="S302" s="30">
        <v>2370993.67</v>
      </c>
      <c r="T302" s="34">
        <v>0</v>
      </c>
      <c r="U302" s="1">
        <f t="shared" si="142"/>
        <v>362622.56</v>
      </c>
      <c r="V302" s="42">
        <v>362622.56</v>
      </c>
      <c r="W302" s="42">
        <v>0</v>
      </c>
      <c r="X302" s="1">
        <f t="shared" si="143"/>
        <v>55788.08</v>
      </c>
      <c r="Y302" s="30">
        <v>55788.08</v>
      </c>
      <c r="Z302" s="34">
        <v>0</v>
      </c>
      <c r="AA302" s="2">
        <f t="shared" si="144"/>
        <v>0</v>
      </c>
      <c r="AB302" s="2">
        <v>0</v>
      </c>
      <c r="AC302" s="2">
        <v>0</v>
      </c>
      <c r="AD302" s="16">
        <f t="shared" si="126"/>
        <v>2789404.31</v>
      </c>
      <c r="AE302" s="30">
        <v>0</v>
      </c>
      <c r="AF302" s="2">
        <f t="shared" si="145"/>
        <v>2789404.31</v>
      </c>
      <c r="AG302" s="38" t="s">
        <v>486</v>
      </c>
      <c r="AH302" s="38" t="s">
        <v>3292</v>
      </c>
      <c r="AI302" s="30">
        <f>60995.15+165203.29+109492.33+1058637.35+415164.65</f>
        <v>1809492.77</v>
      </c>
      <c r="AJ302" s="30">
        <f>9328.67+25266.39+16745.89+161909.24+63495.77</f>
        <v>276745.96000000002</v>
      </c>
    </row>
    <row r="303" spans="1:36" s="179" customFormat="1" ht="267.75" x14ac:dyDescent="0.25">
      <c r="A303" s="6">
        <v>300</v>
      </c>
      <c r="B303" s="31">
        <v>152005</v>
      </c>
      <c r="C303" s="11">
        <v>1125</v>
      </c>
      <c r="D303" s="9" t="s">
        <v>1639</v>
      </c>
      <c r="E303" s="24" t="s">
        <v>1801</v>
      </c>
      <c r="F303" s="11" t="s">
        <v>1855</v>
      </c>
      <c r="G303" s="11" t="s">
        <v>1458</v>
      </c>
      <c r="H303" s="8" t="s">
        <v>151</v>
      </c>
      <c r="I303" s="32" t="s">
        <v>1856</v>
      </c>
      <c r="J303" s="25">
        <v>44503</v>
      </c>
      <c r="K303" s="25">
        <v>44988</v>
      </c>
      <c r="L303" s="26">
        <f t="shared" si="140"/>
        <v>85</v>
      </c>
      <c r="M303" s="11">
        <v>3</v>
      </c>
      <c r="N303" s="11" t="s">
        <v>194</v>
      </c>
      <c r="O303" s="11" t="s">
        <v>1458</v>
      </c>
      <c r="P303" s="11" t="s">
        <v>174</v>
      </c>
      <c r="Q303" s="11" t="s">
        <v>1450</v>
      </c>
      <c r="R303" s="2">
        <f t="shared" si="141"/>
        <v>352138</v>
      </c>
      <c r="S303" s="30">
        <v>352138</v>
      </c>
      <c r="T303" s="34">
        <v>0</v>
      </c>
      <c r="U303" s="1">
        <f t="shared" si="142"/>
        <v>53856.4</v>
      </c>
      <c r="V303" s="42">
        <v>53856.4</v>
      </c>
      <c r="W303" s="42">
        <v>0</v>
      </c>
      <c r="X303" s="1">
        <f t="shared" si="143"/>
        <v>8285.6</v>
      </c>
      <c r="Y303" s="30">
        <v>8285.6</v>
      </c>
      <c r="Z303" s="34">
        <v>0</v>
      </c>
      <c r="AA303" s="2">
        <f t="shared" si="144"/>
        <v>0</v>
      </c>
      <c r="AB303" s="2">
        <v>0</v>
      </c>
      <c r="AC303" s="2">
        <v>0</v>
      </c>
      <c r="AD303" s="16">
        <f t="shared" si="126"/>
        <v>414280</v>
      </c>
      <c r="AE303" s="30">
        <v>0</v>
      </c>
      <c r="AF303" s="2">
        <f t="shared" si="145"/>
        <v>414280</v>
      </c>
      <c r="AG303" s="38" t="s">
        <v>486</v>
      </c>
      <c r="AH303" s="38"/>
      <c r="AI303" s="30">
        <v>0</v>
      </c>
      <c r="AJ303" s="30">
        <v>0</v>
      </c>
    </row>
    <row r="304" spans="1:36" s="179" customFormat="1" ht="126" customHeight="1" x14ac:dyDescent="0.25">
      <c r="A304" s="6">
        <v>301</v>
      </c>
      <c r="B304" s="31">
        <v>119208</v>
      </c>
      <c r="C304" s="11">
        <v>489</v>
      </c>
      <c r="D304" s="9" t="s">
        <v>1638</v>
      </c>
      <c r="E304" s="24" t="s">
        <v>457</v>
      </c>
      <c r="F304" s="11" t="s">
        <v>877</v>
      </c>
      <c r="G304" s="11" t="s">
        <v>878</v>
      </c>
      <c r="H304" s="8" t="s">
        <v>151</v>
      </c>
      <c r="I304" s="12" t="s">
        <v>2771</v>
      </c>
      <c r="J304" s="25">
        <v>43396</v>
      </c>
      <c r="K304" s="25">
        <v>43884</v>
      </c>
      <c r="L304" s="26">
        <f t="shared" ref="L304:L309" si="146">R304/AD304*100</f>
        <v>85</v>
      </c>
      <c r="M304" s="11">
        <v>1</v>
      </c>
      <c r="N304" s="11" t="s">
        <v>407</v>
      </c>
      <c r="O304" s="11" t="s">
        <v>1918</v>
      </c>
      <c r="P304" s="27" t="s">
        <v>174</v>
      </c>
      <c r="Q304" s="11" t="s">
        <v>34</v>
      </c>
      <c r="R304" s="2">
        <f t="shared" ref="R304:R309" si="147">S304+T304</f>
        <v>529360.44999999995</v>
      </c>
      <c r="S304" s="2">
        <v>529360.44999999995</v>
      </c>
      <c r="T304" s="2">
        <v>0</v>
      </c>
      <c r="U304" s="1">
        <f t="shared" ref="U304:U311" si="148">V304+W304</f>
        <v>80961.009999999995</v>
      </c>
      <c r="V304" s="28">
        <v>80961.009999999995</v>
      </c>
      <c r="W304" s="28">
        <v>0</v>
      </c>
      <c r="X304" s="1">
        <f t="shared" ref="X304:X311" si="149">Y304+Z304</f>
        <v>12455.54</v>
      </c>
      <c r="Y304" s="2">
        <v>12455.54</v>
      </c>
      <c r="Z304" s="2">
        <v>0</v>
      </c>
      <c r="AA304" s="2">
        <f t="shared" ref="AA304:AA311" si="150">AB304+AC304</f>
        <v>0</v>
      </c>
      <c r="AB304" s="2">
        <v>0</v>
      </c>
      <c r="AC304" s="2">
        <v>0</v>
      </c>
      <c r="AD304" s="16">
        <f t="shared" si="126"/>
        <v>622777</v>
      </c>
      <c r="AE304" s="2"/>
      <c r="AF304" s="2">
        <f t="shared" ref="AF304:AF311" si="151">AD304+AE304</f>
        <v>622777</v>
      </c>
      <c r="AG304" s="38" t="s">
        <v>1427</v>
      </c>
      <c r="AH304" s="29"/>
      <c r="AI304" s="30">
        <v>483717.67</v>
      </c>
      <c r="AJ304" s="30">
        <v>73980.329999999987</v>
      </c>
    </row>
    <row r="305" spans="1:36" s="179" customFormat="1" ht="141.75" x14ac:dyDescent="0.25">
      <c r="A305" s="6">
        <v>302</v>
      </c>
      <c r="B305" s="31">
        <v>122867</v>
      </c>
      <c r="C305" s="31">
        <v>105</v>
      </c>
      <c r="D305" s="9" t="s">
        <v>1638</v>
      </c>
      <c r="E305" s="24" t="s">
        <v>277</v>
      </c>
      <c r="F305" s="11" t="s">
        <v>794</v>
      </c>
      <c r="G305" s="11" t="s">
        <v>906</v>
      </c>
      <c r="H305" s="11" t="s">
        <v>795</v>
      </c>
      <c r="I305" s="12" t="s">
        <v>796</v>
      </c>
      <c r="J305" s="25">
        <v>43342</v>
      </c>
      <c r="K305" s="25">
        <v>43707</v>
      </c>
      <c r="L305" s="26">
        <f t="shared" si="146"/>
        <v>84.194914940710191</v>
      </c>
      <c r="M305" s="11">
        <v>1</v>
      </c>
      <c r="N305" s="11" t="s">
        <v>407</v>
      </c>
      <c r="O305" s="11" t="s">
        <v>797</v>
      </c>
      <c r="P305" s="27" t="s">
        <v>174</v>
      </c>
      <c r="Q305" s="11" t="s">
        <v>34</v>
      </c>
      <c r="R305" s="2">
        <f t="shared" si="147"/>
        <v>351606.78</v>
      </c>
      <c r="S305" s="2">
        <v>351606.78</v>
      </c>
      <c r="T305" s="2">
        <v>0</v>
      </c>
      <c r="U305" s="1">
        <f t="shared" si="148"/>
        <v>57651.47</v>
      </c>
      <c r="V305" s="28">
        <v>57651.47</v>
      </c>
      <c r="W305" s="28">
        <v>0</v>
      </c>
      <c r="X305" s="1">
        <f t="shared" si="149"/>
        <v>8352.2199999999993</v>
      </c>
      <c r="Y305" s="2">
        <v>8352.2199999999993</v>
      </c>
      <c r="Z305" s="2">
        <v>0</v>
      </c>
      <c r="AA305" s="2">
        <f t="shared" si="150"/>
        <v>0</v>
      </c>
      <c r="AB305" s="2">
        <v>0</v>
      </c>
      <c r="AC305" s="2">
        <v>0</v>
      </c>
      <c r="AD305" s="16">
        <f t="shared" si="126"/>
        <v>417610.47</v>
      </c>
      <c r="AE305" s="2"/>
      <c r="AF305" s="2">
        <f t="shared" si="151"/>
        <v>417610.47</v>
      </c>
      <c r="AG305" s="21" t="s">
        <v>857</v>
      </c>
      <c r="AH305" s="29" t="s">
        <v>294</v>
      </c>
      <c r="AI305" s="30">
        <v>320784.53000000003</v>
      </c>
      <c r="AJ305" s="30">
        <v>52280.650000000009</v>
      </c>
    </row>
    <row r="306" spans="1:36" s="179" customFormat="1" ht="189" x14ac:dyDescent="0.25">
      <c r="A306" s="6">
        <v>303</v>
      </c>
      <c r="B306" s="31">
        <v>126260</v>
      </c>
      <c r="C306" s="11">
        <v>526</v>
      </c>
      <c r="D306" s="9" t="s">
        <v>1638</v>
      </c>
      <c r="E306" s="24" t="s">
        <v>899</v>
      </c>
      <c r="F306" s="11" t="s">
        <v>907</v>
      </c>
      <c r="G306" s="11" t="s">
        <v>906</v>
      </c>
      <c r="H306" s="8" t="s">
        <v>151</v>
      </c>
      <c r="I306" s="12" t="s">
        <v>2772</v>
      </c>
      <c r="J306" s="25">
        <v>43433</v>
      </c>
      <c r="K306" s="25">
        <v>44284</v>
      </c>
      <c r="L306" s="26">
        <f t="shared" si="146"/>
        <v>84.999999887651384</v>
      </c>
      <c r="M306" s="11">
        <v>1</v>
      </c>
      <c r="N306" s="11" t="s">
        <v>407</v>
      </c>
      <c r="O306" s="11" t="s">
        <v>797</v>
      </c>
      <c r="P306" s="27" t="s">
        <v>174</v>
      </c>
      <c r="Q306" s="11" t="s">
        <v>34</v>
      </c>
      <c r="R306" s="2">
        <f t="shared" si="147"/>
        <v>2269720.81</v>
      </c>
      <c r="S306" s="2">
        <v>2269720.81</v>
      </c>
      <c r="T306" s="2">
        <v>0</v>
      </c>
      <c r="U306" s="1">
        <f t="shared" si="148"/>
        <v>347133.77</v>
      </c>
      <c r="V306" s="28">
        <v>347133.77</v>
      </c>
      <c r="W306" s="28">
        <v>0</v>
      </c>
      <c r="X306" s="1">
        <f t="shared" si="149"/>
        <v>53405.2</v>
      </c>
      <c r="Y306" s="2">
        <v>53405.2</v>
      </c>
      <c r="Z306" s="2">
        <v>0</v>
      </c>
      <c r="AA306" s="2">
        <f t="shared" si="150"/>
        <v>0</v>
      </c>
      <c r="AB306" s="2">
        <v>0</v>
      </c>
      <c r="AC306" s="2">
        <v>0</v>
      </c>
      <c r="AD306" s="16">
        <f t="shared" si="126"/>
        <v>2670259.7800000003</v>
      </c>
      <c r="AE306" s="2">
        <v>57120</v>
      </c>
      <c r="AF306" s="2">
        <f t="shared" si="151"/>
        <v>2727379.7800000003</v>
      </c>
      <c r="AG306" s="38" t="s">
        <v>857</v>
      </c>
      <c r="AH306" s="29" t="s">
        <v>1670</v>
      </c>
      <c r="AI306" s="30">
        <f>176317.2+454574.91+552196.35+622670.87+112586.33</f>
        <v>1918345.6600000001</v>
      </c>
      <c r="AJ306" s="30">
        <f>26966.16+69523.21+84453.54+95232.02+17219.08</f>
        <v>293394.01</v>
      </c>
    </row>
    <row r="307" spans="1:36" s="179" customFormat="1" ht="267.75" x14ac:dyDescent="0.25">
      <c r="A307" s="6">
        <v>304</v>
      </c>
      <c r="B307" s="31">
        <v>136304</v>
      </c>
      <c r="C307" s="11">
        <v>807</v>
      </c>
      <c r="D307" s="9" t="s">
        <v>1638</v>
      </c>
      <c r="E307" s="24" t="s">
        <v>1441</v>
      </c>
      <c r="F307" s="11" t="s">
        <v>1459</v>
      </c>
      <c r="G307" s="11" t="s">
        <v>879</v>
      </c>
      <c r="H307" s="8" t="s">
        <v>151</v>
      </c>
      <c r="I307" s="12" t="s">
        <v>1460</v>
      </c>
      <c r="J307" s="25">
        <v>43959</v>
      </c>
      <c r="K307" s="25">
        <v>44750</v>
      </c>
      <c r="L307" s="26">
        <f t="shared" si="146"/>
        <v>85.000000207537823</v>
      </c>
      <c r="M307" s="11">
        <v>1</v>
      </c>
      <c r="N307" s="11" t="s">
        <v>407</v>
      </c>
      <c r="O307" s="11" t="s">
        <v>1918</v>
      </c>
      <c r="P307" s="27" t="s">
        <v>174</v>
      </c>
      <c r="Q307" s="11" t="s">
        <v>1450</v>
      </c>
      <c r="R307" s="2">
        <f t="shared" si="147"/>
        <v>3276511.26</v>
      </c>
      <c r="S307" s="2">
        <v>3276511.26</v>
      </c>
      <c r="T307" s="2">
        <v>0</v>
      </c>
      <c r="U307" s="1">
        <f t="shared" si="148"/>
        <v>501113.47</v>
      </c>
      <c r="V307" s="28">
        <v>501113.47</v>
      </c>
      <c r="W307" s="28">
        <v>0</v>
      </c>
      <c r="X307" s="1">
        <f t="shared" si="149"/>
        <v>77094.39</v>
      </c>
      <c r="Y307" s="2">
        <v>77094.39</v>
      </c>
      <c r="Z307" s="2">
        <v>0</v>
      </c>
      <c r="AA307" s="2">
        <f t="shared" si="150"/>
        <v>0</v>
      </c>
      <c r="AB307" s="2">
        <v>0</v>
      </c>
      <c r="AC307" s="2">
        <v>0</v>
      </c>
      <c r="AD307" s="16">
        <f t="shared" si="126"/>
        <v>3854719.1199999996</v>
      </c>
      <c r="AE307" s="2">
        <v>0</v>
      </c>
      <c r="AF307" s="2">
        <f t="shared" si="151"/>
        <v>3854719.1199999996</v>
      </c>
      <c r="AG307" s="38" t="s">
        <v>857</v>
      </c>
      <c r="AH307" s="38" t="s">
        <v>1739</v>
      </c>
      <c r="AI307" s="30">
        <f>19470.95+79241.25+59313+212713.2+56806.35+850875.5+279844.65+870336.25+707987.29</f>
        <v>3136588.44</v>
      </c>
      <c r="AJ307" s="30">
        <f>2977.91+12119.25+9071.4+32532.6+8688.03+130133.9+42799.77+133110.25+108280.41</f>
        <v>479713.52</v>
      </c>
    </row>
    <row r="308" spans="1:36" s="179" customFormat="1" ht="267.75" x14ac:dyDescent="0.25">
      <c r="A308" s="6">
        <v>305</v>
      </c>
      <c r="B308" s="31">
        <v>135378</v>
      </c>
      <c r="C308" s="11">
        <v>795</v>
      </c>
      <c r="D308" s="9" t="s">
        <v>1638</v>
      </c>
      <c r="E308" s="24" t="s">
        <v>1441</v>
      </c>
      <c r="F308" s="11" t="s">
        <v>1544</v>
      </c>
      <c r="G308" s="11" t="s">
        <v>906</v>
      </c>
      <c r="H308" s="8" t="s">
        <v>151</v>
      </c>
      <c r="I308" s="12" t="s">
        <v>2773</v>
      </c>
      <c r="J308" s="25">
        <v>44001</v>
      </c>
      <c r="K308" s="25">
        <v>44700</v>
      </c>
      <c r="L308" s="26">
        <f t="shared" si="146"/>
        <v>85.000000232719501</v>
      </c>
      <c r="M308" s="11">
        <v>1</v>
      </c>
      <c r="N308" s="11" t="s">
        <v>407</v>
      </c>
      <c r="O308" s="11" t="s">
        <v>906</v>
      </c>
      <c r="P308" s="27" t="s">
        <v>174</v>
      </c>
      <c r="Q308" s="11" t="s">
        <v>1450</v>
      </c>
      <c r="R308" s="2">
        <f t="shared" si="147"/>
        <v>2739349.45</v>
      </c>
      <c r="S308" s="2">
        <v>2739349.45</v>
      </c>
      <c r="T308" s="2">
        <v>0</v>
      </c>
      <c r="U308" s="1">
        <f t="shared" si="148"/>
        <v>418959.32</v>
      </c>
      <c r="V308" s="28">
        <v>418959.32</v>
      </c>
      <c r="W308" s="28">
        <v>0</v>
      </c>
      <c r="X308" s="1">
        <f t="shared" si="149"/>
        <v>64455.28</v>
      </c>
      <c r="Y308" s="2">
        <v>64455.28</v>
      </c>
      <c r="Z308" s="2">
        <v>0</v>
      </c>
      <c r="AA308" s="2">
        <f t="shared" si="150"/>
        <v>0</v>
      </c>
      <c r="AB308" s="2">
        <v>0</v>
      </c>
      <c r="AC308" s="2">
        <v>0</v>
      </c>
      <c r="AD308" s="16">
        <f t="shared" si="126"/>
        <v>3222764.05</v>
      </c>
      <c r="AE308" s="2">
        <v>0</v>
      </c>
      <c r="AF308" s="2">
        <f t="shared" si="151"/>
        <v>3222764.05</v>
      </c>
      <c r="AG308" s="38" t="s">
        <v>857</v>
      </c>
      <c r="AH308" s="38" t="s">
        <v>1764</v>
      </c>
      <c r="AI308" s="30">
        <f>122320.43+70052.75+88977.42+77843.43+1587415.81+101483.2+489423.41</f>
        <v>2537516.4500000002</v>
      </c>
      <c r="AJ308" s="30">
        <f>18707.84+10713.95+13608.31+11905.47+242781.24+15520.96+74852.99</f>
        <v>388090.76</v>
      </c>
    </row>
    <row r="309" spans="1:36" s="179" customFormat="1" ht="170.25" customHeight="1" x14ac:dyDescent="0.25">
      <c r="A309" s="6">
        <v>306</v>
      </c>
      <c r="B309" s="31">
        <v>152131</v>
      </c>
      <c r="C309" s="11">
        <v>1136</v>
      </c>
      <c r="D309" s="9" t="s">
        <v>1639</v>
      </c>
      <c r="E309" s="24" t="s">
        <v>1801</v>
      </c>
      <c r="F309" s="11" t="s">
        <v>1866</v>
      </c>
      <c r="G309" s="11" t="s">
        <v>878</v>
      </c>
      <c r="H309" s="8" t="s">
        <v>151</v>
      </c>
      <c r="I309" s="12" t="s">
        <v>1867</v>
      </c>
      <c r="J309" s="25">
        <v>44518</v>
      </c>
      <c r="K309" s="25">
        <v>45003</v>
      </c>
      <c r="L309" s="26">
        <f t="shared" si="146"/>
        <v>85.000004117626744</v>
      </c>
      <c r="M309" s="11">
        <v>1</v>
      </c>
      <c r="N309" s="11" t="s">
        <v>407</v>
      </c>
      <c r="O309" s="11" t="s">
        <v>1918</v>
      </c>
      <c r="P309" s="27" t="s">
        <v>174</v>
      </c>
      <c r="Q309" s="11" t="s">
        <v>1450</v>
      </c>
      <c r="R309" s="2">
        <f t="shared" si="147"/>
        <v>350930.32</v>
      </c>
      <c r="S309" s="2">
        <v>350930.32</v>
      </c>
      <c r="T309" s="2">
        <v>0</v>
      </c>
      <c r="U309" s="1">
        <f t="shared" si="148"/>
        <v>53671.67</v>
      </c>
      <c r="V309" s="28">
        <v>53671.67</v>
      </c>
      <c r="W309" s="28">
        <v>0</v>
      </c>
      <c r="X309" s="1">
        <f t="shared" si="149"/>
        <v>8257.19</v>
      </c>
      <c r="Y309" s="2">
        <v>8257.19</v>
      </c>
      <c r="Z309" s="2">
        <v>0</v>
      </c>
      <c r="AA309" s="2">
        <f t="shared" si="150"/>
        <v>0</v>
      </c>
      <c r="AB309" s="2">
        <v>0</v>
      </c>
      <c r="AC309" s="2">
        <v>0</v>
      </c>
      <c r="AD309" s="16">
        <f t="shared" si="126"/>
        <v>412859.18</v>
      </c>
      <c r="AE309" s="2">
        <v>0</v>
      </c>
      <c r="AF309" s="2">
        <f t="shared" si="151"/>
        <v>412859.18</v>
      </c>
      <c r="AG309" s="38" t="s">
        <v>486</v>
      </c>
      <c r="AH309" s="38"/>
      <c r="AI309" s="30">
        <f>15620.45+49291.93</f>
        <v>64912.380000000005</v>
      </c>
      <c r="AJ309" s="30">
        <f>2389.01+7538.76</f>
        <v>9927.77</v>
      </c>
    </row>
    <row r="310" spans="1:36" s="179" customFormat="1" ht="170.25" customHeight="1" x14ac:dyDescent="0.25">
      <c r="A310" s="6">
        <v>307</v>
      </c>
      <c r="B310" s="31">
        <v>154741</v>
      </c>
      <c r="C310" s="11">
        <v>1219</v>
      </c>
      <c r="D310" s="9" t="s">
        <v>1638</v>
      </c>
      <c r="E310" s="24" t="s">
        <v>2014</v>
      </c>
      <c r="F310" s="11" t="s">
        <v>2170</v>
      </c>
      <c r="G310" s="11" t="s">
        <v>878</v>
      </c>
      <c r="H310" s="8" t="s">
        <v>151</v>
      </c>
      <c r="I310" s="12" t="s">
        <v>2171</v>
      </c>
      <c r="J310" s="25">
        <v>44678</v>
      </c>
      <c r="K310" s="25">
        <v>45165</v>
      </c>
      <c r="L310" s="26">
        <f>R310/AD310*100</f>
        <v>84.999999924386955</v>
      </c>
      <c r="M310" s="11">
        <v>1</v>
      </c>
      <c r="N310" s="11" t="s">
        <v>407</v>
      </c>
      <c r="O310" s="11" t="s">
        <v>1918</v>
      </c>
      <c r="P310" s="27" t="s">
        <v>174</v>
      </c>
      <c r="Q310" s="11" t="s">
        <v>1450</v>
      </c>
      <c r="R310" s="2">
        <f>S310+T310</f>
        <v>3372433.63</v>
      </c>
      <c r="S310" s="2">
        <v>3372433.63</v>
      </c>
      <c r="T310" s="2">
        <v>0</v>
      </c>
      <c r="U310" s="1">
        <f t="shared" si="148"/>
        <v>515783.97</v>
      </c>
      <c r="V310" s="28">
        <v>515783.97</v>
      </c>
      <c r="W310" s="28">
        <v>0</v>
      </c>
      <c r="X310" s="1">
        <f t="shared" si="149"/>
        <v>79351.38</v>
      </c>
      <c r="Y310" s="2">
        <v>79351.38</v>
      </c>
      <c r="Z310" s="2">
        <v>0</v>
      </c>
      <c r="AA310" s="2">
        <f t="shared" si="150"/>
        <v>0</v>
      </c>
      <c r="AB310" s="2">
        <v>0</v>
      </c>
      <c r="AC310" s="2">
        <v>0</v>
      </c>
      <c r="AD310" s="16">
        <f t="shared" si="126"/>
        <v>3967568.9799999995</v>
      </c>
      <c r="AE310" s="2">
        <v>0</v>
      </c>
      <c r="AF310" s="2">
        <f t="shared" si="151"/>
        <v>3967568.9799999995</v>
      </c>
      <c r="AG310" s="38" t="s">
        <v>486</v>
      </c>
      <c r="AH310" s="38"/>
      <c r="AI310" s="30">
        <v>0</v>
      </c>
      <c r="AJ310" s="30">
        <v>0</v>
      </c>
    </row>
    <row r="311" spans="1:36" s="179" customFormat="1" ht="170.25" customHeight="1" x14ac:dyDescent="0.25">
      <c r="A311" s="6">
        <v>308</v>
      </c>
      <c r="B311" s="31">
        <v>155229</v>
      </c>
      <c r="C311" s="11">
        <v>1245</v>
      </c>
      <c r="D311" s="9" t="s">
        <v>1638</v>
      </c>
      <c r="E311" s="24" t="s">
        <v>2014</v>
      </c>
      <c r="F311" s="11" t="s">
        <v>2187</v>
      </c>
      <c r="G311" s="11" t="s">
        <v>879</v>
      </c>
      <c r="H311" s="8" t="s">
        <v>151</v>
      </c>
      <c r="I311" s="12" t="s">
        <v>2188</v>
      </c>
      <c r="J311" s="25">
        <v>44685</v>
      </c>
      <c r="K311" s="25">
        <v>45173</v>
      </c>
      <c r="L311" s="26">
        <f>R311/AD311*100</f>
        <v>85.000000383236838</v>
      </c>
      <c r="M311" s="11">
        <v>1</v>
      </c>
      <c r="N311" s="11" t="s">
        <v>407</v>
      </c>
      <c r="O311" s="11" t="s">
        <v>1918</v>
      </c>
      <c r="P311" s="27" t="s">
        <v>174</v>
      </c>
      <c r="Q311" s="11" t="s">
        <v>1450</v>
      </c>
      <c r="R311" s="2">
        <f>S311+T311</f>
        <v>2883334.5</v>
      </c>
      <c r="S311" s="2">
        <v>2883334.5</v>
      </c>
      <c r="T311" s="2">
        <v>0</v>
      </c>
      <c r="U311" s="1">
        <f t="shared" si="148"/>
        <v>440980.56</v>
      </c>
      <c r="V311" s="28">
        <v>440980.56</v>
      </c>
      <c r="W311" s="28">
        <v>0</v>
      </c>
      <c r="X311" s="1">
        <f t="shared" si="149"/>
        <v>67843.16</v>
      </c>
      <c r="Y311" s="2">
        <v>67843.16</v>
      </c>
      <c r="Z311" s="2">
        <v>0</v>
      </c>
      <c r="AA311" s="2">
        <f t="shared" si="150"/>
        <v>0</v>
      </c>
      <c r="AB311" s="2">
        <v>0</v>
      </c>
      <c r="AC311" s="2">
        <v>0</v>
      </c>
      <c r="AD311" s="16">
        <f t="shared" si="126"/>
        <v>3392158.22</v>
      </c>
      <c r="AE311" s="2">
        <v>0</v>
      </c>
      <c r="AF311" s="2">
        <f t="shared" si="151"/>
        <v>3392158.22</v>
      </c>
      <c r="AG311" s="38" t="s">
        <v>486</v>
      </c>
      <c r="AH311" s="38"/>
      <c r="AI311" s="30">
        <v>0</v>
      </c>
      <c r="AJ311" s="30">
        <v>0</v>
      </c>
    </row>
    <row r="312" spans="1:36" s="179" customFormat="1" ht="283.5" x14ac:dyDescent="0.25">
      <c r="A312" s="6">
        <v>309</v>
      </c>
      <c r="B312" s="31">
        <v>120572</v>
      </c>
      <c r="C312" s="11">
        <v>82</v>
      </c>
      <c r="D312" s="9" t="s">
        <v>1638</v>
      </c>
      <c r="E312" s="24" t="s">
        <v>277</v>
      </c>
      <c r="F312" s="11" t="s">
        <v>266</v>
      </c>
      <c r="G312" s="11" t="s">
        <v>267</v>
      </c>
      <c r="H312" s="8" t="s">
        <v>151</v>
      </c>
      <c r="I312" s="12" t="s">
        <v>612</v>
      </c>
      <c r="J312" s="25">
        <v>43171</v>
      </c>
      <c r="K312" s="25">
        <v>43658</v>
      </c>
      <c r="L312" s="26">
        <f>R312/AD312*100</f>
        <v>85.000000359311386</v>
      </c>
      <c r="M312" s="11">
        <v>4</v>
      </c>
      <c r="N312" s="11" t="s">
        <v>268</v>
      </c>
      <c r="O312" s="11" t="s">
        <v>269</v>
      </c>
      <c r="P312" s="27" t="s">
        <v>174</v>
      </c>
      <c r="Q312" s="11" t="s">
        <v>34</v>
      </c>
      <c r="R312" s="1">
        <f>S312+T312</f>
        <v>354845.43</v>
      </c>
      <c r="S312" s="2">
        <v>354845.43</v>
      </c>
      <c r="T312" s="2">
        <v>0</v>
      </c>
      <c r="U312" s="1">
        <f>V312+W312</f>
        <v>54270.48</v>
      </c>
      <c r="V312" s="28">
        <v>54270.48</v>
      </c>
      <c r="W312" s="28">
        <v>0</v>
      </c>
      <c r="X312" s="1">
        <f>Y312+Z312</f>
        <v>8349.2999999999993</v>
      </c>
      <c r="Y312" s="2">
        <v>8349.2999999999993</v>
      </c>
      <c r="Z312" s="2">
        <v>0</v>
      </c>
      <c r="AA312" s="2">
        <f>AB312+AC312</f>
        <v>0</v>
      </c>
      <c r="AB312" s="2">
        <v>0</v>
      </c>
      <c r="AC312" s="2">
        <v>0</v>
      </c>
      <c r="AD312" s="16">
        <f t="shared" si="126"/>
        <v>417465.20999999996</v>
      </c>
      <c r="AE312" s="2">
        <v>0</v>
      </c>
      <c r="AF312" s="2">
        <f>AD312+AE312</f>
        <v>417465.20999999996</v>
      </c>
      <c r="AG312" s="21" t="s">
        <v>857</v>
      </c>
      <c r="AH312" s="29" t="s">
        <v>151</v>
      </c>
      <c r="AI312" s="30">
        <v>326317.06</v>
      </c>
      <c r="AJ312" s="30">
        <v>49907.31</v>
      </c>
    </row>
    <row r="313" spans="1:36" s="179" customFormat="1" ht="141.75" x14ac:dyDescent="0.25">
      <c r="A313" s="6">
        <v>310</v>
      </c>
      <c r="B313" s="31">
        <v>118183</v>
      </c>
      <c r="C313" s="11">
        <v>422</v>
      </c>
      <c r="D313" s="32" t="s">
        <v>1639</v>
      </c>
      <c r="E313" s="24" t="s">
        <v>507</v>
      </c>
      <c r="F313" s="11" t="s">
        <v>611</v>
      </c>
      <c r="G313" s="11" t="s">
        <v>267</v>
      </c>
      <c r="H313" s="8" t="s">
        <v>151</v>
      </c>
      <c r="I313" s="32" t="s">
        <v>2774</v>
      </c>
      <c r="J313" s="25">
        <v>43290</v>
      </c>
      <c r="K313" s="25">
        <v>43778</v>
      </c>
      <c r="L313" s="26">
        <f>R313/AD313*100</f>
        <v>85.000012009815109</v>
      </c>
      <c r="M313" s="11">
        <v>4</v>
      </c>
      <c r="N313" s="11" t="s">
        <v>268</v>
      </c>
      <c r="O313" s="11" t="s">
        <v>269</v>
      </c>
      <c r="P313" s="27" t="s">
        <v>174</v>
      </c>
      <c r="Q313" s="11" t="s">
        <v>613</v>
      </c>
      <c r="R313" s="1">
        <f>S313+T313</f>
        <v>247714.09</v>
      </c>
      <c r="S313" s="2">
        <v>247714.09</v>
      </c>
      <c r="T313" s="2">
        <v>0</v>
      </c>
      <c r="U313" s="1">
        <f>V313+W313</f>
        <v>37885.64</v>
      </c>
      <c r="V313" s="42">
        <v>37885.64</v>
      </c>
      <c r="W313" s="28">
        <v>0</v>
      </c>
      <c r="X313" s="1">
        <f>Y313+Z313</f>
        <v>5828.57</v>
      </c>
      <c r="Y313" s="30">
        <v>5828.57</v>
      </c>
      <c r="Z313" s="2">
        <v>0</v>
      </c>
      <c r="AA313" s="2">
        <f>AB313+AC313</f>
        <v>0</v>
      </c>
      <c r="AB313" s="2">
        <v>0</v>
      </c>
      <c r="AC313" s="2">
        <v>0</v>
      </c>
      <c r="AD313" s="16">
        <f t="shared" si="126"/>
        <v>291428.3</v>
      </c>
      <c r="AE313" s="2">
        <v>0</v>
      </c>
      <c r="AF313" s="2">
        <f>AD313+AE313</f>
        <v>291428.3</v>
      </c>
      <c r="AG313" s="21" t="s">
        <v>857</v>
      </c>
      <c r="AH313" s="29" t="s">
        <v>1020</v>
      </c>
      <c r="AI313" s="30">
        <v>240263.28999999998</v>
      </c>
      <c r="AJ313" s="30">
        <v>36977.890000000021</v>
      </c>
    </row>
    <row r="314" spans="1:36" s="179" customFormat="1" ht="141.75" x14ac:dyDescent="0.25">
      <c r="A314" s="6">
        <v>311</v>
      </c>
      <c r="B314" s="31">
        <v>126174</v>
      </c>
      <c r="C314" s="11">
        <v>534</v>
      </c>
      <c r="D314" s="9" t="s">
        <v>1638</v>
      </c>
      <c r="E314" s="11" t="s">
        <v>899</v>
      </c>
      <c r="F314" s="11" t="s">
        <v>938</v>
      </c>
      <c r="G314" s="11" t="s">
        <v>939</v>
      </c>
      <c r="H314" s="8" t="s">
        <v>151</v>
      </c>
      <c r="I314" s="12" t="s">
        <v>940</v>
      </c>
      <c r="J314" s="25">
        <v>43447</v>
      </c>
      <c r="K314" s="25">
        <v>44970</v>
      </c>
      <c r="L314" s="26">
        <f>R314/AD314*100</f>
        <v>85.000000333995757</v>
      </c>
      <c r="M314" s="11">
        <v>4</v>
      </c>
      <c r="N314" s="11" t="s">
        <v>268</v>
      </c>
      <c r="O314" s="11" t="s">
        <v>269</v>
      </c>
      <c r="P314" s="27" t="s">
        <v>174</v>
      </c>
      <c r="Q314" s="11" t="s">
        <v>34</v>
      </c>
      <c r="R314" s="1">
        <f>S314+T314</f>
        <v>2544942.5099999998</v>
      </c>
      <c r="S314" s="2">
        <v>2544942.5099999998</v>
      </c>
      <c r="T314" s="2">
        <v>0</v>
      </c>
      <c r="U314" s="1">
        <f>V314+W314</f>
        <v>389226.49</v>
      </c>
      <c r="V314" s="42">
        <v>389226.49</v>
      </c>
      <c r="W314" s="28">
        <v>0</v>
      </c>
      <c r="X314" s="1">
        <f>Y314+Z314</f>
        <v>59881</v>
      </c>
      <c r="Y314" s="30">
        <v>59881</v>
      </c>
      <c r="Z314" s="2">
        <v>0</v>
      </c>
      <c r="AA314" s="2">
        <f>AB314+AC314</f>
        <v>0</v>
      </c>
      <c r="AB314" s="2">
        <v>0</v>
      </c>
      <c r="AC314" s="2">
        <v>0</v>
      </c>
      <c r="AD314" s="16">
        <f t="shared" si="126"/>
        <v>2994050</v>
      </c>
      <c r="AE314" s="2">
        <v>0</v>
      </c>
      <c r="AF314" s="2">
        <f>AD314+AE314</f>
        <v>2994050</v>
      </c>
      <c r="AG314" s="38" t="s">
        <v>486</v>
      </c>
      <c r="AH314" s="38" t="s">
        <v>2219</v>
      </c>
      <c r="AI314" s="30">
        <f>34289.85+268684.75+606900</f>
        <v>909874.6</v>
      </c>
      <c r="AJ314" s="30">
        <f>5244.33+41092.96+92820</f>
        <v>139157.29</v>
      </c>
    </row>
    <row r="315" spans="1:36" s="179" customFormat="1" ht="204.75" x14ac:dyDescent="0.25">
      <c r="A315" s="6">
        <v>312</v>
      </c>
      <c r="B315" s="31">
        <v>129739</v>
      </c>
      <c r="C315" s="11">
        <v>688</v>
      </c>
      <c r="D315" s="9" t="s">
        <v>1638</v>
      </c>
      <c r="E315" s="32" t="s">
        <v>1071</v>
      </c>
      <c r="F315" s="11" t="s">
        <v>1256</v>
      </c>
      <c r="G315" s="11" t="s">
        <v>267</v>
      </c>
      <c r="H315" s="8" t="s">
        <v>151</v>
      </c>
      <c r="I315" s="12" t="s">
        <v>1257</v>
      </c>
      <c r="J315" s="25">
        <v>43712</v>
      </c>
      <c r="K315" s="25">
        <v>44989</v>
      </c>
      <c r="L315" s="26">
        <f>R315/AD315*100</f>
        <v>85.000000000000014</v>
      </c>
      <c r="M315" s="11">
        <v>4</v>
      </c>
      <c r="N315" s="11" t="s">
        <v>268</v>
      </c>
      <c r="O315" s="11" t="s">
        <v>269</v>
      </c>
      <c r="P315" s="27" t="s">
        <v>174</v>
      </c>
      <c r="Q315" s="11" t="s">
        <v>34</v>
      </c>
      <c r="R315" s="1">
        <f>S315+T315</f>
        <v>3309254.34</v>
      </c>
      <c r="S315" s="2">
        <v>3309254.34</v>
      </c>
      <c r="T315" s="2">
        <v>0</v>
      </c>
      <c r="U315" s="1">
        <f>V315+W315</f>
        <v>506121.26</v>
      </c>
      <c r="V315" s="42">
        <v>506121.26</v>
      </c>
      <c r="W315" s="28">
        <v>0</v>
      </c>
      <c r="X315" s="1">
        <f>Y315+Z315</f>
        <v>77864.800000000003</v>
      </c>
      <c r="Y315" s="30">
        <v>77864.800000000003</v>
      </c>
      <c r="Z315" s="2">
        <v>0</v>
      </c>
      <c r="AA315" s="2">
        <f>AB315+AC315</f>
        <v>0</v>
      </c>
      <c r="AB315" s="2">
        <v>0</v>
      </c>
      <c r="AC315" s="2">
        <v>0</v>
      </c>
      <c r="AD315" s="16">
        <f t="shared" si="126"/>
        <v>3893240.3999999994</v>
      </c>
      <c r="AE315" s="2">
        <v>0</v>
      </c>
      <c r="AF315" s="2">
        <f>AD315+AE315</f>
        <v>3893240.3999999994</v>
      </c>
      <c r="AG315" s="38" t="s">
        <v>486</v>
      </c>
      <c r="AH315" s="29" t="s">
        <v>1927</v>
      </c>
      <c r="AI315" s="30">
        <f>74556.48+32940.05+44383.6+47957+30669.7+624895.76+164473.06+20276.75</f>
        <v>1040152.4000000001</v>
      </c>
      <c r="AJ315" s="30">
        <f>8357.89+3044.86+5037.89+6788.08+7334.6+4690.66+95572.29+25154.71+3101.15</f>
        <v>159082.12999999998</v>
      </c>
    </row>
    <row r="316" spans="1:36" s="179" customFormat="1" ht="141.75" x14ac:dyDescent="0.25">
      <c r="A316" s="6">
        <v>313</v>
      </c>
      <c r="B316" s="31">
        <v>129726</v>
      </c>
      <c r="C316" s="11">
        <v>682</v>
      </c>
      <c r="D316" s="9" t="s">
        <v>1638</v>
      </c>
      <c r="E316" s="32" t="s">
        <v>1071</v>
      </c>
      <c r="F316" s="11" t="s">
        <v>1335</v>
      </c>
      <c r="G316" s="11" t="s">
        <v>1334</v>
      </c>
      <c r="H316" s="11" t="s">
        <v>999</v>
      </c>
      <c r="I316" s="12" t="s">
        <v>1336</v>
      </c>
      <c r="J316" s="25">
        <v>43767</v>
      </c>
      <c r="K316" s="25">
        <v>45167</v>
      </c>
      <c r="L316" s="26">
        <f>R316/AD316*100</f>
        <v>84.185745988543189</v>
      </c>
      <c r="M316" s="11">
        <v>4</v>
      </c>
      <c r="N316" s="11" t="s">
        <v>268</v>
      </c>
      <c r="O316" s="11" t="s">
        <v>269</v>
      </c>
      <c r="P316" s="27" t="s">
        <v>174</v>
      </c>
      <c r="Q316" s="11" t="s">
        <v>34</v>
      </c>
      <c r="R316" s="1">
        <f>S316+T316</f>
        <v>2817971.65</v>
      </c>
      <c r="S316" s="2">
        <v>2817971.65</v>
      </c>
      <c r="T316" s="2">
        <v>0</v>
      </c>
      <c r="U316" s="1">
        <f>V316+W316</f>
        <v>462408.16</v>
      </c>
      <c r="V316" s="42">
        <v>462408.16</v>
      </c>
      <c r="W316" s="28">
        <v>0</v>
      </c>
      <c r="X316" s="1">
        <f>Y316+Z316</f>
        <v>34880.949999999997</v>
      </c>
      <c r="Y316" s="30">
        <v>34880.949999999997</v>
      </c>
      <c r="Z316" s="2">
        <v>0</v>
      </c>
      <c r="AA316" s="2">
        <f>AB316+AC316</f>
        <v>32065.58</v>
      </c>
      <c r="AB316" s="2">
        <v>32065.58</v>
      </c>
      <c r="AC316" s="2">
        <v>0</v>
      </c>
      <c r="AD316" s="16">
        <f t="shared" si="126"/>
        <v>3347326.3400000003</v>
      </c>
      <c r="AE316" s="2">
        <v>0</v>
      </c>
      <c r="AF316" s="2">
        <f>AD316+AE316</f>
        <v>3347326.3400000003</v>
      </c>
      <c r="AG316" s="38" t="s">
        <v>486</v>
      </c>
      <c r="AH316" s="29" t="s">
        <v>2144</v>
      </c>
      <c r="AI316" s="30">
        <f>199177.47-24965.12+119966.25-12010.44-4586.99+140649.56-21568.21+332867.63+143788.11+105707.7-21485.85+372873.86-14274.54+55163.66-6221.16+18044.67-1480.14+71183.75-10140.18</f>
        <v>1442690.0299999998</v>
      </c>
      <c r="AJ316" s="30">
        <f>2899.87+24965.12+12010.44+4586.99+21568.21+58741.35+18654.3+21485.85+47582.63+14274.54+6221.16+3453.58+1480.14+11260.34+1233.92</f>
        <v>250418.44000000003</v>
      </c>
    </row>
    <row r="317" spans="1:36" s="179" customFormat="1" ht="189" x14ac:dyDescent="0.25">
      <c r="A317" s="6">
        <v>314</v>
      </c>
      <c r="B317" s="31">
        <v>120801</v>
      </c>
      <c r="C317" s="11">
        <v>87</v>
      </c>
      <c r="D317" s="9" t="s">
        <v>1638</v>
      </c>
      <c r="E317" s="24" t="s">
        <v>277</v>
      </c>
      <c r="F317" s="11" t="s">
        <v>251</v>
      </c>
      <c r="G317" s="11" t="s">
        <v>1282</v>
      </c>
      <c r="H317" s="11" t="s">
        <v>252</v>
      </c>
      <c r="I317" s="12" t="s">
        <v>253</v>
      </c>
      <c r="J317" s="25">
        <v>43166</v>
      </c>
      <c r="K317" s="25">
        <v>43653</v>
      </c>
      <c r="L317" s="26">
        <f t="shared" ref="L317:L328" si="152">R317/AD317*100</f>
        <v>84.168038598864953</v>
      </c>
      <c r="M317" s="11">
        <v>3</v>
      </c>
      <c r="N317" s="11" t="s">
        <v>254</v>
      </c>
      <c r="O317" s="11" t="s">
        <v>255</v>
      </c>
      <c r="P317" s="27" t="s">
        <v>174</v>
      </c>
      <c r="Q317" s="11" t="s">
        <v>34</v>
      </c>
      <c r="R317" s="1">
        <f t="shared" ref="R317:R328" si="153">S317+T317</f>
        <v>357481.33</v>
      </c>
      <c r="S317" s="2">
        <v>357481.33</v>
      </c>
      <c r="T317" s="2">
        <v>0</v>
      </c>
      <c r="U317" s="1">
        <f t="shared" ref="U317:U328" si="154">V317+W317</f>
        <v>58747.57</v>
      </c>
      <c r="V317" s="28">
        <v>58747.57</v>
      </c>
      <c r="W317" s="28">
        <v>0</v>
      </c>
      <c r="X317" s="1">
        <f t="shared" ref="X317:X328" si="155">Y317+Z317</f>
        <v>8494.4699999999993</v>
      </c>
      <c r="Y317" s="2">
        <v>8494.4699999999993</v>
      </c>
      <c r="Z317" s="2">
        <v>0</v>
      </c>
      <c r="AA317" s="2">
        <f t="shared" ref="AA317:AA328" si="156">AB317+AC317</f>
        <v>0</v>
      </c>
      <c r="AB317" s="2">
        <v>0</v>
      </c>
      <c r="AC317" s="2">
        <v>0</v>
      </c>
      <c r="AD317" s="16">
        <f t="shared" si="126"/>
        <v>424723.37</v>
      </c>
      <c r="AE317" s="2">
        <v>0</v>
      </c>
      <c r="AF317" s="2">
        <f t="shared" ref="AF317:AF328" si="157">AD317+AE317</f>
        <v>424723.37</v>
      </c>
      <c r="AG317" s="21" t="s">
        <v>857</v>
      </c>
      <c r="AH317" s="29" t="s">
        <v>151</v>
      </c>
      <c r="AI317" s="30">
        <v>301291.38999999996</v>
      </c>
      <c r="AJ317" s="30">
        <v>49583.64</v>
      </c>
    </row>
    <row r="318" spans="1:36" s="179" customFormat="1" ht="189" x14ac:dyDescent="0.25">
      <c r="A318" s="6">
        <v>315</v>
      </c>
      <c r="B318" s="31">
        <v>119511</v>
      </c>
      <c r="C318" s="11">
        <v>464</v>
      </c>
      <c r="D318" s="9" t="s">
        <v>1638</v>
      </c>
      <c r="E318" s="11" t="s">
        <v>457</v>
      </c>
      <c r="F318" s="11" t="s">
        <v>458</v>
      </c>
      <c r="G318" s="11" t="s">
        <v>459</v>
      </c>
      <c r="H318" s="8" t="s">
        <v>151</v>
      </c>
      <c r="I318" s="32" t="s">
        <v>2775</v>
      </c>
      <c r="J318" s="25">
        <v>43257</v>
      </c>
      <c r="K318" s="25">
        <v>43744</v>
      </c>
      <c r="L318" s="26">
        <f t="shared" si="152"/>
        <v>85.000000259943448</v>
      </c>
      <c r="M318" s="40">
        <v>3</v>
      </c>
      <c r="N318" s="11" t="s">
        <v>363</v>
      </c>
      <c r="O318" s="11" t="s">
        <v>255</v>
      </c>
      <c r="P318" s="11" t="s">
        <v>174</v>
      </c>
      <c r="Q318" s="11" t="s">
        <v>460</v>
      </c>
      <c r="R318" s="1">
        <f t="shared" si="153"/>
        <v>490491.32</v>
      </c>
      <c r="S318" s="2">
        <v>490491.32</v>
      </c>
      <c r="T318" s="2">
        <v>0</v>
      </c>
      <c r="U318" s="1">
        <f t="shared" si="154"/>
        <v>75016.320000000007</v>
      </c>
      <c r="V318" s="28">
        <v>75016.320000000007</v>
      </c>
      <c r="W318" s="28">
        <v>0</v>
      </c>
      <c r="X318" s="1">
        <f t="shared" si="155"/>
        <v>11540.97</v>
      </c>
      <c r="Y318" s="30">
        <v>11540.97</v>
      </c>
      <c r="Z318" s="30">
        <v>0</v>
      </c>
      <c r="AA318" s="2">
        <f t="shared" si="156"/>
        <v>0</v>
      </c>
      <c r="AB318" s="2">
        <v>0</v>
      </c>
      <c r="AC318" s="2">
        <v>0</v>
      </c>
      <c r="AD318" s="16">
        <f t="shared" si="126"/>
        <v>577048.61</v>
      </c>
      <c r="AE318" s="38">
        <v>0</v>
      </c>
      <c r="AF318" s="2">
        <f t="shared" si="157"/>
        <v>577048.61</v>
      </c>
      <c r="AG318" s="21" t="s">
        <v>857</v>
      </c>
      <c r="AH318" s="38" t="s">
        <v>996</v>
      </c>
      <c r="AI318" s="30">
        <v>469162.02000000008</v>
      </c>
      <c r="AJ318" s="30">
        <v>71754.200000000012</v>
      </c>
    </row>
    <row r="319" spans="1:36" s="179" customFormat="1" ht="189" x14ac:dyDescent="0.25">
      <c r="A319" s="6">
        <v>316</v>
      </c>
      <c r="B319" s="31">
        <v>118799</v>
      </c>
      <c r="C319" s="11">
        <v>447</v>
      </c>
      <c r="D319" s="32" t="s">
        <v>1639</v>
      </c>
      <c r="E319" s="32" t="s">
        <v>507</v>
      </c>
      <c r="F319" s="11" t="s">
        <v>896</v>
      </c>
      <c r="G319" s="11" t="s">
        <v>1282</v>
      </c>
      <c r="H319" s="11" t="s">
        <v>897</v>
      </c>
      <c r="I319" s="32" t="s">
        <v>898</v>
      </c>
      <c r="J319" s="25">
        <v>43425</v>
      </c>
      <c r="K319" s="25">
        <v>43911</v>
      </c>
      <c r="L319" s="26">
        <f t="shared" si="152"/>
        <v>84.156466663338946</v>
      </c>
      <c r="M319" s="11">
        <v>3</v>
      </c>
      <c r="N319" s="11" t="s">
        <v>254</v>
      </c>
      <c r="O319" s="11" t="s">
        <v>255</v>
      </c>
      <c r="P319" s="27" t="s">
        <v>174</v>
      </c>
      <c r="Q319" s="11" t="s">
        <v>34</v>
      </c>
      <c r="R319" s="1">
        <f t="shared" si="153"/>
        <v>242273.6</v>
      </c>
      <c r="S319" s="2">
        <v>242273.6</v>
      </c>
      <c r="T319" s="2">
        <v>0</v>
      </c>
      <c r="U319" s="1">
        <f t="shared" si="154"/>
        <v>39853.410000000003</v>
      </c>
      <c r="V319" s="28">
        <v>39853.410000000003</v>
      </c>
      <c r="W319" s="28">
        <v>0</v>
      </c>
      <c r="X319" s="1">
        <f t="shared" si="155"/>
        <v>2900.76</v>
      </c>
      <c r="Y319" s="30">
        <v>2900.76</v>
      </c>
      <c r="Z319" s="30">
        <v>0</v>
      </c>
      <c r="AA319" s="2">
        <f t="shared" si="156"/>
        <v>2856.94</v>
      </c>
      <c r="AB319" s="2">
        <v>2856.94</v>
      </c>
      <c r="AC319" s="2">
        <v>0</v>
      </c>
      <c r="AD319" s="16">
        <f t="shared" si="126"/>
        <v>287884.71000000002</v>
      </c>
      <c r="AE319" s="38">
        <v>0</v>
      </c>
      <c r="AF319" s="2">
        <f t="shared" si="157"/>
        <v>287884.71000000002</v>
      </c>
      <c r="AG319" s="38" t="s">
        <v>857</v>
      </c>
      <c r="AH319" s="38" t="s">
        <v>1213</v>
      </c>
      <c r="AI319" s="30">
        <v>230490.21</v>
      </c>
      <c r="AJ319" s="30">
        <v>38021.11</v>
      </c>
    </row>
    <row r="320" spans="1:36" s="179" customFormat="1" ht="255" customHeight="1" x14ac:dyDescent="0.25">
      <c r="A320" s="6">
        <v>317</v>
      </c>
      <c r="B320" s="31">
        <v>126115</v>
      </c>
      <c r="C320" s="11">
        <v>542</v>
      </c>
      <c r="D320" s="9" t="s">
        <v>1638</v>
      </c>
      <c r="E320" s="32" t="s">
        <v>899</v>
      </c>
      <c r="F320" s="11" t="s">
        <v>1040</v>
      </c>
      <c r="G320" s="11" t="s">
        <v>459</v>
      </c>
      <c r="H320" s="8" t="s">
        <v>151</v>
      </c>
      <c r="I320" s="33" t="s">
        <v>2776</v>
      </c>
      <c r="J320" s="25">
        <v>43564</v>
      </c>
      <c r="K320" s="25">
        <v>44295</v>
      </c>
      <c r="L320" s="26">
        <f t="shared" si="152"/>
        <v>85.000000984188233</v>
      </c>
      <c r="M320" s="11">
        <v>3</v>
      </c>
      <c r="N320" s="11" t="s">
        <v>254</v>
      </c>
      <c r="O320" s="11" t="s">
        <v>459</v>
      </c>
      <c r="P320" s="27" t="s">
        <v>174</v>
      </c>
      <c r="Q320" s="11" t="s">
        <v>34</v>
      </c>
      <c r="R320" s="1">
        <f t="shared" si="153"/>
        <v>431827.97</v>
      </c>
      <c r="S320" s="2">
        <v>431827.97</v>
      </c>
      <c r="T320" s="2">
        <v>0</v>
      </c>
      <c r="U320" s="1">
        <f t="shared" si="154"/>
        <v>66044.27</v>
      </c>
      <c r="V320" s="28">
        <v>66044.27</v>
      </c>
      <c r="W320" s="28">
        <v>0</v>
      </c>
      <c r="X320" s="1">
        <f t="shared" si="155"/>
        <v>10160.66</v>
      </c>
      <c r="Y320" s="30">
        <v>10160.66</v>
      </c>
      <c r="Z320" s="30">
        <v>0</v>
      </c>
      <c r="AA320" s="2">
        <f t="shared" si="156"/>
        <v>0</v>
      </c>
      <c r="AB320" s="117">
        <v>0</v>
      </c>
      <c r="AC320" s="117">
        <v>0</v>
      </c>
      <c r="AD320" s="16">
        <f t="shared" si="126"/>
        <v>508032.89999999997</v>
      </c>
      <c r="AE320" s="30">
        <v>0</v>
      </c>
      <c r="AF320" s="2">
        <f t="shared" si="157"/>
        <v>508032.89999999997</v>
      </c>
      <c r="AG320" s="38" t="s">
        <v>857</v>
      </c>
      <c r="AH320" s="38" t="s">
        <v>1725</v>
      </c>
      <c r="AI320" s="30">
        <f>126250.71+35445.43+90788.91+110245+22529.93</f>
        <v>385259.98000000004</v>
      </c>
      <c r="AJ320" s="30">
        <f>19308.93+5421.06+13885.38+16861+3445.77</f>
        <v>58922.14</v>
      </c>
    </row>
    <row r="321" spans="1:36" s="179" customFormat="1" ht="141.75" x14ac:dyDescent="0.25">
      <c r="A321" s="6">
        <v>318</v>
      </c>
      <c r="B321" s="31">
        <v>129261</v>
      </c>
      <c r="C321" s="11">
        <v>648</v>
      </c>
      <c r="D321" s="9" t="s">
        <v>1638</v>
      </c>
      <c r="E321" s="32" t="s">
        <v>1071</v>
      </c>
      <c r="F321" s="31" t="s">
        <v>1125</v>
      </c>
      <c r="G321" s="11" t="s">
        <v>1657</v>
      </c>
      <c r="H321" s="8" t="s">
        <v>151</v>
      </c>
      <c r="I321" s="32" t="s">
        <v>2777</v>
      </c>
      <c r="J321" s="25">
        <v>43643</v>
      </c>
      <c r="K321" s="25">
        <v>44192</v>
      </c>
      <c r="L321" s="26">
        <f t="shared" si="152"/>
        <v>84.999999897463027</v>
      </c>
      <c r="M321" s="11">
        <v>3</v>
      </c>
      <c r="N321" s="11" t="s">
        <v>254</v>
      </c>
      <c r="O321" s="11" t="s">
        <v>459</v>
      </c>
      <c r="P321" s="27" t="s">
        <v>174</v>
      </c>
      <c r="Q321" s="11" t="s">
        <v>34</v>
      </c>
      <c r="R321" s="1">
        <f t="shared" si="153"/>
        <v>2486907.71</v>
      </c>
      <c r="S321" s="2">
        <v>2486907.71</v>
      </c>
      <c r="T321" s="2">
        <v>0</v>
      </c>
      <c r="U321" s="1">
        <f t="shared" si="154"/>
        <v>380350.59</v>
      </c>
      <c r="V321" s="28">
        <v>380350.59</v>
      </c>
      <c r="W321" s="28">
        <v>0</v>
      </c>
      <c r="X321" s="1">
        <f t="shared" si="155"/>
        <v>58515.48</v>
      </c>
      <c r="Y321" s="30">
        <v>58515.48</v>
      </c>
      <c r="Z321" s="30">
        <v>0</v>
      </c>
      <c r="AA321" s="2">
        <f t="shared" si="156"/>
        <v>0</v>
      </c>
      <c r="AB321" s="117">
        <v>0</v>
      </c>
      <c r="AC321" s="117">
        <v>0</v>
      </c>
      <c r="AD321" s="16">
        <f t="shared" si="126"/>
        <v>2925773.78</v>
      </c>
      <c r="AE321" s="30">
        <v>0</v>
      </c>
      <c r="AF321" s="2">
        <f t="shared" si="157"/>
        <v>2925773.78</v>
      </c>
      <c r="AG321" s="38" t="s">
        <v>857</v>
      </c>
      <c r="AH321" s="35"/>
      <c r="AI321" s="30">
        <f>189771.86+645544.81+801375.41+295276.91+481390.7</f>
        <v>2413359.69</v>
      </c>
      <c r="AJ321" s="30">
        <f>29023.93+98730.39+122563.3+45160+73624.45</f>
        <v>369102.07</v>
      </c>
    </row>
    <row r="322" spans="1:36" s="179" customFormat="1" ht="204.75" x14ac:dyDescent="0.25">
      <c r="A322" s="6">
        <v>319</v>
      </c>
      <c r="B322" s="31">
        <v>129205</v>
      </c>
      <c r="C322" s="11">
        <v>684</v>
      </c>
      <c r="D322" s="9" t="s">
        <v>1638</v>
      </c>
      <c r="E322" s="32" t="s">
        <v>1071</v>
      </c>
      <c r="F322" s="31" t="s">
        <v>1141</v>
      </c>
      <c r="G322" s="11" t="s">
        <v>459</v>
      </c>
      <c r="H322" s="8" t="s">
        <v>151</v>
      </c>
      <c r="I322" s="32" t="s">
        <v>1142</v>
      </c>
      <c r="J322" s="25">
        <v>43654</v>
      </c>
      <c r="K322" s="25">
        <v>44628</v>
      </c>
      <c r="L322" s="26">
        <f t="shared" si="152"/>
        <v>84.99999990778575</v>
      </c>
      <c r="M322" s="11">
        <v>3</v>
      </c>
      <c r="N322" s="11" t="s">
        <v>254</v>
      </c>
      <c r="O322" s="11" t="s">
        <v>459</v>
      </c>
      <c r="P322" s="27" t="s">
        <v>174</v>
      </c>
      <c r="Q322" s="11" t="s">
        <v>34</v>
      </c>
      <c r="R322" s="1">
        <f t="shared" si="153"/>
        <v>2304415.83</v>
      </c>
      <c r="S322" s="2">
        <v>2304415.83</v>
      </c>
      <c r="T322" s="2">
        <v>0</v>
      </c>
      <c r="U322" s="1">
        <f t="shared" si="154"/>
        <v>352440.07</v>
      </c>
      <c r="V322" s="28">
        <v>352440.07</v>
      </c>
      <c r="W322" s="28">
        <v>0</v>
      </c>
      <c r="X322" s="1">
        <f t="shared" si="155"/>
        <v>54221.55</v>
      </c>
      <c r="Y322" s="30">
        <v>54221.55</v>
      </c>
      <c r="Z322" s="30">
        <v>0</v>
      </c>
      <c r="AA322" s="2">
        <f t="shared" si="156"/>
        <v>0</v>
      </c>
      <c r="AB322" s="117">
        <v>0</v>
      </c>
      <c r="AC322" s="117">
        <v>0</v>
      </c>
      <c r="AD322" s="16">
        <f t="shared" si="126"/>
        <v>2711077.4499999997</v>
      </c>
      <c r="AE322" s="30"/>
      <c r="AF322" s="2">
        <f t="shared" si="157"/>
        <v>2711077.4499999997</v>
      </c>
      <c r="AG322" s="38" t="s">
        <v>857</v>
      </c>
      <c r="AH322" s="38" t="s">
        <v>1958</v>
      </c>
      <c r="AI322" s="30">
        <f>111097.45+8767.75+11449.87+143539.57+184093+3646.86+13693.95+637214.83+855981.88+172508.71</f>
        <v>2141993.87</v>
      </c>
      <c r="AJ322" s="30">
        <f>16991.35+1340.95+1751.15+21953.11+28155.4+557.75+2094.37+97456.38+130914.87+26383.68</f>
        <v>327599.00999999995</v>
      </c>
    </row>
    <row r="323" spans="1:36" s="179" customFormat="1" ht="270.75" customHeight="1" x14ac:dyDescent="0.25">
      <c r="A323" s="6">
        <v>320</v>
      </c>
      <c r="B323" s="31">
        <v>129737</v>
      </c>
      <c r="C323" s="11">
        <v>689</v>
      </c>
      <c r="D323" s="9" t="s">
        <v>1638</v>
      </c>
      <c r="E323" s="32" t="s">
        <v>1071</v>
      </c>
      <c r="F323" s="31" t="s">
        <v>1281</v>
      </c>
      <c r="G323" s="11" t="s">
        <v>1282</v>
      </c>
      <c r="H323" s="8" t="s">
        <v>151</v>
      </c>
      <c r="I323" s="32" t="s">
        <v>2778</v>
      </c>
      <c r="J323" s="25">
        <v>43725</v>
      </c>
      <c r="K323" s="25">
        <v>45094</v>
      </c>
      <c r="L323" s="26">
        <f t="shared" si="152"/>
        <v>85.000000163665106</v>
      </c>
      <c r="M323" s="11">
        <v>3</v>
      </c>
      <c r="N323" s="11" t="s">
        <v>254</v>
      </c>
      <c r="O323" s="11" t="s">
        <v>459</v>
      </c>
      <c r="P323" s="27" t="s">
        <v>174</v>
      </c>
      <c r="Q323" s="11" t="s">
        <v>34</v>
      </c>
      <c r="R323" s="1">
        <f t="shared" si="153"/>
        <v>3116119.5900000003</v>
      </c>
      <c r="S323" s="2">
        <v>3116119.5900000003</v>
      </c>
      <c r="T323" s="2">
        <v>0</v>
      </c>
      <c r="U323" s="1">
        <f t="shared" si="154"/>
        <v>476582.99</v>
      </c>
      <c r="V323" s="28">
        <v>476582.99</v>
      </c>
      <c r="W323" s="28">
        <v>0</v>
      </c>
      <c r="X323" s="1">
        <f t="shared" si="155"/>
        <v>73320.460000000006</v>
      </c>
      <c r="Y323" s="30">
        <v>73320.460000000006</v>
      </c>
      <c r="Z323" s="30">
        <v>0</v>
      </c>
      <c r="AA323" s="2">
        <f t="shared" si="156"/>
        <v>0</v>
      </c>
      <c r="AB323" s="117">
        <v>0</v>
      </c>
      <c r="AC323" s="117">
        <v>0</v>
      </c>
      <c r="AD323" s="16">
        <f t="shared" si="126"/>
        <v>3666023.04</v>
      </c>
      <c r="AE323" s="30">
        <v>0</v>
      </c>
      <c r="AF323" s="2">
        <f t="shared" si="157"/>
        <v>3666023.04</v>
      </c>
      <c r="AG323" s="38" t="s">
        <v>486</v>
      </c>
      <c r="AH323" s="38" t="s">
        <v>1982</v>
      </c>
      <c r="AI323" s="118">
        <f>25211.85+27774.1+101734.8</f>
        <v>154720.75</v>
      </c>
      <c r="AJ323" s="118">
        <f>1956.11+1899.82+4247.8+15559.44</f>
        <v>23663.17</v>
      </c>
    </row>
    <row r="324" spans="1:36" s="179" customFormat="1" ht="198" customHeight="1" x14ac:dyDescent="0.25">
      <c r="A324" s="6">
        <v>321</v>
      </c>
      <c r="B324" s="31">
        <v>136182</v>
      </c>
      <c r="C324" s="11">
        <v>814</v>
      </c>
      <c r="D324" s="9" t="s">
        <v>1638</v>
      </c>
      <c r="E324" s="24" t="s">
        <v>1441</v>
      </c>
      <c r="F324" s="31" t="s">
        <v>1484</v>
      </c>
      <c r="G324" s="11" t="s">
        <v>1282</v>
      </c>
      <c r="H324" s="8" t="s">
        <v>151</v>
      </c>
      <c r="I324" s="32" t="s">
        <v>2779</v>
      </c>
      <c r="J324" s="25">
        <v>43969</v>
      </c>
      <c r="K324" s="25">
        <v>45064</v>
      </c>
      <c r="L324" s="26">
        <f t="shared" si="152"/>
        <v>85</v>
      </c>
      <c r="M324" s="11">
        <v>3</v>
      </c>
      <c r="N324" s="11" t="s">
        <v>254</v>
      </c>
      <c r="O324" s="11" t="s">
        <v>255</v>
      </c>
      <c r="P324" s="27" t="s">
        <v>174</v>
      </c>
      <c r="Q324" s="11" t="s">
        <v>34</v>
      </c>
      <c r="R324" s="1">
        <f t="shared" si="153"/>
        <v>2620035.75</v>
      </c>
      <c r="S324" s="2">
        <v>2620035.75</v>
      </c>
      <c r="T324" s="2">
        <v>0</v>
      </c>
      <c r="U324" s="1">
        <f t="shared" si="154"/>
        <v>400711.35</v>
      </c>
      <c r="V324" s="28">
        <v>400711.35</v>
      </c>
      <c r="W324" s="28">
        <v>0</v>
      </c>
      <c r="X324" s="1">
        <f t="shared" si="155"/>
        <v>61647.9</v>
      </c>
      <c r="Y324" s="30">
        <v>61647.9</v>
      </c>
      <c r="Z324" s="30">
        <v>0</v>
      </c>
      <c r="AA324" s="2">
        <f t="shared" si="156"/>
        <v>0</v>
      </c>
      <c r="AB324" s="117">
        <v>0</v>
      </c>
      <c r="AC324" s="117">
        <v>0</v>
      </c>
      <c r="AD324" s="16">
        <f t="shared" si="126"/>
        <v>3082395</v>
      </c>
      <c r="AE324" s="30">
        <v>0</v>
      </c>
      <c r="AF324" s="2">
        <f t="shared" si="157"/>
        <v>3082395</v>
      </c>
      <c r="AG324" s="38" t="s">
        <v>486</v>
      </c>
      <c r="AH324" s="38" t="s">
        <v>2133</v>
      </c>
      <c r="AI324" s="118">
        <f>30823.95+292691.61-1849.35-33647.64+6327.62</f>
        <v>294346.19</v>
      </c>
      <c r="AJ324" s="118">
        <f>2336.33+1849.35+33647.64+7184.32</f>
        <v>45017.64</v>
      </c>
    </row>
    <row r="325" spans="1:36" s="179" customFormat="1" ht="198" customHeight="1" x14ac:dyDescent="0.25">
      <c r="A325" s="6">
        <v>322</v>
      </c>
      <c r="B325" s="31">
        <v>152213</v>
      </c>
      <c r="C325" s="11">
        <v>1111</v>
      </c>
      <c r="D325" s="9" t="s">
        <v>1639</v>
      </c>
      <c r="E325" s="24" t="s">
        <v>1801</v>
      </c>
      <c r="F325" s="31" t="s">
        <v>1822</v>
      </c>
      <c r="G325" s="11" t="s">
        <v>1657</v>
      </c>
      <c r="H325" s="8" t="s">
        <v>151</v>
      </c>
      <c r="I325" s="32" t="s">
        <v>1823</v>
      </c>
      <c r="J325" s="25">
        <v>44481</v>
      </c>
      <c r="K325" s="25">
        <v>44907</v>
      </c>
      <c r="L325" s="26">
        <f t="shared" si="152"/>
        <v>85</v>
      </c>
      <c r="M325" s="11">
        <v>3</v>
      </c>
      <c r="N325" s="11" t="s">
        <v>254</v>
      </c>
      <c r="O325" s="11" t="s">
        <v>1824</v>
      </c>
      <c r="P325" s="27" t="s">
        <v>174</v>
      </c>
      <c r="Q325" s="11" t="s">
        <v>34</v>
      </c>
      <c r="R325" s="1">
        <f t="shared" si="153"/>
        <v>351884.7</v>
      </c>
      <c r="S325" s="2">
        <v>351884.7</v>
      </c>
      <c r="T325" s="2">
        <v>0</v>
      </c>
      <c r="U325" s="1">
        <f t="shared" si="154"/>
        <v>53817.66</v>
      </c>
      <c r="V325" s="28">
        <v>53817.66</v>
      </c>
      <c r="W325" s="28">
        <v>0</v>
      </c>
      <c r="X325" s="1">
        <f t="shared" si="155"/>
        <v>8279.64</v>
      </c>
      <c r="Y325" s="30">
        <v>8279.64</v>
      </c>
      <c r="Z325" s="30">
        <v>0</v>
      </c>
      <c r="AA325" s="2">
        <f t="shared" si="156"/>
        <v>0</v>
      </c>
      <c r="AB325" s="117">
        <v>0</v>
      </c>
      <c r="AC325" s="117">
        <v>0</v>
      </c>
      <c r="AD325" s="16">
        <f t="shared" ref="AD325:AD388" si="158">R325+U325+X325+AA325</f>
        <v>413982</v>
      </c>
      <c r="AE325" s="30">
        <v>0</v>
      </c>
      <c r="AF325" s="2">
        <f t="shared" si="157"/>
        <v>413982</v>
      </c>
      <c r="AG325" s="38" t="s">
        <v>486</v>
      </c>
      <c r="AH325" s="38"/>
      <c r="AI325" s="118">
        <f>6211.25+49512.41</f>
        <v>55723.66</v>
      </c>
      <c r="AJ325" s="118">
        <f>949.95+7572.49</f>
        <v>8522.44</v>
      </c>
    </row>
    <row r="326" spans="1:36" s="179" customFormat="1" ht="198" customHeight="1" x14ac:dyDescent="0.25">
      <c r="A326" s="6">
        <v>323</v>
      </c>
      <c r="B326" s="31">
        <v>152058</v>
      </c>
      <c r="C326" s="11">
        <v>1099</v>
      </c>
      <c r="D326" s="9" t="s">
        <v>1639</v>
      </c>
      <c r="E326" s="24" t="s">
        <v>1801</v>
      </c>
      <c r="F326" s="31" t="s">
        <v>1830</v>
      </c>
      <c r="G326" s="11" t="s">
        <v>459</v>
      </c>
      <c r="H326" s="8" t="s">
        <v>151</v>
      </c>
      <c r="I326" s="32" t="s">
        <v>2780</v>
      </c>
      <c r="J326" s="25">
        <v>44487</v>
      </c>
      <c r="K326" s="25">
        <v>44791</v>
      </c>
      <c r="L326" s="26">
        <f t="shared" si="152"/>
        <v>85.000000000000014</v>
      </c>
      <c r="M326" s="11">
        <v>3</v>
      </c>
      <c r="N326" s="11" t="s">
        <v>254</v>
      </c>
      <c r="O326" s="11" t="s">
        <v>459</v>
      </c>
      <c r="P326" s="27" t="s">
        <v>174</v>
      </c>
      <c r="Q326" s="11" t="s">
        <v>34</v>
      </c>
      <c r="R326" s="1">
        <f t="shared" si="153"/>
        <v>286138.56</v>
      </c>
      <c r="S326" s="2">
        <v>286138.56</v>
      </c>
      <c r="T326" s="2">
        <v>0</v>
      </c>
      <c r="U326" s="1">
        <f t="shared" si="154"/>
        <v>43762.37</v>
      </c>
      <c r="V326" s="28">
        <v>43762.37</v>
      </c>
      <c r="W326" s="28">
        <v>0</v>
      </c>
      <c r="X326" s="1">
        <f t="shared" si="155"/>
        <v>6732.67</v>
      </c>
      <c r="Y326" s="30">
        <v>6732.67</v>
      </c>
      <c r="Z326" s="30">
        <v>0</v>
      </c>
      <c r="AA326" s="2">
        <f t="shared" si="156"/>
        <v>0</v>
      </c>
      <c r="AB326" s="117">
        <v>0</v>
      </c>
      <c r="AC326" s="117">
        <v>0</v>
      </c>
      <c r="AD326" s="16">
        <f t="shared" si="158"/>
        <v>336633.59999999998</v>
      </c>
      <c r="AE326" s="30">
        <v>0</v>
      </c>
      <c r="AF326" s="2">
        <f t="shared" si="157"/>
        <v>336633.59999999998</v>
      </c>
      <c r="AG326" s="38" t="s">
        <v>857</v>
      </c>
      <c r="AH326" s="38"/>
      <c r="AI326" s="118">
        <f>7153.11+730.97+6745.29+1011.79+184732.07</f>
        <v>200373.23</v>
      </c>
      <c r="AJ326" s="118">
        <f>1094.01+111.8+1031.63+154.74+28253.14</f>
        <v>30645.32</v>
      </c>
    </row>
    <row r="327" spans="1:36" s="179" customFormat="1" ht="198" customHeight="1" x14ac:dyDescent="0.25">
      <c r="A327" s="6">
        <v>324</v>
      </c>
      <c r="B327" s="31">
        <v>154869</v>
      </c>
      <c r="C327" s="11">
        <v>1237</v>
      </c>
      <c r="D327" s="9" t="s">
        <v>1638</v>
      </c>
      <c r="E327" s="24" t="s">
        <v>2014</v>
      </c>
      <c r="F327" s="31" t="s">
        <v>2158</v>
      </c>
      <c r="G327" s="11" t="s">
        <v>459</v>
      </c>
      <c r="H327" s="8" t="s">
        <v>151</v>
      </c>
      <c r="I327" s="32" t="s">
        <v>2781</v>
      </c>
      <c r="J327" s="25">
        <v>44670</v>
      </c>
      <c r="K327" s="25">
        <v>45157</v>
      </c>
      <c r="L327" s="26">
        <f t="shared" si="152"/>
        <v>85</v>
      </c>
      <c r="M327" s="11">
        <v>3</v>
      </c>
      <c r="N327" s="11" t="s">
        <v>254</v>
      </c>
      <c r="O327" s="11" t="s">
        <v>459</v>
      </c>
      <c r="P327" s="27" t="s">
        <v>174</v>
      </c>
      <c r="Q327" s="11" t="s">
        <v>34</v>
      </c>
      <c r="R327" s="1">
        <f t="shared" si="153"/>
        <v>2546666.2999999998</v>
      </c>
      <c r="S327" s="2">
        <v>2546666.2999999998</v>
      </c>
      <c r="T327" s="2">
        <v>0</v>
      </c>
      <c r="U327" s="1">
        <f t="shared" si="154"/>
        <v>389490.14</v>
      </c>
      <c r="V327" s="28">
        <v>389490.14</v>
      </c>
      <c r="W327" s="28">
        <v>0</v>
      </c>
      <c r="X327" s="1">
        <f t="shared" si="155"/>
        <v>59921.56</v>
      </c>
      <c r="Y327" s="30">
        <v>59921.56</v>
      </c>
      <c r="Z327" s="30">
        <v>0</v>
      </c>
      <c r="AA327" s="2">
        <f t="shared" si="156"/>
        <v>0</v>
      </c>
      <c r="AB327" s="117">
        <v>0</v>
      </c>
      <c r="AC327" s="117">
        <v>0</v>
      </c>
      <c r="AD327" s="16">
        <f t="shared" si="158"/>
        <v>2996078</v>
      </c>
      <c r="AE327" s="30">
        <v>0</v>
      </c>
      <c r="AF327" s="2">
        <f t="shared" si="157"/>
        <v>2996078</v>
      </c>
      <c r="AG327" s="38" t="s">
        <v>486</v>
      </c>
      <c r="AH327" s="38"/>
      <c r="AI327" s="118">
        <v>0</v>
      </c>
      <c r="AJ327" s="118">
        <v>0</v>
      </c>
    </row>
    <row r="328" spans="1:36" s="179" customFormat="1" ht="198" customHeight="1" x14ac:dyDescent="0.25">
      <c r="A328" s="6">
        <v>325</v>
      </c>
      <c r="B328" s="31">
        <v>155202</v>
      </c>
      <c r="C328" s="11">
        <v>1222</v>
      </c>
      <c r="D328" s="9" t="s">
        <v>1638</v>
      </c>
      <c r="E328" s="24" t="s">
        <v>2014</v>
      </c>
      <c r="F328" s="31" t="s">
        <v>2238</v>
      </c>
      <c r="G328" s="11" t="s">
        <v>2237</v>
      </c>
      <c r="H328" s="8" t="s">
        <v>151</v>
      </c>
      <c r="I328" s="32" t="s">
        <v>2782</v>
      </c>
      <c r="J328" s="25">
        <v>44712</v>
      </c>
      <c r="K328" s="25">
        <v>45199</v>
      </c>
      <c r="L328" s="26">
        <f t="shared" si="152"/>
        <v>85</v>
      </c>
      <c r="M328" s="11">
        <v>3</v>
      </c>
      <c r="N328" s="11" t="s">
        <v>254</v>
      </c>
      <c r="O328" s="11" t="s">
        <v>1824</v>
      </c>
      <c r="P328" s="27" t="s">
        <v>174</v>
      </c>
      <c r="Q328" s="11" t="s">
        <v>34</v>
      </c>
      <c r="R328" s="1">
        <f t="shared" si="153"/>
        <v>3412393</v>
      </c>
      <c r="S328" s="2">
        <v>3412393</v>
      </c>
      <c r="T328" s="2">
        <v>0</v>
      </c>
      <c r="U328" s="1">
        <f t="shared" si="154"/>
        <v>521895.4</v>
      </c>
      <c r="V328" s="28">
        <v>521895.4</v>
      </c>
      <c r="W328" s="28">
        <v>0</v>
      </c>
      <c r="X328" s="1">
        <f t="shared" si="155"/>
        <v>80291.600000000006</v>
      </c>
      <c r="Y328" s="30">
        <v>80291.600000000006</v>
      </c>
      <c r="Z328" s="30">
        <v>0</v>
      </c>
      <c r="AA328" s="2">
        <f t="shared" si="156"/>
        <v>0</v>
      </c>
      <c r="AB328" s="117">
        <v>0</v>
      </c>
      <c r="AC328" s="117">
        <v>0</v>
      </c>
      <c r="AD328" s="16">
        <f t="shared" si="158"/>
        <v>4014580</v>
      </c>
      <c r="AE328" s="30">
        <v>0</v>
      </c>
      <c r="AF328" s="2">
        <f t="shared" si="157"/>
        <v>4014580</v>
      </c>
      <c r="AG328" s="38" t="s">
        <v>486</v>
      </c>
      <c r="AH328" s="38"/>
      <c r="AI328" s="118">
        <v>0</v>
      </c>
      <c r="AJ328" s="118">
        <v>0</v>
      </c>
    </row>
    <row r="329" spans="1:36" s="179" customFormat="1" ht="141.75" x14ac:dyDescent="0.25">
      <c r="A329" s="6">
        <v>326</v>
      </c>
      <c r="B329" s="31">
        <v>118062</v>
      </c>
      <c r="C329" s="11">
        <v>421</v>
      </c>
      <c r="D329" s="32" t="s">
        <v>1639</v>
      </c>
      <c r="E329" s="24" t="s">
        <v>507</v>
      </c>
      <c r="F329" s="27" t="s">
        <v>890</v>
      </c>
      <c r="G329" s="119" t="s">
        <v>891</v>
      </c>
      <c r="H329" s="8" t="s">
        <v>151</v>
      </c>
      <c r="I329" s="32" t="s">
        <v>2783</v>
      </c>
      <c r="J329" s="25">
        <v>43412</v>
      </c>
      <c r="K329" s="25">
        <v>43898</v>
      </c>
      <c r="L329" s="26">
        <f t="shared" ref="L329:L336" si="159">R329/AD329*100</f>
        <v>85.000007860659679</v>
      </c>
      <c r="M329" s="40">
        <v>6</v>
      </c>
      <c r="N329" s="11" t="s">
        <v>298</v>
      </c>
      <c r="O329" s="11" t="s">
        <v>295</v>
      </c>
      <c r="P329" s="27" t="s">
        <v>174</v>
      </c>
      <c r="Q329" s="27" t="s">
        <v>34</v>
      </c>
      <c r="R329" s="1">
        <f t="shared" ref="R329:R336" si="160">S329+T329</f>
        <v>308180.27</v>
      </c>
      <c r="S329" s="36">
        <v>308180.27</v>
      </c>
      <c r="T329" s="36">
        <v>0</v>
      </c>
      <c r="U329" s="1">
        <f t="shared" ref="U329:U336" si="161">V329+W329</f>
        <v>47133.4</v>
      </c>
      <c r="V329" s="55">
        <v>47133.4</v>
      </c>
      <c r="W329" s="55">
        <v>0</v>
      </c>
      <c r="X329" s="51">
        <f t="shared" ref="X329:X336" si="162">Y329+Z329</f>
        <v>7251.32</v>
      </c>
      <c r="Y329" s="51">
        <v>7251.32</v>
      </c>
      <c r="Z329" s="51">
        <v>0</v>
      </c>
      <c r="AA329" s="2">
        <f t="shared" ref="AA329:AA336" si="163">AB329+AC329</f>
        <v>0</v>
      </c>
      <c r="AB329" s="117">
        <v>0</v>
      </c>
      <c r="AC329" s="117">
        <v>0</v>
      </c>
      <c r="AD329" s="16">
        <f t="shared" si="158"/>
        <v>362564.99000000005</v>
      </c>
      <c r="AE329" s="117">
        <v>0</v>
      </c>
      <c r="AF329" s="2">
        <f t="shared" ref="AF329:AF336" si="164">AD329+AE329</f>
        <v>362564.99000000005</v>
      </c>
      <c r="AG329" s="38" t="s">
        <v>857</v>
      </c>
      <c r="AH329" s="38" t="s">
        <v>1377</v>
      </c>
      <c r="AI329" s="118">
        <v>249239.43</v>
      </c>
      <c r="AJ329" s="30">
        <v>38118.980000000003</v>
      </c>
    </row>
    <row r="330" spans="1:36" s="179" customFormat="1" ht="151.5" customHeight="1" x14ac:dyDescent="0.25">
      <c r="A330" s="6">
        <v>327</v>
      </c>
      <c r="B330" s="11">
        <v>126302</v>
      </c>
      <c r="C330" s="11">
        <v>521</v>
      </c>
      <c r="D330" s="9" t="s">
        <v>1638</v>
      </c>
      <c r="E330" s="32" t="s">
        <v>899</v>
      </c>
      <c r="F330" s="27" t="s">
        <v>932</v>
      </c>
      <c r="G330" s="27" t="s">
        <v>293</v>
      </c>
      <c r="H330" s="8" t="s">
        <v>151</v>
      </c>
      <c r="I330" s="12" t="s">
        <v>933</v>
      </c>
      <c r="J330" s="25">
        <v>43447</v>
      </c>
      <c r="K330" s="25">
        <v>44482</v>
      </c>
      <c r="L330" s="26">
        <f t="shared" si="159"/>
        <v>85.000000283587156</v>
      </c>
      <c r="M330" s="11">
        <v>6</v>
      </c>
      <c r="N330" s="11" t="s">
        <v>298</v>
      </c>
      <c r="O330" s="11" t="s">
        <v>295</v>
      </c>
      <c r="P330" s="27" t="s">
        <v>174</v>
      </c>
      <c r="Q330" s="11" t="s">
        <v>34</v>
      </c>
      <c r="R330" s="1">
        <f t="shared" si="160"/>
        <v>2697583.52</v>
      </c>
      <c r="S330" s="2">
        <v>2697583.52</v>
      </c>
      <c r="T330" s="2">
        <v>0</v>
      </c>
      <c r="U330" s="1">
        <f t="shared" si="161"/>
        <v>412571.59</v>
      </c>
      <c r="V330" s="28">
        <v>412571.59</v>
      </c>
      <c r="W330" s="28">
        <v>0</v>
      </c>
      <c r="X330" s="1">
        <f t="shared" si="162"/>
        <v>63472.55</v>
      </c>
      <c r="Y330" s="2">
        <v>63472.55</v>
      </c>
      <c r="Z330" s="30">
        <v>0</v>
      </c>
      <c r="AA330" s="2">
        <f t="shared" si="163"/>
        <v>0</v>
      </c>
      <c r="AB330" s="2">
        <v>0</v>
      </c>
      <c r="AC330" s="2">
        <v>0</v>
      </c>
      <c r="AD330" s="16">
        <f t="shared" si="158"/>
        <v>3173627.6599999997</v>
      </c>
      <c r="AE330" s="2">
        <v>44744</v>
      </c>
      <c r="AF330" s="2">
        <f t="shared" si="164"/>
        <v>3218371.6599999997</v>
      </c>
      <c r="AG330" s="38" t="s">
        <v>857</v>
      </c>
      <c r="AH330" s="38" t="s">
        <v>1790</v>
      </c>
      <c r="AI330" s="118">
        <f>868935.85+202154.6-31899.66+240474.34+180513.89+317362.76-32301.2+480099.09+167721.85-8613.8-8272.59+658</f>
        <v>2376833.1300000004</v>
      </c>
      <c r="AJ330" s="30">
        <f>84361.34+30914.65+31899.66+27608+11296.45+32301.2+73426.92+50675.08+8613.8+8272.59+4145.96</f>
        <v>363515.65000000008</v>
      </c>
    </row>
    <row r="331" spans="1:36" s="179" customFormat="1" ht="362.25" x14ac:dyDescent="0.25">
      <c r="A331" s="6">
        <v>328</v>
      </c>
      <c r="B331" s="31">
        <v>126243</v>
      </c>
      <c r="C331" s="11">
        <v>549</v>
      </c>
      <c r="D331" s="9" t="s">
        <v>1638</v>
      </c>
      <c r="E331" s="11" t="s">
        <v>899</v>
      </c>
      <c r="F331" s="27" t="s">
        <v>1033</v>
      </c>
      <c r="G331" s="27" t="s">
        <v>891</v>
      </c>
      <c r="H331" s="8" t="s">
        <v>151</v>
      </c>
      <c r="I331" s="24" t="s">
        <v>2784</v>
      </c>
      <c r="J331" s="25">
        <v>43556</v>
      </c>
      <c r="K331" s="25">
        <v>44409</v>
      </c>
      <c r="L331" s="26">
        <f t="shared" si="159"/>
        <v>84.9999995883324</v>
      </c>
      <c r="M331" s="40">
        <v>6</v>
      </c>
      <c r="N331" s="11" t="s">
        <v>298</v>
      </c>
      <c r="O331" s="11" t="s">
        <v>298</v>
      </c>
      <c r="P331" s="11" t="s">
        <v>174</v>
      </c>
      <c r="Q331" s="11" t="s">
        <v>34</v>
      </c>
      <c r="R331" s="1">
        <f t="shared" si="160"/>
        <v>2477727.14</v>
      </c>
      <c r="S331" s="2">
        <v>2477727.14</v>
      </c>
      <c r="T331" s="2">
        <v>0</v>
      </c>
      <c r="U331" s="1">
        <f t="shared" si="161"/>
        <v>378946.5</v>
      </c>
      <c r="V331" s="28">
        <v>378946.5</v>
      </c>
      <c r="W331" s="28">
        <v>0</v>
      </c>
      <c r="X331" s="1">
        <f t="shared" si="162"/>
        <v>58299.48</v>
      </c>
      <c r="Y331" s="2">
        <v>58299.48</v>
      </c>
      <c r="Z331" s="2">
        <v>0</v>
      </c>
      <c r="AA331" s="2">
        <f t="shared" si="163"/>
        <v>0</v>
      </c>
      <c r="AB331" s="2">
        <v>0</v>
      </c>
      <c r="AC331" s="2">
        <v>0</v>
      </c>
      <c r="AD331" s="16">
        <f t="shared" si="158"/>
        <v>2914973.12</v>
      </c>
      <c r="AE331" s="2">
        <v>16660</v>
      </c>
      <c r="AF331" s="2">
        <f t="shared" si="164"/>
        <v>2931633.12</v>
      </c>
      <c r="AG331" s="38" t="s">
        <v>857</v>
      </c>
      <c r="AH331" s="38" t="s">
        <v>1758</v>
      </c>
      <c r="AI331" s="30">
        <f>138790.64+56881.15+18677.05+445571.52+116963.42+876227.92+172996.19+277947.65+139032.08</f>
        <v>2243087.62</v>
      </c>
      <c r="AJ331" s="30">
        <f>21226.8+8699.47+2856.49+68146.24+17888.52+134011.33+26458.23+42509.65+21263.73</f>
        <v>343060.45999999996</v>
      </c>
    </row>
    <row r="332" spans="1:36" s="179" customFormat="1" ht="236.25" x14ac:dyDescent="0.25">
      <c r="A332" s="6">
        <v>329</v>
      </c>
      <c r="B332" s="31">
        <v>119429</v>
      </c>
      <c r="C332" s="31">
        <v>472</v>
      </c>
      <c r="D332" s="9" t="s">
        <v>1638</v>
      </c>
      <c r="E332" s="24" t="s">
        <v>457</v>
      </c>
      <c r="F332" s="11" t="s">
        <v>671</v>
      </c>
      <c r="G332" s="27" t="s">
        <v>891</v>
      </c>
      <c r="H332" s="8" t="s">
        <v>151</v>
      </c>
      <c r="I332" s="120" t="s">
        <v>2785</v>
      </c>
      <c r="J332" s="25">
        <v>43304</v>
      </c>
      <c r="K332" s="25">
        <v>43669</v>
      </c>
      <c r="L332" s="26">
        <f t="shared" si="159"/>
        <v>85.000001381242228</v>
      </c>
      <c r="M332" s="11">
        <v>6</v>
      </c>
      <c r="N332" s="11" t="s">
        <v>298</v>
      </c>
      <c r="O332" s="11" t="s">
        <v>295</v>
      </c>
      <c r="P332" s="27" t="s">
        <v>174</v>
      </c>
      <c r="Q332" s="11" t="s">
        <v>460</v>
      </c>
      <c r="R332" s="2">
        <f t="shared" si="160"/>
        <v>215385.83</v>
      </c>
      <c r="S332" s="2">
        <v>215385.83</v>
      </c>
      <c r="T332" s="2">
        <v>0</v>
      </c>
      <c r="U332" s="2">
        <f t="shared" si="161"/>
        <v>32941.35</v>
      </c>
      <c r="V332" s="28">
        <v>32941.35</v>
      </c>
      <c r="W332" s="28">
        <v>0</v>
      </c>
      <c r="X332" s="2">
        <f t="shared" si="162"/>
        <v>5067.91</v>
      </c>
      <c r="Y332" s="2">
        <v>5067.91</v>
      </c>
      <c r="Z332" s="2">
        <v>0</v>
      </c>
      <c r="AA332" s="2">
        <f t="shared" si="163"/>
        <v>0</v>
      </c>
      <c r="AB332" s="2">
        <v>0</v>
      </c>
      <c r="AC332" s="2">
        <v>0</v>
      </c>
      <c r="AD332" s="16">
        <f t="shared" si="158"/>
        <v>253395.09</v>
      </c>
      <c r="AE332" s="2"/>
      <c r="AF332" s="2">
        <f t="shared" si="164"/>
        <v>253395.09</v>
      </c>
      <c r="AG332" s="21" t="s">
        <v>857</v>
      </c>
      <c r="AH332" s="29"/>
      <c r="AI332" s="30">
        <v>158423.03</v>
      </c>
      <c r="AJ332" s="30">
        <v>24229.39</v>
      </c>
    </row>
    <row r="333" spans="1:36" s="179" customFormat="1" ht="173.25" x14ac:dyDescent="0.25">
      <c r="A333" s="6">
        <v>330</v>
      </c>
      <c r="B333" s="31">
        <v>121622</v>
      </c>
      <c r="C333" s="11">
        <v>99</v>
      </c>
      <c r="D333" s="9" t="s">
        <v>1638</v>
      </c>
      <c r="E333" s="24" t="s">
        <v>277</v>
      </c>
      <c r="F333" s="11" t="s">
        <v>292</v>
      </c>
      <c r="G333" s="11" t="s">
        <v>296</v>
      </c>
      <c r="H333" s="8" t="s">
        <v>151</v>
      </c>
      <c r="I333" s="45" t="s">
        <v>291</v>
      </c>
      <c r="J333" s="25">
        <v>43188</v>
      </c>
      <c r="K333" s="25">
        <v>43737</v>
      </c>
      <c r="L333" s="26">
        <f t="shared" si="159"/>
        <v>84.999999426373932</v>
      </c>
      <c r="M333" s="11" t="s">
        <v>136</v>
      </c>
      <c r="N333" s="11" t="s">
        <v>298</v>
      </c>
      <c r="O333" s="11" t="s">
        <v>298</v>
      </c>
      <c r="P333" s="27" t="s">
        <v>174</v>
      </c>
      <c r="Q333" s="11" t="s">
        <v>34</v>
      </c>
      <c r="R333" s="2">
        <f t="shared" si="160"/>
        <v>444540.46</v>
      </c>
      <c r="S333" s="2">
        <v>444540.46</v>
      </c>
      <c r="T333" s="2">
        <v>0</v>
      </c>
      <c r="U333" s="2">
        <f t="shared" si="161"/>
        <v>67988.539999999994</v>
      </c>
      <c r="V333" s="28">
        <v>67988.539999999994</v>
      </c>
      <c r="W333" s="28">
        <v>0</v>
      </c>
      <c r="X333" s="2">
        <f t="shared" si="162"/>
        <v>10459.780000000001</v>
      </c>
      <c r="Y333" s="1">
        <v>10459.780000000001</v>
      </c>
      <c r="Z333" s="2">
        <v>0</v>
      </c>
      <c r="AA333" s="2">
        <f t="shared" si="163"/>
        <v>0</v>
      </c>
      <c r="AB333" s="2">
        <v>0</v>
      </c>
      <c r="AC333" s="2">
        <v>0</v>
      </c>
      <c r="AD333" s="16">
        <f t="shared" si="158"/>
        <v>522988.78</v>
      </c>
      <c r="AE333" s="2">
        <v>0</v>
      </c>
      <c r="AF333" s="2">
        <f t="shared" si="164"/>
        <v>522988.78</v>
      </c>
      <c r="AG333" s="21" t="s">
        <v>857</v>
      </c>
      <c r="AH333" s="29" t="s">
        <v>972</v>
      </c>
      <c r="AI333" s="30">
        <v>306121.42</v>
      </c>
      <c r="AJ333" s="30">
        <v>46818.559999999998</v>
      </c>
    </row>
    <row r="334" spans="1:36" s="179" customFormat="1" ht="189" x14ac:dyDescent="0.25">
      <c r="A334" s="6">
        <v>331</v>
      </c>
      <c r="B334" s="31">
        <v>121536</v>
      </c>
      <c r="C334" s="11">
        <v>102</v>
      </c>
      <c r="D334" s="9" t="s">
        <v>1638</v>
      </c>
      <c r="E334" s="24" t="s">
        <v>277</v>
      </c>
      <c r="F334" s="11" t="s">
        <v>1360</v>
      </c>
      <c r="G334" s="11" t="s">
        <v>293</v>
      </c>
      <c r="H334" s="8" t="s">
        <v>151</v>
      </c>
      <c r="I334" s="45" t="s">
        <v>299</v>
      </c>
      <c r="J334" s="25">
        <v>43186</v>
      </c>
      <c r="K334" s="25">
        <v>43643</v>
      </c>
      <c r="L334" s="26">
        <f t="shared" si="159"/>
        <v>85.000000246407055</v>
      </c>
      <c r="M334" s="11" t="s">
        <v>136</v>
      </c>
      <c r="N334" s="11" t="s">
        <v>298</v>
      </c>
      <c r="O334" s="11" t="s">
        <v>295</v>
      </c>
      <c r="P334" s="27" t="s">
        <v>174</v>
      </c>
      <c r="Q334" s="11" t="s">
        <v>34</v>
      </c>
      <c r="R334" s="2">
        <f t="shared" si="160"/>
        <v>344957.66</v>
      </c>
      <c r="S334" s="2">
        <v>344957.66</v>
      </c>
      <c r="T334" s="2">
        <v>0</v>
      </c>
      <c r="U334" s="2">
        <f t="shared" si="161"/>
        <v>52758.23</v>
      </c>
      <c r="V334" s="28">
        <v>52758.23</v>
      </c>
      <c r="W334" s="28">
        <v>0</v>
      </c>
      <c r="X334" s="2">
        <f t="shared" si="162"/>
        <v>8116.65</v>
      </c>
      <c r="Y334" s="2">
        <v>8116.65</v>
      </c>
      <c r="Z334" s="2">
        <v>0</v>
      </c>
      <c r="AA334" s="2">
        <f t="shared" si="163"/>
        <v>0</v>
      </c>
      <c r="AB334" s="2">
        <v>0</v>
      </c>
      <c r="AC334" s="2">
        <v>0</v>
      </c>
      <c r="AD334" s="16">
        <f t="shared" si="158"/>
        <v>405832.54</v>
      </c>
      <c r="AE334" s="2">
        <v>0</v>
      </c>
      <c r="AF334" s="2">
        <f t="shared" si="164"/>
        <v>405832.54</v>
      </c>
      <c r="AG334" s="21" t="s">
        <v>857</v>
      </c>
      <c r="AH334" s="29" t="s">
        <v>151</v>
      </c>
      <c r="AI334" s="30">
        <v>219496.65000000002</v>
      </c>
      <c r="AJ334" s="30">
        <v>33570.07</v>
      </c>
    </row>
    <row r="335" spans="1:36" s="179" customFormat="1" ht="267.75" x14ac:dyDescent="0.25">
      <c r="A335" s="6">
        <v>332</v>
      </c>
      <c r="B335" s="31">
        <v>135976</v>
      </c>
      <c r="C335" s="11">
        <v>806</v>
      </c>
      <c r="D335" s="9" t="s">
        <v>1638</v>
      </c>
      <c r="E335" s="24" t="s">
        <v>1441</v>
      </c>
      <c r="F335" s="11" t="s">
        <v>1465</v>
      </c>
      <c r="G335" s="11" t="s">
        <v>891</v>
      </c>
      <c r="H335" s="8" t="s">
        <v>151</v>
      </c>
      <c r="I335" s="45" t="s">
        <v>2786</v>
      </c>
      <c r="J335" s="25">
        <v>43959</v>
      </c>
      <c r="K335" s="25">
        <v>44628</v>
      </c>
      <c r="L335" s="26">
        <f t="shared" si="159"/>
        <v>85.000000866607152</v>
      </c>
      <c r="M335" s="40">
        <v>6</v>
      </c>
      <c r="N335" s="11" t="s">
        <v>298</v>
      </c>
      <c r="O335" s="11" t="s">
        <v>298</v>
      </c>
      <c r="P335" s="27" t="s">
        <v>174</v>
      </c>
      <c r="Q335" s="11" t="s">
        <v>1450</v>
      </c>
      <c r="R335" s="2">
        <f t="shared" si="160"/>
        <v>490418.3</v>
      </c>
      <c r="S335" s="2">
        <v>490418.3</v>
      </c>
      <c r="T335" s="2">
        <v>0</v>
      </c>
      <c r="U335" s="2">
        <f t="shared" si="161"/>
        <v>75005.149999999994</v>
      </c>
      <c r="V335" s="28">
        <v>75005.149999999994</v>
      </c>
      <c r="W335" s="28">
        <v>0</v>
      </c>
      <c r="X335" s="2">
        <f t="shared" si="162"/>
        <v>11539.25</v>
      </c>
      <c r="Y335" s="2">
        <v>11539.25</v>
      </c>
      <c r="Z335" s="2">
        <v>0</v>
      </c>
      <c r="AA335" s="2">
        <f t="shared" si="163"/>
        <v>0</v>
      </c>
      <c r="AB335" s="2">
        <v>0</v>
      </c>
      <c r="AC335" s="2">
        <v>0</v>
      </c>
      <c r="AD335" s="16">
        <f t="shared" si="158"/>
        <v>576962.69999999995</v>
      </c>
      <c r="AE335" s="2">
        <v>0</v>
      </c>
      <c r="AF335" s="2">
        <f t="shared" si="164"/>
        <v>576962.69999999995</v>
      </c>
      <c r="AG335" s="38" t="s">
        <v>857</v>
      </c>
      <c r="AH335" s="38" t="s">
        <v>1764</v>
      </c>
      <c r="AI335" s="30">
        <f>10931.85+12767+34626.66+4797.4+10676+102506.6+7942.4+11684.95+206923.15+60588.85</f>
        <v>463444.86</v>
      </c>
      <c r="AJ335" s="30">
        <f>1671.93+1952.6+5295.84+733.72+1632.8+15677.48+1214.72+1787.11+31647.07+9266.53</f>
        <v>70879.8</v>
      </c>
    </row>
    <row r="336" spans="1:36" s="179" customFormat="1" ht="267.75" x14ac:dyDescent="0.25">
      <c r="A336" s="6">
        <v>333</v>
      </c>
      <c r="B336" s="31">
        <v>136251</v>
      </c>
      <c r="C336" s="11">
        <v>822</v>
      </c>
      <c r="D336" s="9" t="s">
        <v>1638</v>
      </c>
      <c r="E336" s="24" t="s">
        <v>1441</v>
      </c>
      <c r="F336" s="11" t="s">
        <v>1577</v>
      </c>
      <c r="G336" s="11" t="s">
        <v>293</v>
      </c>
      <c r="H336" s="8" t="s">
        <v>151</v>
      </c>
      <c r="I336" s="45" t="s">
        <v>1578</v>
      </c>
      <c r="J336" s="25">
        <v>44020</v>
      </c>
      <c r="K336" s="25">
        <v>44689</v>
      </c>
      <c r="L336" s="26">
        <f t="shared" si="159"/>
        <v>85.000000000000014</v>
      </c>
      <c r="M336" s="40">
        <v>6</v>
      </c>
      <c r="N336" s="11" t="s">
        <v>298</v>
      </c>
      <c r="O336" s="11" t="s">
        <v>295</v>
      </c>
      <c r="P336" s="27" t="s">
        <v>174</v>
      </c>
      <c r="Q336" s="11" t="s">
        <v>1450</v>
      </c>
      <c r="R336" s="2">
        <f t="shared" si="160"/>
        <v>759150.98</v>
      </c>
      <c r="S336" s="2">
        <v>759150.98</v>
      </c>
      <c r="T336" s="2">
        <v>0</v>
      </c>
      <c r="U336" s="2">
        <f t="shared" si="161"/>
        <v>116105.44</v>
      </c>
      <c r="V336" s="28">
        <v>116105.44</v>
      </c>
      <c r="W336" s="28">
        <v>0</v>
      </c>
      <c r="X336" s="2">
        <f t="shared" si="162"/>
        <v>17862.38</v>
      </c>
      <c r="Y336" s="2">
        <v>17862.38</v>
      </c>
      <c r="Z336" s="2">
        <v>0</v>
      </c>
      <c r="AA336" s="2">
        <f t="shared" si="163"/>
        <v>0</v>
      </c>
      <c r="AB336" s="2">
        <v>0</v>
      </c>
      <c r="AC336" s="2">
        <v>0</v>
      </c>
      <c r="AD336" s="16">
        <f t="shared" si="158"/>
        <v>893118.79999999993</v>
      </c>
      <c r="AE336" s="2">
        <v>0</v>
      </c>
      <c r="AF336" s="2">
        <f t="shared" si="164"/>
        <v>893118.79999999993</v>
      </c>
      <c r="AG336" s="38" t="s">
        <v>857</v>
      </c>
      <c r="AH336" s="38" t="s">
        <v>1977</v>
      </c>
      <c r="AI336" s="30">
        <f>89311.88-3326.82-4204.74+56776.44+122243.22+121632.88+80974.15+89311.88+48653.15-31456.7-7674.66</f>
        <v>562240.68000000005</v>
      </c>
      <c r="AJ336" s="30">
        <f>3326.82+4204.74+18696.02+18602.67+26043.74+7441.07+7674.66</f>
        <v>85989.72</v>
      </c>
    </row>
    <row r="337" spans="1:36" s="179" customFormat="1" ht="141.75" x14ac:dyDescent="0.25">
      <c r="A337" s="6">
        <v>334</v>
      </c>
      <c r="B337" s="31">
        <v>119377</v>
      </c>
      <c r="C337" s="11">
        <v>463</v>
      </c>
      <c r="D337" s="9" t="s">
        <v>1638</v>
      </c>
      <c r="E337" s="11" t="s">
        <v>457</v>
      </c>
      <c r="F337" s="27" t="s">
        <v>764</v>
      </c>
      <c r="G337" s="11" t="s">
        <v>762</v>
      </c>
      <c r="H337" s="8" t="s">
        <v>151</v>
      </c>
      <c r="I337" s="32" t="s">
        <v>2787</v>
      </c>
      <c r="J337" s="25">
        <v>43332</v>
      </c>
      <c r="K337" s="25">
        <v>43819</v>
      </c>
      <c r="L337" s="26">
        <f t="shared" ref="L337:L345" si="165">R337/AD337*100</f>
        <v>85.000001900439869</v>
      </c>
      <c r="M337" s="11">
        <v>6</v>
      </c>
      <c r="N337" s="11" t="s">
        <v>763</v>
      </c>
      <c r="O337" s="11" t="s">
        <v>763</v>
      </c>
      <c r="P337" s="11" t="s">
        <v>174</v>
      </c>
      <c r="Q337" s="27" t="s">
        <v>34</v>
      </c>
      <c r="R337" s="1">
        <f t="shared" ref="R337:R345" si="166">S337+T337</f>
        <v>313085.42</v>
      </c>
      <c r="S337" s="2">
        <v>313085.42</v>
      </c>
      <c r="T337" s="2">
        <v>0</v>
      </c>
      <c r="U337" s="1">
        <f t="shared" ref="U337:U345" si="167">V337+W337</f>
        <v>47883.64</v>
      </c>
      <c r="V337" s="28">
        <v>47883.64</v>
      </c>
      <c r="W337" s="28">
        <v>0</v>
      </c>
      <c r="X337" s="30">
        <f t="shared" ref="X337:X345" si="168">Y337+Z337</f>
        <v>7366.72</v>
      </c>
      <c r="Y337" s="30">
        <v>7366.72</v>
      </c>
      <c r="Z337" s="30">
        <v>0</v>
      </c>
      <c r="AA337" s="2">
        <f t="shared" ref="AA337:AA345" si="169">AB337+AC337</f>
        <v>0</v>
      </c>
      <c r="AB337" s="37">
        <v>0</v>
      </c>
      <c r="AC337" s="37">
        <v>0</v>
      </c>
      <c r="AD337" s="16">
        <f t="shared" si="158"/>
        <v>368335.77999999997</v>
      </c>
      <c r="AE337" s="51">
        <v>4938.5</v>
      </c>
      <c r="AF337" s="2">
        <f t="shared" ref="AF337:AF341" si="170">AD337+AE337</f>
        <v>373274.27999999997</v>
      </c>
      <c r="AG337" s="38" t="s">
        <v>857</v>
      </c>
      <c r="AH337" s="35" t="s">
        <v>151</v>
      </c>
      <c r="AI337" s="30">
        <v>133874.00999999998</v>
      </c>
      <c r="AJ337" s="30">
        <v>20474.830000000002</v>
      </c>
    </row>
    <row r="338" spans="1:36" s="179" customFormat="1" ht="157.5" x14ac:dyDescent="0.25">
      <c r="A338" s="6">
        <v>335</v>
      </c>
      <c r="B338" s="31">
        <v>126124</v>
      </c>
      <c r="C338" s="11">
        <v>532</v>
      </c>
      <c r="D338" s="9" t="s">
        <v>1638</v>
      </c>
      <c r="E338" s="11" t="s">
        <v>899</v>
      </c>
      <c r="F338" s="27" t="s">
        <v>948</v>
      </c>
      <c r="G338" s="11" t="s">
        <v>762</v>
      </c>
      <c r="H338" s="8" t="s">
        <v>151</v>
      </c>
      <c r="I338" s="32" t="s">
        <v>949</v>
      </c>
      <c r="J338" s="25">
        <v>43462</v>
      </c>
      <c r="K338" s="25">
        <v>44528</v>
      </c>
      <c r="L338" s="26">
        <f t="shared" si="165"/>
        <v>84.999999694403598</v>
      </c>
      <c r="M338" s="11">
        <v>6</v>
      </c>
      <c r="N338" s="11" t="s">
        <v>763</v>
      </c>
      <c r="O338" s="11" t="s">
        <v>763</v>
      </c>
      <c r="P338" s="11" t="s">
        <v>174</v>
      </c>
      <c r="Q338" s="27" t="s">
        <v>34</v>
      </c>
      <c r="R338" s="1">
        <f t="shared" si="166"/>
        <v>2086084.74</v>
      </c>
      <c r="S338" s="2">
        <v>2086084.74</v>
      </c>
      <c r="T338" s="2">
        <v>0</v>
      </c>
      <c r="U338" s="1">
        <f t="shared" si="167"/>
        <v>319048.28000000003</v>
      </c>
      <c r="V338" s="28">
        <v>319048.28000000003</v>
      </c>
      <c r="W338" s="28">
        <v>0</v>
      </c>
      <c r="X338" s="30">
        <f t="shared" si="168"/>
        <v>49084.33</v>
      </c>
      <c r="Y338" s="30">
        <v>49084.33</v>
      </c>
      <c r="Z338" s="30">
        <v>0</v>
      </c>
      <c r="AA338" s="2">
        <f t="shared" si="169"/>
        <v>0</v>
      </c>
      <c r="AB338" s="37">
        <v>0</v>
      </c>
      <c r="AC338" s="37">
        <v>0</v>
      </c>
      <c r="AD338" s="16">
        <f t="shared" si="158"/>
        <v>2454217.35</v>
      </c>
      <c r="AE338" s="51">
        <v>0</v>
      </c>
      <c r="AF338" s="2">
        <f t="shared" si="170"/>
        <v>2454217.35</v>
      </c>
      <c r="AG338" s="38" t="s">
        <v>857</v>
      </c>
      <c r="AH338" s="38" t="s">
        <v>1743</v>
      </c>
      <c r="AI338" s="30">
        <f>108981.2+420032.45+152281.32+363688.87+137544.14+237753.81+391498.77+425</f>
        <v>1812205.56</v>
      </c>
      <c r="AJ338" s="30">
        <f>16667.72+64240.27+23290.09+55623.01+21036.17+36362.34+59876.29+65</f>
        <v>277160.89</v>
      </c>
    </row>
    <row r="339" spans="1:36" s="179" customFormat="1" ht="171.75" customHeight="1" x14ac:dyDescent="0.25">
      <c r="A339" s="6">
        <v>336</v>
      </c>
      <c r="B339" s="11">
        <v>129237</v>
      </c>
      <c r="C339" s="11">
        <v>670</v>
      </c>
      <c r="D339" s="9" t="s">
        <v>1638</v>
      </c>
      <c r="E339" s="24" t="s">
        <v>1071</v>
      </c>
      <c r="F339" s="11" t="s">
        <v>1237</v>
      </c>
      <c r="G339" s="11" t="s">
        <v>1238</v>
      </c>
      <c r="H339" s="8" t="s">
        <v>151</v>
      </c>
      <c r="I339" s="12" t="s">
        <v>1239</v>
      </c>
      <c r="J339" s="25">
        <v>43697</v>
      </c>
      <c r="K339" s="25">
        <v>44946</v>
      </c>
      <c r="L339" s="26">
        <f t="shared" si="165"/>
        <v>85</v>
      </c>
      <c r="M339" s="11">
        <v>6</v>
      </c>
      <c r="N339" s="11" t="s">
        <v>763</v>
      </c>
      <c r="O339" s="11" t="s">
        <v>1240</v>
      </c>
      <c r="P339" s="27" t="s">
        <v>174</v>
      </c>
      <c r="Q339" s="11" t="s">
        <v>34</v>
      </c>
      <c r="R339" s="1">
        <f t="shared" si="166"/>
        <v>2465000</v>
      </c>
      <c r="S339" s="2">
        <v>2465000</v>
      </c>
      <c r="T339" s="2">
        <v>0</v>
      </c>
      <c r="U339" s="1">
        <f t="shared" si="167"/>
        <v>377000</v>
      </c>
      <c r="V339" s="28">
        <v>377000</v>
      </c>
      <c r="W339" s="28">
        <v>0</v>
      </c>
      <c r="X339" s="1">
        <f t="shared" si="168"/>
        <v>58000</v>
      </c>
      <c r="Y339" s="2">
        <v>58000</v>
      </c>
      <c r="Z339" s="2">
        <v>0</v>
      </c>
      <c r="AA339" s="2">
        <f t="shared" si="169"/>
        <v>0</v>
      </c>
      <c r="AB339" s="2">
        <v>0</v>
      </c>
      <c r="AC339" s="2">
        <v>0</v>
      </c>
      <c r="AD339" s="16">
        <f t="shared" si="158"/>
        <v>2900000</v>
      </c>
      <c r="AE339" s="2">
        <v>0</v>
      </c>
      <c r="AF339" s="2">
        <f t="shared" si="170"/>
        <v>2900000</v>
      </c>
      <c r="AG339" s="38" t="s">
        <v>486</v>
      </c>
      <c r="AH339" s="29" t="s">
        <v>3169</v>
      </c>
      <c r="AI339" s="30">
        <f>378814.52-15254.59+264996.14+310640.81+340167.45+253198.17+463751.93-14909.5+161579.54-13153.66+32190.99+245620.17</f>
        <v>2407641.9699999997</v>
      </c>
      <c r="AJ339" s="30">
        <f>36524.57+15254.59+81552.25+52025.61+4681.95+70926.76+14909.5+24712.16+13153.66+4923.33+5210.27</f>
        <v>323874.65000000002</v>
      </c>
    </row>
    <row r="340" spans="1:36" s="179" customFormat="1" ht="171.75" customHeight="1" x14ac:dyDescent="0.25">
      <c r="A340" s="6">
        <v>337</v>
      </c>
      <c r="B340" s="11">
        <v>135083</v>
      </c>
      <c r="C340" s="11">
        <v>787</v>
      </c>
      <c r="D340" s="9" t="s">
        <v>1638</v>
      </c>
      <c r="E340" s="24" t="s">
        <v>1441</v>
      </c>
      <c r="F340" s="11" t="s">
        <v>1502</v>
      </c>
      <c r="G340" s="11" t="s">
        <v>762</v>
      </c>
      <c r="H340" s="8" t="s">
        <v>151</v>
      </c>
      <c r="I340" s="12" t="s">
        <v>2788</v>
      </c>
      <c r="J340" s="25">
        <v>43973</v>
      </c>
      <c r="K340" s="25">
        <v>44917</v>
      </c>
      <c r="L340" s="26">
        <f t="shared" si="165"/>
        <v>85.000000133164178</v>
      </c>
      <c r="M340" s="11">
        <v>6</v>
      </c>
      <c r="N340" s="11" t="s">
        <v>763</v>
      </c>
      <c r="O340" s="11" t="s">
        <v>763</v>
      </c>
      <c r="P340" s="11" t="s">
        <v>174</v>
      </c>
      <c r="Q340" s="11" t="s">
        <v>34</v>
      </c>
      <c r="R340" s="1">
        <f t="shared" si="166"/>
        <v>2234084.3199999998</v>
      </c>
      <c r="S340" s="2">
        <v>2234084.3199999998</v>
      </c>
      <c r="T340" s="2">
        <v>0</v>
      </c>
      <c r="U340" s="1">
        <f t="shared" si="167"/>
        <v>341683.48</v>
      </c>
      <c r="V340" s="28">
        <v>341683.48</v>
      </c>
      <c r="W340" s="28">
        <v>0</v>
      </c>
      <c r="X340" s="1">
        <f t="shared" si="168"/>
        <v>52566.69</v>
      </c>
      <c r="Y340" s="2">
        <v>52566.69</v>
      </c>
      <c r="Z340" s="2">
        <v>0</v>
      </c>
      <c r="AA340" s="2">
        <f t="shared" si="169"/>
        <v>0</v>
      </c>
      <c r="AB340" s="2">
        <v>0</v>
      </c>
      <c r="AC340" s="2">
        <v>0</v>
      </c>
      <c r="AD340" s="16">
        <f t="shared" si="158"/>
        <v>2628334.4899999998</v>
      </c>
      <c r="AE340" s="2">
        <v>0</v>
      </c>
      <c r="AF340" s="2">
        <f t="shared" si="170"/>
        <v>2628334.4899999998</v>
      </c>
      <c r="AG340" s="38" t="s">
        <v>486</v>
      </c>
      <c r="AH340" s="29" t="s">
        <v>2045</v>
      </c>
      <c r="AI340" s="30">
        <f>425+46534.06+55068.9+44200+269994.64+323680+334806.5+530506.46</f>
        <v>1605215.56</v>
      </c>
      <c r="AJ340" s="30">
        <f>65+7116.97+8422.3+6760+41293.3+49504+51205.7+81136.28</f>
        <v>245503.55000000002</v>
      </c>
    </row>
    <row r="341" spans="1:36" s="179" customFormat="1" ht="171.75" customHeight="1" x14ac:dyDescent="0.25">
      <c r="A341" s="6">
        <v>338</v>
      </c>
      <c r="B341" s="11">
        <v>135769</v>
      </c>
      <c r="C341" s="11">
        <v>845</v>
      </c>
      <c r="D341" s="9" t="s">
        <v>1638</v>
      </c>
      <c r="E341" s="24" t="s">
        <v>1441</v>
      </c>
      <c r="F341" s="11" t="s">
        <v>1553</v>
      </c>
      <c r="G341" s="11" t="s">
        <v>1238</v>
      </c>
      <c r="H341" s="8" t="s">
        <v>151</v>
      </c>
      <c r="I341" s="12" t="s">
        <v>2789</v>
      </c>
      <c r="J341" s="25">
        <v>44011</v>
      </c>
      <c r="K341" s="25">
        <v>44924</v>
      </c>
      <c r="L341" s="26">
        <f t="shared" si="165"/>
        <v>85.000000109361991</v>
      </c>
      <c r="M341" s="11">
        <v>6</v>
      </c>
      <c r="N341" s="11" t="s">
        <v>763</v>
      </c>
      <c r="O341" s="11" t="s">
        <v>1240</v>
      </c>
      <c r="P341" s="11" t="s">
        <v>174</v>
      </c>
      <c r="Q341" s="11" t="s">
        <v>34</v>
      </c>
      <c r="R341" s="1">
        <f t="shared" si="166"/>
        <v>2331705.91</v>
      </c>
      <c r="S341" s="2">
        <v>2331705.91</v>
      </c>
      <c r="T341" s="2">
        <v>0</v>
      </c>
      <c r="U341" s="1">
        <f t="shared" si="167"/>
        <v>356613.86</v>
      </c>
      <c r="V341" s="28">
        <v>356613.86</v>
      </c>
      <c r="W341" s="28">
        <v>0</v>
      </c>
      <c r="X341" s="1">
        <f t="shared" si="168"/>
        <v>54863.65</v>
      </c>
      <c r="Y341" s="2">
        <v>54863.65</v>
      </c>
      <c r="Z341" s="2">
        <v>0</v>
      </c>
      <c r="AA341" s="2">
        <f t="shared" si="169"/>
        <v>0</v>
      </c>
      <c r="AB341" s="2">
        <v>0</v>
      </c>
      <c r="AC341" s="2">
        <v>0</v>
      </c>
      <c r="AD341" s="16">
        <f t="shared" si="158"/>
        <v>2743183.42</v>
      </c>
      <c r="AE341" s="2">
        <v>0</v>
      </c>
      <c r="AF341" s="2">
        <f t="shared" si="170"/>
        <v>2743183.42</v>
      </c>
      <c r="AG341" s="38" t="s">
        <v>486</v>
      </c>
      <c r="AH341" s="29" t="s">
        <v>2303</v>
      </c>
      <c r="AI341" s="30">
        <f>274300-21766.39-7507.24+560725.02+22064.57+416738+27406.55+107724.75+257522.09</f>
        <v>1637207.35</v>
      </c>
      <c r="AJ341" s="30">
        <f>21766.39+7507.24+85757.95+11575.58+63736.4+4191.59+16475.55+39385.73</f>
        <v>250396.43</v>
      </c>
    </row>
    <row r="342" spans="1:36" s="179" customFormat="1" ht="171.75" customHeight="1" x14ac:dyDescent="0.25">
      <c r="A342" s="6">
        <v>339</v>
      </c>
      <c r="B342" s="11">
        <v>151935</v>
      </c>
      <c r="C342" s="11">
        <v>1107</v>
      </c>
      <c r="D342" s="9" t="s">
        <v>1639</v>
      </c>
      <c r="E342" s="24" t="s">
        <v>1801</v>
      </c>
      <c r="F342" s="11" t="s">
        <v>1819</v>
      </c>
      <c r="G342" s="11" t="s">
        <v>1818</v>
      </c>
      <c r="H342" s="8" t="s">
        <v>151</v>
      </c>
      <c r="I342" s="12" t="s">
        <v>1820</v>
      </c>
      <c r="J342" s="25">
        <v>44481</v>
      </c>
      <c r="K342" s="25">
        <v>44846</v>
      </c>
      <c r="L342" s="26">
        <f t="shared" si="165"/>
        <v>85.000000143522072</v>
      </c>
      <c r="M342" s="11">
        <v>6</v>
      </c>
      <c r="N342" s="11" t="s">
        <v>763</v>
      </c>
      <c r="O342" s="11" t="s">
        <v>763</v>
      </c>
      <c r="P342" s="11" t="s">
        <v>174</v>
      </c>
      <c r="Q342" s="27" t="s">
        <v>34</v>
      </c>
      <c r="R342" s="1">
        <f t="shared" si="166"/>
        <v>296121.7</v>
      </c>
      <c r="S342" s="2">
        <v>296121.7</v>
      </c>
      <c r="T342" s="2">
        <v>0</v>
      </c>
      <c r="U342" s="1">
        <f t="shared" si="167"/>
        <v>45289.2</v>
      </c>
      <c r="V342" s="28">
        <v>45289.2</v>
      </c>
      <c r="W342" s="28">
        <v>0</v>
      </c>
      <c r="X342" s="1">
        <f t="shared" si="168"/>
        <v>6967.57</v>
      </c>
      <c r="Y342" s="2">
        <v>6967.57</v>
      </c>
      <c r="Z342" s="2">
        <v>0</v>
      </c>
      <c r="AA342" s="2">
        <f t="shared" si="169"/>
        <v>0</v>
      </c>
      <c r="AB342" s="2">
        <v>0</v>
      </c>
      <c r="AC342" s="2">
        <v>0</v>
      </c>
      <c r="AD342" s="16">
        <f t="shared" si="158"/>
        <v>348378.47000000003</v>
      </c>
      <c r="AE342" s="2">
        <v>0</v>
      </c>
      <c r="AF342" s="2">
        <f>AD342+AE342</f>
        <v>348378.47000000003</v>
      </c>
      <c r="AG342" s="38" t="s">
        <v>857</v>
      </c>
      <c r="AH342" s="29" t="s">
        <v>151</v>
      </c>
      <c r="AI342" s="30">
        <f>5209.23+116322.5+112094.43</f>
        <v>233626.15999999997</v>
      </c>
      <c r="AJ342" s="30">
        <f>796.7+17790.5+17143.85</f>
        <v>35731.050000000003</v>
      </c>
    </row>
    <row r="343" spans="1:36" s="179" customFormat="1" ht="171.75" customHeight="1" x14ac:dyDescent="0.25">
      <c r="A343" s="6">
        <v>340</v>
      </c>
      <c r="B343" s="11">
        <v>152093</v>
      </c>
      <c r="C343" s="11">
        <v>1132</v>
      </c>
      <c r="D343" s="9" t="s">
        <v>1639</v>
      </c>
      <c r="E343" s="24" t="s">
        <v>1801</v>
      </c>
      <c r="F343" s="11" t="s">
        <v>1939</v>
      </c>
      <c r="G343" s="11" t="s">
        <v>1238</v>
      </c>
      <c r="H343" s="8" t="s">
        <v>151</v>
      </c>
      <c r="I343" s="12" t="s">
        <v>2790</v>
      </c>
      <c r="J343" s="25">
        <v>44546</v>
      </c>
      <c r="K343" s="25">
        <v>44911</v>
      </c>
      <c r="L343" s="26">
        <f t="shared" si="165"/>
        <v>85.000000000000014</v>
      </c>
      <c r="M343" s="11">
        <v>6</v>
      </c>
      <c r="N343" s="11" t="s">
        <v>763</v>
      </c>
      <c r="O343" s="11" t="s">
        <v>1240</v>
      </c>
      <c r="P343" s="11" t="s">
        <v>174</v>
      </c>
      <c r="Q343" s="11" t="s">
        <v>34</v>
      </c>
      <c r="R343" s="1">
        <f t="shared" si="166"/>
        <v>352608.9</v>
      </c>
      <c r="S343" s="2">
        <v>352608.9</v>
      </c>
      <c r="T343" s="2">
        <v>0</v>
      </c>
      <c r="U343" s="1">
        <f t="shared" si="167"/>
        <v>53928.42</v>
      </c>
      <c r="V343" s="28">
        <v>53928.42</v>
      </c>
      <c r="W343" s="28">
        <v>0</v>
      </c>
      <c r="X343" s="1">
        <f t="shared" si="168"/>
        <v>8296.68</v>
      </c>
      <c r="Y343" s="2">
        <v>8296.68</v>
      </c>
      <c r="Z343" s="2">
        <v>0</v>
      </c>
      <c r="AA343" s="2">
        <f t="shared" si="169"/>
        <v>0</v>
      </c>
      <c r="AB343" s="2">
        <v>0</v>
      </c>
      <c r="AC343" s="2">
        <v>0</v>
      </c>
      <c r="AD343" s="16">
        <f t="shared" si="158"/>
        <v>414834</v>
      </c>
      <c r="AE343" s="2">
        <v>0</v>
      </c>
      <c r="AF343" s="2">
        <f>AD343+AE343</f>
        <v>414834</v>
      </c>
      <c r="AG343" s="38" t="s">
        <v>486</v>
      </c>
      <c r="AH343" s="29" t="s">
        <v>151</v>
      </c>
      <c r="AI343" s="30">
        <f>41483.4+121380+51586.5</f>
        <v>214449.9</v>
      </c>
      <c r="AJ343" s="30">
        <f>18564+7889.7</f>
        <v>26453.7</v>
      </c>
    </row>
    <row r="344" spans="1:36" s="179" customFormat="1" ht="171.75" customHeight="1" x14ac:dyDescent="0.25">
      <c r="A344" s="6">
        <v>341</v>
      </c>
      <c r="B344" s="11">
        <v>154673</v>
      </c>
      <c r="C344" s="11">
        <v>1239</v>
      </c>
      <c r="D344" s="9" t="s">
        <v>1638</v>
      </c>
      <c r="E344" s="24" t="s">
        <v>2014</v>
      </c>
      <c r="F344" s="11" t="s">
        <v>2200</v>
      </c>
      <c r="G344" s="11" t="s">
        <v>1238</v>
      </c>
      <c r="H344" s="8" t="s">
        <v>151</v>
      </c>
      <c r="I344" s="12" t="s">
        <v>2791</v>
      </c>
      <c r="J344" s="25">
        <v>44694</v>
      </c>
      <c r="K344" s="25">
        <v>45120</v>
      </c>
      <c r="L344" s="26">
        <f t="shared" si="165"/>
        <v>85</v>
      </c>
      <c r="M344" s="11">
        <v>6</v>
      </c>
      <c r="N344" s="11" t="s">
        <v>763</v>
      </c>
      <c r="O344" s="11" t="s">
        <v>1240</v>
      </c>
      <c r="P344" s="11" t="s">
        <v>174</v>
      </c>
      <c r="Q344" s="11" t="s">
        <v>34</v>
      </c>
      <c r="R344" s="1">
        <f t="shared" si="166"/>
        <v>361105.5</v>
      </c>
      <c r="S344" s="2">
        <v>361105.5</v>
      </c>
      <c r="T344" s="2">
        <v>0</v>
      </c>
      <c r="U344" s="1">
        <f t="shared" si="167"/>
        <v>55227.9</v>
      </c>
      <c r="V344" s="28">
        <v>55227.9</v>
      </c>
      <c r="W344" s="28">
        <v>0</v>
      </c>
      <c r="X344" s="1">
        <f t="shared" si="168"/>
        <v>8496.6</v>
      </c>
      <c r="Y344" s="2">
        <v>8496.6</v>
      </c>
      <c r="Z344" s="2">
        <v>0</v>
      </c>
      <c r="AA344" s="2">
        <f t="shared" si="169"/>
        <v>0</v>
      </c>
      <c r="AB344" s="2">
        <v>0</v>
      </c>
      <c r="AC344" s="2">
        <v>0</v>
      </c>
      <c r="AD344" s="16">
        <f t="shared" si="158"/>
        <v>424830</v>
      </c>
      <c r="AE344" s="2">
        <v>0</v>
      </c>
      <c r="AF344" s="2">
        <f>AD344+AE344</f>
        <v>424830</v>
      </c>
      <c r="AG344" s="38" t="s">
        <v>486</v>
      </c>
      <c r="AH344" s="29" t="s">
        <v>151</v>
      </c>
      <c r="AI344" s="30">
        <v>42483</v>
      </c>
      <c r="AJ344" s="30">
        <v>0</v>
      </c>
    </row>
    <row r="345" spans="1:36" s="179" customFormat="1" ht="171.75" customHeight="1" x14ac:dyDescent="0.25">
      <c r="A345" s="6">
        <v>342</v>
      </c>
      <c r="B345" s="11">
        <v>154682</v>
      </c>
      <c r="C345" s="11">
        <v>1251</v>
      </c>
      <c r="D345" s="9" t="s">
        <v>1638</v>
      </c>
      <c r="E345" s="24" t="s">
        <v>2014</v>
      </c>
      <c r="F345" s="11" t="s">
        <v>2221</v>
      </c>
      <c r="G345" s="11" t="s">
        <v>762</v>
      </c>
      <c r="H345" s="8" t="s">
        <v>151</v>
      </c>
      <c r="I345" s="12" t="s">
        <v>2792</v>
      </c>
      <c r="J345" s="25">
        <v>44705</v>
      </c>
      <c r="K345" s="25">
        <v>45070</v>
      </c>
      <c r="L345" s="26">
        <f t="shared" si="165"/>
        <v>85</v>
      </c>
      <c r="M345" s="11">
        <v>6</v>
      </c>
      <c r="N345" s="11" t="s">
        <v>763</v>
      </c>
      <c r="O345" s="11" t="s">
        <v>1240</v>
      </c>
      <c r="P345" s="11" t="s">
        <v>174</v>
      </c>
      <c r="Q345" s="11" t="s">
        <v>34</v>
      </c>
      <c r="R345" s="1">
        <f t="shared" si="166"/>
        <v>441544.4</v>
      </c>
      <c r="S345" s="2">
        <v>441544.4</v>
      </c>
      <c r="T345" s="2">
        <v>0</v>
      </c>
      <c r="U345" s="1">
        <f t="shared" si="167"/>
        <v>67530.320000000007</v>
      </c>
      <c r="V345" s="28">
        <v>67530.320000000007</v>
      </c>
      <c r="W345" s="28">
        <v>0</v>
      </c>
      <c r="X345" s="1">
        <f t="shared" si="168"/>
        <v>10389.280000000001</v>
      </c>
      <c r="Y345" s="2">
        <v>10389.280000000001</v>
      </c>
      <c r="Z345" s="2">
        <v>0</v>
      </c>
      <c r="AA345" s="2">
        <f t="shared" si="169"/>
        <v>0</v>
      </c>
      <c r="AB345" s="2">
        <v>0</v>
      </c>
      <c r="AC345" s="2">
        <v>0</v>
      </c>
      <c r="AD345" s="16">
        <f t="shared" si="158"/>
        <v>519464.00000000006</v>
      </c>
      <c r="AE345" s="2">
        <v>0</v>
      </c>
      <c r="AF345" s="2">
        <f>AD345+AE345</f>
        <v>519464.00000000006</v>
      </c>
      <c r="AG345" s="38" t="s">
        <v>486</v>
      </c>
      <c r="AH345" s="29" t="s">
        <v>151</v>
      </c>
      <c r="AI345" s="30">
        <v>0</v>
      </c>
      <c r="AJ345" s="30">
        <v>0</v>
      </c>
    </row>
    <row r="346" spans="1:36" s="179" customFormat="1" ht="150.75" customHeight="1" x14ac:dyDescent="0.25">
      <c r="A346" s="6">
        <v>343</v>
      </c>
      <c r="B346" s="11">
        <v>118759</v>
      </c>
      <c r="C346" s="11">
        <v>439</v>
      </c>
      <c r="D346" s="32" t="s">
        <v>1639</v>
      </c>
      <c r="E346" s="32" t="s">
        <v>507</v>
      </c>
      <c r="F346" s="27" t="s">
        <v>657</v>
      </c>
      <c r="G346" s="11" t="s">
        <v>658</v>
      </c>
      <c r="H346" s="11" t="s">
        <v>659</v>
      </c>
      <c r="I346" s="32" t="s">
        <v>2793</v>
      </c>
      <c r="J346" s="25">
        <v>43304</v>
      </c>
      <c r="K346" s="25">
        <v>44067</v>
      </c>
      <c r="L346" s="26">
        <f t="shared" ref="L346:L353" si="171">R346/AD346*100</f>
        <v>84.213980856539493</v>
      </c>
      <c r="M346" s="27">
        <v>7</v>
      </c>
      <c r="N346" s="27" t="s">
        <v>660</v>
      </c>
      <c r="O346" s="27" t="s">
        <v>660</v>
      </c>
      <c r="P346" s="27" t="s">
        <v>174</v>
      </c>
      <c r="Q346" s="27" t="s">
        <v>34</v>
      </c>
      <c r="R346" s="1">
        <f t="shared" ref="R346:R353" si="172">S346+T346</f>
        <v>288260.65000000002</v>
      </c>
      <c r="S346" s="121">
        <v>288260.65000000002</v>
      </c>
      <c r="T346" s="57">
        <v>0</v>
      </c>
      <c r="U346" s="1">
        <v>47188.93</v>
      </c>
      <c r="V346" s="87">
        <v>47188.93</v>
      </c>
      <c r="W346" s="87" t="s">
        <v>663</v>
      </c>
      <c r="X346" s="1">
        <v>6845.9</v>
      </c>
      <c r="Y346" s="57">
        <v>6845.9</v>
      </c>
      <c r="Z346" s="57" t="s">
        <v>663</v>
      </c>
      <c r="AA346" s="2">
        <f t="shared" ref="AA346:AA353" si="173">AB346+AC346</f>
        <v>0</v>
      </c>
      <c r="AB346" s="2">
        <v>0</v>
      </c>
      <c r="AC346" s="2">
        <v>0</v>
      </c>
      <c r="AD346" s="16">
        <f t="shared" si="158"/>
        <v>342295.48000000004</v>
      </c>
      <c r="AE346" s="35"/>
      <c r="AF346" s="2">
        <f t="shared" ref="AF346:AF353" si="174">AD346+AE346</f>
        <v>342295.48000000004</v>
      </c>
      <c r="AG346" s="38" t="s">
        <v>857</v>
      </c>
      <c r="AH346" s="122" t="s">
        <v>1551</v>
      </c>
      <c r="AI346" s="30">
        <f>183263.95+2590.63+1665.17+3686.23</f>
        <v>191205.98000000004</v>
      </c>
      <c r="AJ346" s="30">
        <f>26943.68+2506.84+827.67+457.17+293.85+814.14</f>
        <v>31843.349999999995</v>
      </c>
    </row>
    <row r="347" spans="1:36" s="179" customFormat="1" ht="139.5" customHeight="1" x14ac:dyDescent="0.25">
      <c r="A347" s="6">
        <v>344</v>
      </c>
      <c r="B347" s="31">
        <v>119841</v>
      </c>
      <c r="C347" s="11">
        <v>477</v>
      </c>
      <c r="D347" s="9" t="s">
        <v>1638</v>
      </c>
      <c r="E347" s="32" t="s">
        <v>457</v>
      </c>
      <c r="F347" s="11" t="s">
        <v>672</v>
      </c>
      <c r="G347" s="11" t="s">
        <v>658</v>
      </c>
      <c r="H347" s="11" t="s">
        <v>659</v>
      </c>
      <c r="I347" s="32" t="s">
        <v>2794</v>
      </c>
      <c r="J347" s="25">
        <v>43304</v>
      </c>
      <c r="K347" s="25">
        <v>44035</v>
      </c>
      <c r="L347" s="26">
        <f t="shared" si="171"/>
        <v>84.228550955221309</v>
      </c>
      <c r="M347" s="27">
        <v>7</v>
      </c>
      <c r="N347" s="27" t="s">
        <v>660</v>
      </c>
      <c r="O347" s="27" t="s">
        <v>660</v>
      </c>
      <c r="P347" s="27" t="s">
        <v>174</v>
      </c>
      <c r="Q347" s="11" t="s">
        <v>34</v>
      </c>
      <c r="R347" s="1">
        <f t="shared" si="172"/>
        <v>481603.39</v>
      </c>
      <c r="S347" s="30">
        <v>481603.39</v>
      </c>
      <c r="T347" s="57">
        <v>0</v>
      </c>
      <c r="U347" s="1">
        <f t="shared" ref="U347:U353" si="175">V347+W347</f>
        <v>78742.570000000007</v>
      </c>
      <c r="V347" s="42">
        <v>78742.570000000007</v>
      </c>
      <c r="W347" s="87">
        <v>0</v>
      </c>
      <c r="X347" s="1">
        <f t="shared" ref="X347:X353" si="176">Y347+Z347</f>
        <v>6246.23</v>
      </c>
      <c r="Y347" s="30">
        <v>6246.23</v>
      </c>
      <c r="Z347" s="57">
        <v>0</v>
      </c>
      <c r="AA347" s="2">
        <f t="shared" si="173"/>
        <v>5189.45</v>
      </c>
      <c r="AB347" s="37">
        <v>5189.45</v>
      </c>
      <c r="AC347" s="37">
        <v>0</v>
      </c>
      <c r="AD347" s="16">
        <f t="shared" si="158"/>
        <v>571781.6399999999</v>
      </c>
      <c r="AE347" s="35"/>
      <c r="AF347" s="2">
        <f t="shared" si="174"/>
        <v>571781.6399999999</v>
      </c>
      <c r="AG347" s="38" t="s">
        <v>857</v>
      </c>
      <c r="AH347" s="29" t="s">
        <v>1542</v>
      </c>
      <c r="AI347" s="30">
        <f>364128.16+44922.39+5304.55+18795.8</f>
        <v>433150.89999999997</v>
      </c>
      <c r="AJ347" s="30">
        <f>57655.87+9344.13+936.09+3322.23</f>
        <v>71258.319999999992</v>
      </c>
    </row>
    <row r="348" spans="1:36" s="179" customFormat="1" ht="288.75" customHeight="1" x14ac:dyDescent="0.25">
      <c r="A348" s="6">
        <v>345</v>
      </c>
      <c r="B348" s="31">
        <v>126267</v>
      </c>
      <c r="C348" s="11">
        <v>540</v>
      </c>
      <c r="D348" s="9" t="s">
        <v>1638</v>
      </c>
      <c r="E348" s="11" t="s">
        <v>899</v>
      </c>
      <c r="F348" s="11" t="s">
        <v>1017</v>
      </c>
      <c r="G348" s="11" t="s">
        <v>1018</v>
      </c>
      <c r="H348" s="8" t="s">
        <v>151</v>
      </c>
      <c r="I348" s="32" t="s">
        <v>2795</v>
      </c>
      <c r="J348" s="25">
        <v>43544</v>
      </c>
      <c r="K348" s="25">
        <v>44915</v>
      </c>
      <c r="L348" s="26">
        <f t="shared" si="171"/>
        <v>85.000000177713346</v>
      </c>
      <c r="M348" s="27">
        <v>7</v>
      </c>
      <c r="N348" s="27" t="s">
        <v>660</v>
      </c>
      <c r="O348" s="27" t="s">
        <v>660</v>
      </c>
      <c r="P348" s="27" t="s">
        <v>174</v>
      </c>
      <c r="Q348" s="11" t="s">
        <v>34</v>
      </c>
      <c r="R348" s="1">
        <f t="shared" si="172"/>
        <v>2630640.84</v>
      </c>
      <c r="S348" s="30">
        <v>2630640.84</v>
      </c>
      <c r="T348" s="57">
        <v>0</v>
      </c>
      <c r="U348" s="1">
        <f t="shared" si="175"/>
        <v>402333.3</v>
      </c>
      <c r="V348" s="42">
        <v>402333.3</v>
      </c>
      <c r="W348" s="87">
        <v>0</v>
      </c>
      <c r="X348" s="1">
        <f t="shared" si="176"/>
        <v>61897.43</v>
      </c>
      <c r="Y348" s="30">
        <v>61897.43</v>
      </c>
      <c r="Z348" s="57">
        <v>0</v>
      </c>
      <c r="AA348" s="2">
        <f t="shared" si="173"/>
        <v>0</v>
      </c>
      <c r="AB348" s="37">
        <v>0</v>
      </c>
      <c r="AC348" s="37">
        <v>0</v>
      </c>
      <c r="AD348" s="16">
        <f t="shared" si="158"/>
        <v>3094871.57</v>
      </c>
      <c r="AE348" s="2">
        <v>7140</v>
      </c>
      <c r="AF348" s="2">
        <f t="shared" si="174"/>
        <v>3102011.57</v>
      </c>
      <c r="AG348" s="38" t="s">
        <v>486</v>
      </c>
      <c r="AH348" s="29" t="s">
        <v>2145</v>
      </c>
      <c r="AI348" s="118">
        <f>370146.45+51053.55+52313.69+29908.99+27857.94+32148.74+708393.34+31940.49+36538.99+141457.33</f>
        <v>1481759.51</v>
      </c>
      <c r="AJ348" s="30">
        <f>56610.59+7808.19+8000.91+4574.32+4260.63+4916.87+108342.52+4885.02+5588.32+21634.65</f>
        <v>226622.02000000002</v>
      </c>
    </row>
    <row r="349" spans="1:36" s="179" customFormat="1" ht="262.5" customHeight="1" x14ac:dyDescent="0.25">
      <c r="A349" s="6">
        <v>346</v>
      </c>
      <c r="B349" s="31">
        <v>126475</v>
      </c>
      <c r="C349" s="11">
        <v>563</v>
      </c>
      <c r="D349" s="9" t="s">
        <v>1638</v>
      </c>
      <c r="E349" s="11" t="s">
        <v>899</v>
      </c>
      <c r="F349" s="11" t="s">
        <v>1019</v>
      </c>
      <c r="G349" s="11" t="s">
        <v>658</v>
      </c>
      <c r="H349" s="11" t="s">
        <v>659</v>
      </c>
      <c r="I349" s="32" t="s">
        <v>2796</v>
      </c>
      <c r="J349" s="25">
        <v>43546</v>
      </c>
      <c r="K349" s="25">
        <v>44917</v>
      </c>
      <c r="L349" s="26">
        <f t="shared" si="171"/>
        <v>84.852695228027258</v>
      </c>
      <c r="M349" s="27">
        <v>7</v>
      </c>
      <c r="N349" s="27" t="s">
        <v>660</v>
      </c>
      <c r="O349" s="27" t="s">
        <v>660</v>
      </c>
      <c r="P349" s="27" t="s">
        <v>174</v>
      </c>
      <c r="Q349" s="11" t="s">
        <v>34</v>
      </c>
      <c r="R349" s="1">
        <f t="shared" si="172"/>
        <v>3141080.5</v>
      </c>
      <c r="S349" s="30">
        <v>3141080.5</v>
      </c>
      <c r="T349" s="57">
        <v>0</v>
      </c>
      <c r="U349" s="1">
        <f t="shared" si="175"/>
        <v>486687.43</v>
      </c>
      <c r="V349" s="42">
        <v>486687.43</v>
      </c>
      <c r="W349" s="87">
        <v>0</v>
      </c>
      <c r="X349" s="1">
        <f t="shared" si="176"/>
        <v>67620.820000000007</v>
      </c>
      <c r="Y349" s="30">
        <v>67620.820000000007</v>
      </c>
      <c r="Z349" s="57">
        <v>0</v>
      </c>
      <c r="AA349" s="2">
        <f t="shared" si="173"/>
        <v>6415.29</v>
      </c>
      <c r="AB349" s="37">
        <v>6415.29</v>
      </c>
      <c r="AC349" s="37">
        <v>0</v>
      </c>
      <c r="AD349" s="16">
        <f t="shared" si="158"/>
        <v>3701804.04</v>
      </c>
      <c r="AE349" s="35">
        <v>0</v>
      </c>
      <c r="AF349" s="2">
        <f t="shared" si="174"/>
        <v>3701804.04</v>
      </c>
      <c r="AG349" s="38" t="s">
        <v>486</v>
      </c>
      <c r="AH349" s="29" t="s">
        <v>3093</v>
      </c>
      <c r="AI349" s="118">
        <f>237041.31+26332.56+366510.56+21875.84+506442.81-2889.74+19264.93+477683.17+18319.98-66.42+467774.13+453723.86+21838.26+19017.05+22582.61+20515.04+22702.65</f>
        <v>2698668.5999999992</v>
      </c>
      <c r="AJ349" s="30">
        <f>37803.32+56054.55+3860.43+77455.96+2889.74+73057.43+3232.92+66.42+71541.91+73093.23+2908.49+3985.15+3620.29+3472.17</f>
        <v>413042.01</v>
      </c>
    </row>
    <row r="350" spans="1:36" s="179" customFormat="1" ht="262.5" customHeight="1" x14ac:dyDescent="0.25">
      <c r="A350" s="6">
        <v>347</v>
      </c>
      <c r="B350" s="31">
        <v>129622</v>
      </c>
      <c r="C350" s="11">
        <v>660</v>
      </c>
      <c r="D350" s="9" t="s">
        <v>1638</v>
      </c>
      <c r="E350" s="11" t="s">
        <v>1071</v>
      </c>
      <c r="F350" s="11" t="s">
        <v>1158</v>
      </c>
      <c r="G350" s="11" t="s">
        <v>1159</v>
      </c>
      <c r="H350" s="8" t="s">
        <v>151</v>
      </c>
      <c r="I350" s="32" t="s">
        <v>1258</v>
      </c>
      <c r="J350" s="25">
        <v>43658</v>
      </c>
      <c r="K350" s="25">
        <v>44542</v>
      </c>
      <c r="L350" s="26">
        <f t="shared" si="171"/>
        <v>85.000000125030468</v>
      </c>
      <c r="M350" s="27">
        <v>7</v>
      </c>
      <c r="N350" s="27" t="s">
        <v>660</v>
      </c>
      <c r="O350" s="27" t="s">
        <v>1159</v>
      </c>
      <c r="P350" s="27" t="s">
        <v>174</v>
      </c>
      <c r="Q350" s="11" t="s">
        <v>34</v>
      </c>
      <c r="R350" s="1">
        <f t="shared" si="172"/>
        <v>3399171.34</v>
      </c>
      <c r="S350" s="30">
        <v>3399171.34</v>
      </c>
      <c r="T350" s="57">
        <v>0</v>
      </c>
      <c r="U350" s="1">
        <f t="shared" si="175"/>
        <v>519873.26</v>
      </c>
      <c r="V350" s="42">
        <v>519873.26</v>
      </c>
      <c r="W350" s="87">
        <v>0</v>
      </c>
      <c r="X350" s="1">
        <f t="shared" si="176"/>
        <v>79980.5</v>
      </c>
      <c r="Y350" s="30">
        <v>79980.5</v>
      </c>
      <c r="Z350" s="57">
        <v>0</v>
      </c>
      <c r="AA350" s="2">
        <f t="shared" si="173"/>
        <v>0</v>
      </c>
      <c r="AB350" s="37">
        <v>0</v>
      </c>
      <c r="AC350" s="37">
        <v>0</v>
      </c>
      <c r="AD350" s="16">
        <f t="shared" si="158"/>
        <v>3999025.0999999996</v>
      </c>
      <c r="AE350" s="123">
        <v>0</v>
      </c>
      <c r="AF350" s="2">
        <f t="shared" si="174"/>
        <v>3999025.0999999996</v>
      </c>
      <c r="AG350" s="38" t="s">
        <v>857</v>
      </c>
      <c r="AH350" s="29" t="s">
        <v>151</v>
      </c>
      <c r="AI350" s="118">
        <f>343094.2-3035.63-16936.36+315374.33-32128.75+325893.07+273927.11+376480.47+329014.87-11990.79-18859.37-21651.74+387786.37+278117.08-113646.05</f>
        <v>2411438.81</v>
      </c>
      <c r="AJ350" s="30">
        <f>4707.04+14150.24+4556.89+6032.52+3035.63+16936.36+32128.75+99719.83+50066.77+11990.79+18859.37+21651.74+51882.92+33089.42</f>
        <v>368808.26999999996</v>
      </c>
    </row>
    <row r="351" spans="1:36" s="179" customFormat="1" ht="187.5" customHeight="1" x14ac:dyDescent="0.25">
      <c r="A351" s="6">
        <v>348</v>
      </c>
      <c r="B351" s="31">
        <v>135967</v>
      </c>
      <c r="C351" s="11">
        <v>770</v>
      </c>
      <c r="D351" s="9" t="s">
        <v>1638</v>
      </c>
      <c r="E351" s="24" t="s">
        <v>1441</v>
      </c>
      <c r="F351" s="11" t="s">
        <v>1446</v>
      </c>
      <c r="G351" s="11" t="s">
        <v>1018</v>
      </c>
      <c r="H351" s="8" t="s">
        <v>151</v>
      </c>
      <c r="I351" s="12" t="s">
        <v>2797</v>
      </c>
      <c r="J351" s="25">
        <v>43949</v>
      </c>
      <c r="K351" s="25">
        <v>44923</v>
      </c>
      <c r="L351" s="26">
        <f t="shared" si="171"/>
        <v>85</v>
      </c>
      <c r="M351" s="27">
        <v>7</v>
      </c>
      <c r="N351" s="27" t="s">
        <v>660</v>
      </c>
      <c r="O351" s="27" t="s">
        <v>1018</v>
      </c>
      <c r="P351" s="27" t="s">
        <v>174</v>
      </c>
      <c r="Q351" s="11" t="s">
        <v>34</v>
      </c>
      <c r="R351" s="1">
        <f t="shared" si="172"/>
        <v>848725</v>
      </c>
      <c r="S351" s="30">
        <v>848725</v>
      </c>
      <c r="T351" s="57">
        <v>0</v>
      </c>
      <c r="U351" s="1">
        <f t="shared" si="175"/>
        <v>129805</v>
      </c>
      <c r="V351" s="42">
        <v>129805</v>
      </c>
      <c r="W351" s="87">
        <v>0</v>
      </c>
      <c r="X351" s="1">
        <f t="shared" si="176"/>
        <v>19970</v>
      </c>
      <c r="Y351" s="30">
        <v>19970</v>
      </c>
      <c r="Z351" s="57">
        <v>0</v>
      </c>
      <c r="AA351" s="2">
        <f t="shared" si="173"/>
        <v>0</v>
      </c>
      <c r="AB351" s="37">
        <v>0</v>
      </c>
      <c r="AC351" s="37">
        <v>0</v>
      </c>
      <c r="AD351" s="16">
        <f t="shared" si="158"/>
        <v>998500</v>
      </c>
      <c r="AE351" s="123">
        <v>0</v>
      </c>
      <c r="AF351" s="2">
        <f t="shared" si="174"/>
        <v>998500</v>
      </c>
      <c r="AG351" s="38" t="s">
        <v>486</v>
      </c>
      <c r="AH351" s="29" t="s">
        <v>2465</v>
      </c>
      <c r="AI351" s="118">
        <f>23413.25+1502.08</f>
        <v>24915.33</v>
      </c>
      <c r="AJ351" s="30">
        <f>3580.85+229.73</f>
        <v>3810.58</v>
      </c>
    </row>
    <row r="352" spans="1:36" s="179" customFormat="1" ht="141.75" x14ac:dyDescent="0.25">
      <c r="A352" s="6">
        <v>349</v>
      </c>
      <c r="B352" s="31">
        <v>136083</v>
      </c>
      <c r="C352" s="11">
        <v>836</v>
      </c>
      <c r="D352" s="9" t="s">
        <v>1638</v>
      </c>
      <c r="E352" s="24" t="s">
        <v>1441</v>
      </c>
      <c r="F352" s="11" t="s">
        <v>1569</v>
      </c>
      <c r="G352" s="11" t="s">
        <v>658</v>
      </c>
      <c r="H352" s="8" t="s">
        <v>151</v>
      </c>
      <c r="I352" s="12" t="s">
        <v>2798</v>
      </c>
      <c r="J352" s="25">
        <v>44018</v>
      </c>
      <c r="K352" s="25">
        <v>44871</v>
      </c>
      <c r="L352" s="26">
        <f t="shared" si="171"/>
        <v>84.999999799611231</v>
      </c>
      <c r="M352" s="27">
        <v>7</v>
      </c>
      <c r="N352" s="27" t="s">
        <v>660</v>
      </c>
      <c r="O352" s="27" t="s">
        <v>1570</v>
      </c>
      <c r="P352" s="27" t="s">
        <v>174</v>
      </c>
      <c r="Q352" s="11" t="s">
        <v>34</v>
      </c>
      <c r="R352" s="1">
        <f t="shared" si="172"/>
        <v>2545052.79</v>
      </c>
      <c r="S352" s="30">
        <v>2545052.79</v>
      </c>
      <c r="T352" s="57">
        <v>0</v>
      </c>
      <c r="U352" s="1">
        <f t="shared" si="175"/>
        <v>389243.37</v>
      </c>
      <c r="V352" s="42">
        <v>389243.37</v>
      </c>
      <c r="W352" s="87">
        <v>0</v>
      </c>
      <c r="X352" s="1">
        <f t="shared" si="176"/>
        <v>59883.6</v>
      </c>
      <c r="Y352" s="30">
        <v>59883.6</v>
      </c>
      <c r="Z352" s="57">
        <v>0</v>
      </c>
      <c r="AA352" s="2">
        <f t="shared" si="173"/>
        <v>0</v>
      </c>
      <c r="AB352" s="37">
        <v>0</v>
      </c>
      <c r="AC352" s="37">
        <v>0</v>
      </c>
      <c r="AD352" s="16">
        <f t="shared" si="158"/>
        <v>2994179.7600000002</v>
      </c>
      <c r="AE352" s="123">
        <v>0</v>
      </c>
      <c r="AF352" s="2">
        <f t="shared" si="174"/>
        <v>2994179.7600000002</v>
      </c>
      <c r="AG352" s="38" t="s">
        <v>486</v>
      </c>
      <c r="AH352" s="29" t="s">
        <v>151</v>
      </c>
      <c r="AI352" s="118">
        <f>58043.12+42755.85+22887.1+299417.97+96414.24+299417.97+34444.82</f>
        <v>853381.07</v>
      </c>
      <c r="AJ352" s="118">
        <f>8877.18+6539.13+3500.38+60539.04+51061.36</f>
        <v>130517.09000000001</v>
      </c>
    </row>
    <row r="353" spans="1:36" s="179" customFormat="1" ht="267.75" x14ac:dyDescent="0.25">
      <c r="A353" s="6">
        <v>350</v>
      </c>
      <c r="B353" s="31">
        <v>136328</v>
      </c>
      <c r="C353" s="11">
        <v>844</v>
      </c>
      <c r="D353" s="9" t="s">
        <v>1638</v>
      </c>
      <c r="E353" s="24" t="s">
        <v>1441</v>
      </c>
      <c r="F353" s="11" t="s">
        <v>1579</v>
      </c>
      <c r="G353" s="11" t="s">
        <v>1159</v>
      </c>
      <c r="H353" s="8" t="s">
        <v>151</v>
      </c>
      <c r="I353" s="12" t="s">
        <v>2799</v>
      </c>
      <c r="J353" s="25">
        <v>44020</v>
      </c>
      <c r="K353" s="25">
        <v>44873</v>
      </c>
      <c r="L353" s="26">
        <f t="shared" si="171"/>
        <v>85.000000347346798</v>
      </c>
      <c r="M353" s="27">
        <v>7</v>
      </c>
      <c r="N353" s="27" t="s">
        <v>660</v>
      </c>
      <c r="O353" s="27" t="s">
        <v>1580</v>
      </c>
      <c r="P353" s="27" t="s">
        <v>174</v>
      </c>
      <c r="Q353" s="11" t="s">
        <v>34</v>
      </c>
      <c r="R353" s="1">
        <f t="shared" si="172"/>
        <v>2447121.96</v>
      </c>
      <c r="S353" s="30">
        <v>2447121.96</v>
      </c>
      <c r="T353" s="57">
        <v>0</v>
      </c>
      <c r="U353" s="1">
        <f t="shared" si="175"/>
        <v>374265.7</v>
      </c>
      <c r="V353" s="42">
        <v>374265.7</v>
      </c>
      <c r="W353" s="87">
        <v>0</v>
      </c>
      <c r="X353" s="1">
        <f t="shared" si="176"/>
        <v>57579.34</v>
      </c>
      <c r="Y353" s="30">
        <v>57579.34</v>
      </c>
      <c r="Z353" s="57">
        <v>0</v>
      </c>
      <c r="AA353" s="2">
        <f t="shared" si="173"/>
        <v>0</v>
      </c>
      <c r="AB353" s="37">
        <v>0</v>
      </c>
      <c r="AC353" s="37">
        <v>0</v>
      </c>
      <c r="AD353" s="16">
        <f t="shared" si="158"/>
        <v>2878967</v>
      </c>
      <c r="AE353" s="123">
        <v>0</v>
      </c>
      <c r="AF353" s="2">
        <f t="shared" si="174"/>
        <v>2878967</v>
      </c>
      <c r="AG353" s="38" t="s">
        <v>486</v>
      </c>
      <c r="AH353" s="29" t="s">
        <v>2114</v>
      </c>
      <c r="AI353" s="118">
        <f>265023-6347.44-21588.71+278069.69-6134.44-31408.74+287307.12+1478543.95-4801.82</f>
        <v>2238662.61</v>
      </c>
      <c r="AJ353" s="118">
        <f>6347.44+21588.71+6828.38+6134.44+31408.74+656+226130.24+4801.82</f>
        <v>303895.77</v>
      </c>
    </row>
    <row r="354" spans="1:36" s="179" customFormat="1" ht="252" x14ac:dyDescent="0.25">
      <c r="A354" s="6">
        <v>351</v>
      </c>
      <c r="B354" s="31">
        <v>117764</v>
      </c>
      <c r="C354" s="11">
        <v>416</v>
      </c>
      <c r="D354" s="32" t="s">
        <v>1639</v>
      </c>
      <c r="E354" s="32" t="s">
        <v>507</v>
      </c>
      <c r="F354" s="11" t="s">
        <v>739</v>
      </c>
      <c r="G354" s="11" t="s">
        <v>740</v>
      </c>
      <c r="H354" s="8" t="s">
        <v>151</v>
      </c>
      <c r="I354" s="124" t="s">
        <v>1260</v>
      </c>
      <c r="J354" s="25">
        <v>43326</v>
      </c>
      <c r="K354" s="25">
        <v>43813</v>
      </c>
      <c r="L354" s="26">
        <f t="shared" ref="L354:L363" si="177">R354/AD354*100</f>
        <v>85.000000298812211</v>
      </c>
      <c r="M354" s="11">
        <v>1</v>
      </c>
      <c r="N354" s="11" t="s">
        <v>411</v>
      </c>
      <c r="O354" s="11" t="s">
        <v>411</v>
      </c>
      <c r="P354" s="11" t="s">
        <v>174</v>
      </c>
      <c r="Q354" s="27" t="s">
        <v>34</v>
      </c>
      <c r="R354" s="1">
        <f t="shared" ref="R354:R363" si="178">S354+T354</f>
        <v>284459.59000000003</v>
      </c>
      <c r="S354" s="30">
        <v>284459.59000000003</v>
      </c>
      <c r="T354" s="57">
        <v>0</v>
      </c>
      <c r="U354" s="1">
        <f t="shared" ref="U354:U363" si="179">V354+W354</f>
        <v>43505.58</v>
      </c>
      <c r="V354" s="42">
        <v>43505.58</v>
      </c>
      <c r="W354" s="87">
        <v>0</v>
      </c>
      <c r="X354" s="30">
        <f t="shared" ref="X354:X363" si="180">Y354+Z354</f>
        <v>6693.17</v>
      </c>
      <c r="Y354" s="30">
        <v>6693.17</v>
      </c>
      <c r="Z354" s="57">
        <v>0</v>
      </c>
      <c r="AA354" s="2">
        <f t="shared" ref="AA354:AA363" si="181">AB354+AC354</f>
        <v>0</v>
      </c>
      <c r="AB354" s="41">
        <v>0</v>
      </c>
      <c r="AC354" s="41">
        <v>0</v>
      </c>
      <c r="AD354" s="16">
        <f t="shared" si="158"/>
        <v>334658.34000000003</v>
      </c>
      <c r="AE354" s="38">
        <v>0</v>
      </c>
      <c r="AF354" s="2">
        <f t="shared" ref="AF354:AF363" si="182">AD354+AE354</f>
        <v>334658.34000000003</v>
      </c>
      <c r="AG354" s="21" t="s">
        <v>857</v>
      </c>
      <c r="AH354" s="38" t="s">
        <v>151</v>
      </c>
      <c r="AI354" s="2">
        <v>113379.81</v>
      </c>
      <c r="AJ354" s="2">
        <v>17340.43</v>
      </c>
    </row>
    <row r="355" spans="1:36" s="179" customFormat="1" ht="141.75" x14ac:dyDescent="0.25">
      <c r="A355" s="6">
        <v>352</v>
      </c>
      <c r="B355" s="31">
        <v>128093</v>
      </c>
      <c r="C355" s="11">
        <v>626</v>
      </c>
      <c r="D355" s="9" t="s">
        <v>1638</v>
      </c>
      <c r="E355" s="32" t="s">
        <v>1071</v>
      </c>
      <c r="F355" s="11" t="s">
        <v>1176</v>
      </c>
      <c r="G355" s="11" t="s">
        <v>1177</v>
      </c>
      <c r="H355" s="8" t="s">
        <v>151</v>
      </c>
      <c r="I355" s="32" t="s">
        <v>2800</v>
      </c>
      <c r="J355" s="25">
        <v>43670</v>
      </c>
      <c r="K355" s="25">
        <v>44401</v>
      </c>
      <c r="L355" s="26">
        <f t="shared" si="177"/>
        <v>85.000000000000014</v>
      </c>
      <c r="M355" s="11">
        <v>1</v>
      </c>
      <c r="N355" s="11" t="s">
        <v>411</v>
      </c>
      <c r="O355" s="11" t="s">
        <v>411</v>
      </c>
      <c r="P355" s="11" t="s">
        <v>174</v>
      </c>
      <c r="Q355" s="27" t="s">
        <v>34</v>
      </c>
      <c r="R355" s="1">
        <f t="shared" si="178"/>
        <v>2360805.2999999998</v>
      </c>
      <c r="S355" s="30">
        <v>2360805.2999999998</v>
      </c>
      <c r="T355" s="57">
        <v>0</v>
      </c>
      <c r="U355" s="1">
        <f t="shared" si="179"/>
        <v>361064.38</v>
      </c>
      <c r="V355" s="42">
        <v>361064.38</v>
      </c>
      <c r="W355" s="87">
        <v>0</v>
      </c>
      <c r="X355" s="30">
        <f t="shared" si="180"/>
        <v>55548.32</v>
      </c>
      <c r="Y355" s="30">
        <v>55548.32</v>
      </c>
      <c r="Z355" s="57">
        <v>0</v>
      </c>
      <c r="AA355" s="2">
        <f t="shared" si="181"/>
        <v>0</v>
      </c>
      <c r="AB355" s="57">
        <v>0</v>
      </c>
      <c r="AC355" s="57">
        <v>0</v>
      </c>
      <c r="AD355" s="16">
        <f t="shared" si="158"/>
        <v>2777417.9999999995</v>
      </c>
      <c r="AE355" s="38">
        <v>0</v>
      </c>
      <c r="AF355" s="2">
        <f t="shared" si="182"/>
        <v>2777417.9999999995</v>
      </c>
      <c r="AG355" s="21" t="s">
        <v>857</v>
      </c>
      <c r="AH355" s="38"/>
      <c r="AI355" s="2">
        <f>322900.1+67975.35+61200.54+167474.18+120525.39+40857.99+61301.45+1126778.54+128509.74</f>
        <v>2097523.2800000003</v>
      </c>
      <c r="AJ355" s="2">
        <f>49384.72+10396.23+9360.09+25613.7+18433.3+6248.87+9375.51+172330.88+19654.43</f>
        <v>320797.73</v>
      </c>
    </row>
    <row r="356" spans="1:36" s="179" customFormat="1" ht="252" x14ac:dyDescent="0.25">
      <c r="A356" s="6">
        <v>353</v>
      </c>
      <c r="B356" s="31">
        <v>136121</v>
      </c>
      <c r="C356" s="11">
        <v>778</v>
      </c>
      <c r="D356" s="9" t="s">
        <v>1638</v>
      </c>
      <c r="E356" s="24" t="s">
        <v>1441</v>
      </c>
      <c r="F356" s="11" t="s">
        <v>1506</v>
      </c>
      <c r="G356" s="11" t="s">
        <v>1505</v>
      </c>
      <c r="H356" s="8" t="s">
        <v>151</v>
      </c>
      <c r="I356" s="32" t="s">
        <v>2801</v>
      </c>
      <c r="J356" s="25">
        <v>43973</v>
      </c>
      <c r="K356" s="25">
        <v>44887</v>
      </c>
      <c r="L356" s="26">
        <f t="shared" si="177"/>
        <v>85.000000076716475</v>
      </c>
      <c r="M356" s="11">
        <v>1</v>
      </c>
      <c r="N356" s="11" t="s">
        <v>411</v>
      </c>
      <c r="O356" s="11" t="s">
        <v>1507</v>
      </c>
      <c r="P356" s="27" t="s">
        <v>174</v>
      </c>
      <c r="Q356" s="11" t="s">
        <v>34</v>
      </c>
      <c r="R356" s="1">
        <f t="shared" si="178"/>
        <v>3323927.74</v>
      </c>
      <c r="S356" s="30">
        <v>3323927.74</v>
      </c>
      <c r="T356" s="57">
        <v>0</v>
      </c>
      <c r="U356" s="1">
        <f t="shared" si="179"/>
        <v>508365.42</v>
      </c>
      <c r="V356" s="42">
        <v>508365.42</v>
      </c>
      <c r="W356" s="87">
        <v>0</v>
      </c>
      <c r="X356" s="30">
        <f t="shared" si="180"/>
        <v>78210.06</v>
      </c>
      <c r="Y356" s="30">
        <v>78210.06</v>
      </c>
      <c r="Z356" s="57">
        <v>0</v>
      </c>
      <c r="AA356" s="2">
        <f t="shared" si="181"/>
        <v>0</v>
      </c>
      <c r="AB356" s="57">
        <v>0</v>
      </c>
      <c r="AC356" s="57">
        <v>0</v>
      </c>
      <c r="AD356" s="16">
        <f t="shared" si="158"/>
        <v>3910503.22</v>
      </c>
      <c r="AE356" s="38">
        <v>0</v>
      </c>
      <c r="AF356" s="2">
        <f t="shared" si="182"/>
        <v>3910503.22</v>
      </c>
      <c r="AG356" s="38" t="s">
        <v>486</v>
      </c>
      <c r="AH356" s="38"/>
      <c r="AI356" s="2">
        <f>30250.4+23570.5+87729.35+88902.35+31683.75+39000.55+465310.03+1372386.75</f>
        <v>2138833.6800000002</v>
      </c>
      <c r="AJ356" s="2">
        <f>4626.53+3604.9+13417.43+13596.83+4845.75+5964.79+71165.06+209894.44</f>
        <v>327115.73</v>
      </c>
    </row>
    <row r="357" spans="1:36" s="179" customFormat="1" ht="204.75" x14ac:dyDescent="0.25">
      <c r="A357" s="6">
        <v>354</v>
      </c>
      <c r="B357" s="31">
        <v>136253</v>
      </c>
      <c r="C357" s="11">
        <v>786</v>
      </c>
      <c r="D357" s="9" t="s">
        <v>1638</v>
      </c>
      <c r="E357" s="24" t="s">
        <v>1441</v>
      </c>
      <c r="F357" s="11" t="s">
        <v>1514</v>
      </c>
      <c r="G357" s="11" t="s">
        <v>1515</v>
      </c>
      <c r="H357" s="8" t="s">
        <v>151</v>
      </c>
      <c r="I357" s="32" t="s">
        <v>2802</v>
      </c>
      <c r="J357" s="25">
        <v>43977</v>
      </c>
      <c r="K357" s="25">
        <v>45133</v>
      </c>
      <c r="L357" s="26">
        <f t="shared" si="177"/>
        <v>85.000000077356688</v>
      </c>
      <c r="M357" s="11">
        <v>1</v>
      </c>
      <c r="N357" s="11" t="s">
        <v>411</v>
      </c>
      <c r="O357" s="11" t="s">
        <v>1516</v>
      </c>
      <c r="P357" s="27" t="s">
        <v>174</v>
      </c>
      <c r="Q357" s="11" t="s">
        <v>34</v>
      </c>
      <c r="R357" s="1">
        <f t="shared" si="178"/>
        <v>3296418.51</v>
      </c>
      <c r="S357" s="30">
        <v>3296418.51</v>
      </c>
      <c r="T357" s="57">
        <v>0</v>
      </c>
      <c r="U357" s="1">
        <f t="shared" si="179"/>
        <v>504158.13</v>
      </c>
      <c r="V357" s="42">
        <v>504158.13</v>
      </c>
      <c r="W357" s="87">
        <v>0</v>
      </c>
      <c r="X357" s="30">
        <f t="shared" si="180"/>
        <v>77562.78</v>
      </c>
      <c r="Y357" s="30">
        <v>77562.78</v>
      </c>
      <c r="Z357" s="57">
        <v>0</v>
      </c>
      <c r="AA357" s="2">
        <f t="shared" si="181"/>
        <v>0</v>
      </c>
      <c r="AB357" s="57">
        <v>0</v>
      </c>
      <c r="AC357" s="57">
        <v>0</v>
      </c>
      <c r="AD357" s="16">
        <f t="shared" si="158"/>
        <v>3878139.4199999995</v>
      </c>
      <c r="AE357" s="125">
        <v>0</v>
      </c>
      <c r="AF357" s="2">
        <f t="shared" si="182"/>
        <v>3878139.4199999995</v>
      </c>
      <c r="AG357" s="38" t="s">
        <v>486</v>
      </c>
      <c r="AH357" s="38" t="s">
        <v>2464</v>
      </c>
      <c r="AI357" s="2">
        <f>46849.45+76037.6+46900.45+113032.15+305275.8</f>
        <v>588095.44999999995</v>
      </c>
      <c r="AJ357" s="2">
        <f>7165.21+11629.28+7173.01+17287.27+46689.24</f>
        <v>89944.010000000009</v>
      </c>
    </row>
    <row r="358" spans="1:36" s="179" customFormat="1" ht="88.5" customHeight="1" x14ac:dyDescent="0.25">
      <c r="A358" s="6">
        <v>355</v>
      </c>
      <c r="B358" s="31">
        <v>135768</v>
      </c>
      <c r="C358" s="11">
        <v>782</v>
      </c>
      <c r="D358" s="9" t="s">
        <v>1638</v>
      </c>
      <c r="E358" s="24" t="s">
        <v>1441</v>
      </c>
      <c r="F358" s="11" t="s">
        <v>1525</v>
      </c>
      <c r="G358" s="11" t="s">
        <v>740</v>
      </c>
      <c r="H358" s="8" t="s">
        <v>151</v>
      </c>
      <c r="I358" s="32" t="s">
        <v>2803</v>
      </c>
      <c r="J358" s="25">
        <v>43998</v>
      </c>
      <c r="K358" s="25">
        <v>44728</v>
      </c>
      <c r="L358" s="26">
        <f t="shared" si="177"/>
        <v>85.000000630128795</v>
      </c>
      <c r="M358" s="11">
        <v>1</v>
      </c>
      <c r="N358" s="11" t="s">
        <v>411</v>
      </c>
      <c r="O358" s="11" t="s">
        <v>1526</v>
      </c>
      <c r="P358" s="27" t="s">
        <v>174</v>
      </c>
      <c r="Q358" s="11" t="s">
        <v>34</v>
      </c>
      <c r="R358" s="1">
        <f t="shared" si="178"/>
        <v>1011697.93</v>
      </c>
      <c r="S358" s="30">
        <v>1011697.93</v>
      </c>
      <c r="T358" s="57">
        <v>0</v>
      </c>
      <c r="U358" s="1">
        <f t="shared" si="179"/>
        <v>154730.26000000004</v>
      </c>
      <c r="V358" s="42">
        <v>154730.26000000004</v>
      </c>
      <c r="W358" s="87">
        <v>0</v>
      </c>
      <c r="X358" s="30">
        <f t="shared" si="180"/>
        <v>23804.66</v>
      </c>
      <c r="Y358" s="30">
        <v>23804.66</v>
      </c>
      <c r="Z358" s="57">
        <v>0</v>
      </c>
      <c r="AA358" s="2">
        <f t="shared" si="181"/>
        <v>0</v>
      </c>
      <c r="AB358" s="57">
        <v>0</v>
      </c>
      <c r="AC358" s="57">
        <v>0</v>
      </c>
      <c r="AD358" s="16">
        <f t="shared" si="158"/>
        <v>1190232.8500000001</v>
      </c>
      <c r="AE358" s="125">
        <v>0</v>
      </c>
      <c r="AF358" s="2">
        <f t="shared" si="182"/>
        <v>1190232.8500000001</v>
      </c>
      <c r="AG358" s="38" t="s">
        <v>857</v>
      </c>
      <c r="AH358" s="38" t="s">
        <v>1756</v>
      </c>
      <c r="AI358" s="2">
        <f>67626-4071.15+95859.03+134220.99+310066.71+115621.04</f>
        <v>719322.62000000011</v>
      </c>
      <c r="AJ358" s="2">
        <f>4071.15+20309.79+20527.92+47421.97+17683.22</f>
        <v>110014.05</v>
      </c>
    </row>
    <row r="359" spans="1:36" s="179" customFormat="1" ht="106.5" customHeight="1" x14ac:dyDescent="0.25">
      <c r="A359" s="6">
        <v>356</v>
      </c>
      <c r="B359" s="31">
        <v>136101</v>
      </c>
      <c r="C359" s="11">
        <v>777</v>
      </c>
      <c r="D359" s="9" t="s">
        <v>1638</v>
      </c>
      <c r="E359" s="24" t="s">
        <v>1441</v>
      </c>
      <c r="F359" s="11" t="s">
        <v>1527</v>
      </c>
      <c r="G359" s="11" t="s">
        <v>1528</v>
      </c>
      <c r="H359" s="8" t="s">
        <v>151</v>
      </c>
      <c r="I359" s="32" t="s">
        <v>2804</v>
      </c>
      <c r="J359" s="25">
        <v>43998</v>
      </c>
      <c r="K359" s="25">
        <v>44911</v>
      </c>
      <c r="L359" s="26">
        <f t="shared" si="177"/>
        <v>85.000000076954905</v>
      </c>
      <c r="M359" s="11">
        <v>1</v>
      </c>
      <c r="N359" s="11" t="s">
        <v>411</v>
      </c>
      <c r="O359" s="11" t="s">
        <v>1528</v>
      </c>
      <c r="P359" s="27" t="s">
        <v>174</v>
      </c>
      <c r="Q359" s="11" t="s">
        <v>34</v>
      </c>
      <c r="R359" s="1">
        <f t="shared" si="178"/>
        <v>3313628.46</v>
      </c>
      <c r="S359" s="30">
        <v>3313628.46</v>
      </c>
      <c r="T359" s="57">
        <v>0</v>
      </c>
      <c r="U359" s="1">
        <f t="shared" si="179"/>
        <v>506790.24</v>
      </c>
      <c r="V359" s="42">
        <v>506790.24</v>
      </c>
      <c r="W359" s="87">
        <v>0</v>
      </c>
      <c r="X359" s="30">
        <f t="shared" si="180"/>
        <v>77967.72</v>
      </c>
      <c r="Y359" s="30">
        <v>77967.72</v>
      </c>
      <c r="Z359" s="57">
        <v>0</v>
      </c>
      <c r="AA359" s="2">
        <f t="shared" si="181"/>
        <v>0</v>
      </c>
      <c r="AB359" s="57">
        <v>0</v>
      </c>
      <c r="AC359" s="57">
        <v>0</v>
      </c>
      <c r="AD359" s="16">
        <f t="shared" si="158"/>
        <v>3898386.4200000004</v>
      </c>
      <c r="AE359" s="125">
        <v>0</v>
      </c>
      <c r="AF359" s="2">
        <f t="shared" si="182"/>
        <v>3898386.4200000004</v>
      </c>
      <c r="AG359" s="38" t="s">
        <v>486</v>
      </c>
      <c r="AH359" s="38"/>
      <c r="AI359" s="2">
        <f>61251+21093.6+105678.8+141468.39+444812.31+243407.36+1108891.27</f>
        <v>2126602.73</v>
      </c>
      <c r="AJ359" s="2">
        <f>9367.8+3226.08+16162.64+21636.34+68030.12+37227.01+169595.14</f>
        <v>325245.13</v>
      </c>
    </row>
    <row r="360" spans="1:36" s="179" customFormat="1" ht="106.5" customHeight="1" x14ac:dyDescent="0.25">
      <c r="A360" s="6">
        <v>357</v>
      </c>
      <c r="B360" s="31">
        <v>155184</v>
      </c>
      <c r="C360" s="11">
        <v>1238</v>
      </c>
      <c r="D360" s="9" t="s">
        <v>1638</v>
      </c>
      <c r="E360" s="24" t="s">
        <v>2014</v>
      </c>
      <c r="F360" s="11" t="s">
        <v>2101</v>
      </c>
      <c r="G360" s="11" t="s">
        <v>1177</v>
      </c>
      <c r="H360" s="8" t="s">
        <v>151</v>
      </c>
      <c r="I360" s="32" t="s">
        <v>2102</v>
      </c>
      <c r="J360" s="25">
        <v>44655</v>
      </c>
      <c r="K360" s="25">
        <v>45142</v>
      </c>
      <c r="L360" s="26">
        <f t="shared" si="177"/>
        <v>85.000000075041726</v>
      </c>
      <c r="M360" s="11">
        <v>1</v>
      </c>
      <c r="N360" s="11" t="s">
        <v>411</v>
      </c>
      <c r="O360" s="11" t="s">
        <v>411</v>
      </c>
      <c r="P360" s="27" t="s">
        <v>174</v>
      </c>
      <c r="Q360" s="11" t="s">
        <v>34</v>
      </c>
      <c r="R360" s="1">
        <f t="shared" si="178"/>
        <v>3398109.62</v>
      </c>
      <c r="S360" s="30">
        <v>3398109.62</v>
      </c>
      <c r="T360" s="57">
        <v>0</v>
      </c>
      <c r="U360" s="1">
        <f t="shared" si="179"/>
        <v>519710.88</v>
      </c>
      <c r="V360" s="42">
        <v>519710.88</v>
      </c>
      <c r="W360" s="87">
        <v>0</v>
      </c>
      <c r="X360" s="30">
        <f t="shared" si="180"/>
        <v>79955.520000000004</v>
      </c>
      <c r="Y360" s="30">
        <v>79955.520000000004</v>
      </c>
      <c r="Z360" s="57">
        <v>0</v>
      </c>
      <c r="AA360" s="2">
        <f t="shared" si="181"/>
        <v>0</v>
      </c>
      <c r="AB360" s="57">
        <v>0</v>
      </c>
      <c r="AC360" s="57">
        <v>0</v>
      </c>
      <c r="AD360" s="16">
        <f t="shared" si="158"/>
        <v>3997776.02</v>
      </c>
      <c r="AE360" s="125">
        <v>0</v>
      </c>
      <c r="AF360" s="2">
        <f t="shared" si="182"/>
        <v>3997776.02</v>
      </c>
      <c r="AG360" s="38" t="s">
        <v>486</v>
      </c>
      <c r="AH360" s="38"/>
      <c r="AI360" s="2">
        <v>22211.58</v>
      </c>
      <c r="AJ360" s="2">
        <v>3397.06</v>
      </c>
    </row>
    <row r="361" spans="1:36" s="179" customFormat="1" ht="106.5" customHeight="1" x14ac:dyDescent="0.25">
      <c r="A361" s="6">
        <v>358</v>
      </c>
      <c r="B361" s="31">
        <v>154853</v>
      </c>
      <c r="C361" s="11">
        <v>1218</v>
      </c>
      <c r="D361" s="9" t="s">
        <v>1638</v>
      </c>
      <c r="E361" s="24" t="s">
        <v>2014</v>
      </c>
      <c r="F361" s="11" t="s">
        <v>2110</v>
      </c>
      <c r="G361" s="11" t="s">
        <v>1505</v>
      </c>
      <c r="H361" s="8" t="s">
        <v>151</v>
      </c>
      <c r="I361" s="32" t="s">
        <v>2805</v>
      </c>
      <c r="J361" s="25">
        <v>44658</v>
      </c>
      <c r="K361" s="25">
        <v>45145</v>
      </c>
      <c r="L361" s="26">
        <f t="shared" si="177"/>
        <v>85.000000403724087</v>
      </c>
      <c r="M361" s="11">
        <v>1</v>
      </c>
      <c r="N361" s="11" t="s">
        <v>411</v>
      </c>
      <c r="O361" s="11" t="s">
        <v>1507</v>
      </c>
      <c r="P361" s="27" t="s">
        <v>174</v>
      </c>
      <c r="Q361" s="11" t="s">
        <v>34</v>
      </c>
      <c r="R361" s="1">
        <f t="shared" si="178"/>
        <v>2842287.72</v>
      </c>
      <c r="S361" s="30">
        <v>2842287.72</v>
      </c>
      <c r="T361" s="57">
        <v>0</v>
      </c>
      <c r="U361" s="1">
        <f t="shared" si="179"/>
        <v>434702.8</v>
      </c>
      <c r="V361" s="42">
        <v>434702.8</v>
      </c>
      <c r="W361" s="87">
        <v>0</v>
      </c>
      <c r="X361" s="30">
        <f t="shared" si="180"/>
        <v>66877.37</v>
      </c>
      <c r="Y361" s="30">
        <v>66877.37</v>
      </c>
      <c r="Z361" s="57">
        <v>0</v>
      </c>
      <c r="AA361" s="2">
        <f t="shared" si="181"/>
        <v>0</v>
      </c>
      <c r="AB361" s="57">
        <v>0</v>
      </c>
      <c r="AC361" s="57">
        <v>0</v>
      </c>
      <c r="AD361" s="16">
        <f t="shared" si="158"/>
        <v>3343867.89</v>
      </c>
      <c r="AE361" s="125">
        <v>0</v>
      </c>
      <c r="AF361" s="2">
        <f t="shared" si="182"/>
        <v>3343867.89</v>
      </c>
      <c r="AG361" s="38" t="s">
        <v>486</v>
      </c>
      <c r="AH361" s="38"/>
      <c r="AI361" s="2">
        <v>0</v>
      </c>
      <c r="AJ361" s="2">
        <v>0</v>
      </c>
    </row>
    <row r="362" spans="1:36" s="179" customFormat="1" ht="106.5" customHeight="1" x14ac:dyDescent="0.25">
      <c r="A362" s="6">
        <v>359</v>
      </c>
      <c r="B362" s="31">
        <v>154851</v>
      </c>
      <c r="C362" s="11">
        <v>1221</v>
      </c>
      <c r="D362" s="9" t="s">
        <v>1638</v>
      </c>
      <c r="E362" s="24" t="s">
        <v>2014</v>
      </c>
      <c r="F362" s="11" t="s">
        <v>2122</v>
      </c>
      <c r="G362" s="11" t="s">
        <v>1528</v>
      </c>
      <c r="H362" s="8" t="s">
        <v>151</v>
      </c>
      <c r="I362" s="32" t="s">
        <v>2806</v>
      </c>
      <c r="J362" s="25">
        <v>44662</v>
      </c>
      <c r="K362" s="25">
        <v>45149</v>
      </c>
      <c r="L362" s="26">
        <f t="shared" si="177"/>
        <v>84.999999999999986</v>
      </c>
      <c r="M362" s="11">
        <v>1</v>
      </c>
      <c r="N362" s="11" t="s">
        <v>411</v>
      </c>
      <c r="O362" s="11" t="s">
        <v>1528</v>
      </c>
      <c r="P362" s="27" t="s">
        <v>174</v>
      </c>
      <c r="Q362" s="11" t="s">
        <v>34</v>
      </c>
      <c r="R362" s="1">
        <f t="shared" si="178"/>
        <v>2840666.51</v>
      </c>
      <c r="S362" s="30">
        <v>2840666.51</v>
      </c>
      <c r="T362" s="57">
        <v>0</v>
      </c>
      <c r="U362" s="1">
        <f t="shared" si="179"/>
        <v>434454.89</v>
      </c>
      <c r="V362" s="42">
        <v>434454.89</v>
      </c>
      <c r="W362" s="87">
        <v>0</v>
      </c>
      <c r="X362" s="30">
        <f t="shared" si="180"/>
        <v>66839.199999999997</v>
      </c>
      <c r="Y362" s="30">
        <v>66839.199999999997</v>
      </c>
      <c r="Z362" s="57">
        <v>0</v>
      </c>
      <c r="AA362" s="2">
        <f t="shared" si="181"/>
        <v>0</v>
      </c>
      <c r="AB362" s="57">
        <v>0</v>
      </c>
      <c r="AC362" s="57">
        <v>0</v>
      </c>
      <c r="AD362" s="16">
        <f t="shared" si="158"/>
        <v>3341960.6</v>
      </c>
      <c r="AE362" s="125">
        <v>0</v>
      </c>
      <c r="AF362" s="2">
        <f t="shared" si="182"/>
        <v>3341960.6</v>
      </c>
      <c r="AG362" s="38" t="s">
        <v>486</v>
      </c>
      <c r="AH362" s="38"/>
      <c r="AI362" s="2">
        <v>0</v>
      </c>
      <c r="AJ362" s="2">
        <v>0</v>
      </c>
    </row>
    <row r="363" spans="1:36" s="179" customFormat="1" ht="106.5" customHeight="1" x14ac:dyDescent="0.25">
      <c r="A363" s="6">
        <v>360</v>
      </c>
      <c r="B363" s="31">
        <v>155160</v>
      </c>
      <c r="C363" s="11">
        <v>1232</v>
      </c>
      <c r="D363" s="9" t="s">
        <v>1638</v>
      </c>
      <c r="E363" s="24" t="s">
        <v>2014</v>
      </c>
      <c r="F363" s="11" t="s">
        <v>2239</v>
      </c>
      <c r="G363" s="11" t="s">
        <v>1515</v>
      </c>
      <c r="H363" s="8" t="s">
        <v>151</v>
      </c>
      <c r="I363" s="32" t="s">
        <v>2807</v>
      </c>
      <c r="J363" s="25">
        <v>44714</v>
      </c>
      <c r="K363" s="25">
        <v>45201</v>
      </c>
      <c r="L363" s="26">
        <f t="shared" si="177"/>
        <v>84.999999866459859</v>
      </c>
      <c r="M363" s="11">
        <v>1</v>
      </c>
      <c r="N363" s="11" t="s">
        <v>1516</v>
      </c>
      <c r="O363" s="11" t="s">
        <v>1528</v>
      </c>
      <c r="P363" s="27" t="s">
        <v>174</v>
      </c>
      <c r="Q363" s="11" t="s">
        <v>34</v>
      </c>
      <c r="R363" s="1">
        <f t="shared" si="178"/>
        <v>2864307.36</v>
      </c>
      <c r="S363" s="30">
        <v>2864307.36</v>
      </c>
      <c r="T363" s="57">
        <v>0</v>
      </c>
      <c r="U363" s="1">
        <f t="shared" si="179"/>
        <v>438070.54</v>
      </c>
      <c r="V363" s="42">
        <v>438070.54</v>
      </c>
      <c r="W363" s="87">
        <v>0</v>
      </c>
      <c r="X363" s="30">
        <f t="shared" si="180"/>
        <v>67395.47</v>
      </c>
      <c r="Y363" s="30">
        <v>67395.47</v>
      </c>
      <c r="Z363" s="57">
        <v>0</v>
      </c>
      <c r="AA363" s="2">
        <f t="shared" si="181"/>
        <v>0</v>
      </c>
      <c r="AB363" s="57">
        <v>0</v>
      </c>
      <c r="AC363" s="57">
        <v>0</v>
      </c>
      <c r="AD363" s="16">
        <f t="shared" si="158"/>
        <v>3369773.37</v>
      </c>
      <c r="AE363" s="125">
        <v>0</v>
      </c>
      <c r="AF363" s="2">
        <f t="shared" si="182"/>
        <v>3369773.37</v>
      </c>
      <c r="AG363" s="38" t="s">
        <v>486</v>
      </c>
      <c r="AH363" s="38"/>
      <c r="AI363" s="2">
        <v>0</v>
      </c>
      <c r="AJ363" s="2">
        <v>0</v>
      </c>
    </row>
    <row r="364" spans="1:36" s="179" customFormat="1" ht="159" customHeight="1" x14ac:dyDescent="0.25">
      <c r="A364" s="6">
        <v>361</v>
      </c>
      <c r="B364" s="31">
        <v>110909</v>
      </c>
      <c r="C364" s="11">
        <v>115</v>
      </c>
      <c r="D364" s="9" t="s">
        <v>1638</v>
      </c>
      <c r="E364" s="24" t="s">
        <v>277</v>
      </c>
      <c r="F364" s="27" t="s">
        <v>351</v>
      </c>
      <c r="G364" s="11" t="s">
        <v>350</v>
      </c>
      <c r="H364" s="8" t="s">
        <v>151</v>
      </c>
      <c r="I364" s="12" t="s">
        <v>352</v>
      </c>
      <c r="J364" s="25">
        <v>43214</v>
      </c>
      <c r="K364" s="25">
        <v>43762</v>
      </c>
      <c r="L364" s="26">
        <f t="shared" ref="L364:L373" si="183">R364/AD364*100</f>
        <v>85.000000000000014</v>
      </c>
      <c r="M364" s="11">
        <v>3</v>
      </c>
      <c r="N364" s="11" t="s">
        <v>353</v>
      </c>
      <c r="O364" s="11" t="s">
        <v>362</v>
      </c>
      <c r="P364" s="27" t="s">
        <v>174</v>
      </c>
      <c r="Q364" s="11" t="s">
        <v>34</v>
      </c>
      <c r="R364" s="1">
        <f t="shared" ref="R364:R373" si="184">S364+T364</f>
        <v>349633.9</v>
      </c>
      <c r="S364" s="57">
        <v>349633.9</v>
      </c>
      <c r="T364" s="57">
        <v>0</v>
      </c>
      <c r="U364" s="1">
        <f t="shared" ref="U364:U373" si="185">V364+W364</f>
        <v>53473.42</v>
      </c>
      <c r="V364" s="87">
        <v>53473.42</v>
      </c>
      <c r="W364" s="87">
        <v>0</v>
      </c>
      <c r="X364" s="1">
        <f t="shared" ref="X364:X373" si="186">Y364+Z364</f>
        <v>8226.68</v>
      </c>
      <c r="Y364" s="57">
        <v>8226.68</v>
      </c>
      <c r="Z364" s="57">
        <v>0</v>
      </c>
      <c r="AA364" s="2">
        <f t="shared" ref="AA364:AA373" si="187">AB364+AC364</f>
        <v>0</v>
      </c>
      <c r="AB364" s="126">
        <v>0</v>
      </c>
      <c r="AC364" s="126">
        <v>0</v>
      </c>
      <c r="AD364" s="16">
        <f t="shared" si="158"/>
        <v>411334</v>
      </c>
      <c r="AE364" s="2">
        <v>0</v>
      </c>
      <c r="AF364" s="2">
        <f t="shared" ref="AF364:AF373" si="188">AD364+AE364</f>
        <v>411334</v>
      </c>
      <c r="AG364" s="21" t="s">
        <v>857</v>
      </c>
      <c r="AH364" s="29" t="s">
        <v>1222</v>
      </c>
      <c r="AI364" s="30">
        <v>288582.45</v>
      </c>
      <c r="AJ364" s="30">
        <v>44136.13</v>
      </c>
    </row>
    <row r="365" spans="1:36" s="179" customFormat="1" ht="204.75" x14ac:dyDescent="0.25">
      <c r="A365" s="6">
        <v>362</v>
      </c>
      <c r="B365" s="31">
        <v>126118</v>
      </c>
      <c r="C365" s="11">
        <v>530</v>
      </c>
      <c r="D365" s="9" t="s">
        <v>1638</v>
      </c>
      <c r="E365" s="24" t="s">
        <v>899</v>
      </c>
      <c r="F365" s="27" t="s">
        <v>934</v>
      </c>
      <c r="G365" s="27" t="s">
        <v>935</v>
      </c>
      <c r="H365" s="8" t="s">
        <v>151</v>
      </c>
      <c r="I365" s="12" t="s">
        <v>2808</v>
      </c>
      <c r="J365" s="25">
        <v>43447</v>
      </c>
      <c r="K365" s="25">
        <v>45273</v>
      </c>
      <c r="L365" s="26">
        <f t="shared" si="183"/>
        <v>85.000001240215624</v>
      </c>
      <c r="M365" s="40">
        <v>3</v>
      </c>
      <c r="N365" s="11" t="s">
        <v>353</v>
      </c>
      <c r="O365" s="11" t="s">
        <v>1575</v>
      </c>
      <c r="P365" s="27" t="s">
        <v>174</v>
      </c>
      <c r="Q365" s="11" t="s">
        <v>34</v>
      </c>
      <c r="R365" s="1">
        <f t="shared" si="184"/>
        <v>548291.76</v>
      </c>
      <c r="S365" s="57">
        <v>548291.76</v>
      </c>
      <c r="T365" s="57">
        <v>0</v>
      </c>
      <c r="U365" s="1">
        <f t="shared" si="185"/>
        <v>83856.38</v>
      </c>
      <c r="V365" s="87">
        <v>83856.38</v>
      </c>
      <c r="W365" s="87">
        <v>0</v>
      </c>
      <c r="X365" s="1">
        <f t="shared" si="186"/>
        <v>12900.98</v>
      </c>
      <c r="Y365" s="57">
        <v>12900.98</v>
      </c>
      <c r="Z365" s="57">
        <v>0</v>
      </c>
      <c r="AA365" s="2">
        <f t="shared" si="187"/>
        <v>0</v>
      </c>
      <c r="AB365" s="2">
        <v>0</v>
      </c>
      <c r="AC365" s="2">
        <v>0</v>
      </c>
      <c r="AD365" s="16">
        <f t="shared" si="158"/>
        <v>645049.12</v>
      </c>
      <c r="AE365" s="35"/>
      <c r="AF365" s="2">
        <f t="shared" si="188"/>
        <v>645049.12</v>
      </c>
      <c r="AG365" s="38" t="s">
        <v>486</v>
      </c>
      <c r="AH365" s="29" t="s">
        <v>2373</v>
      </c>
      <c r="AI365" s="30">
        <f>92794.07+26620.14+13310.07+13310.07</f>
        <v>146034.35</v>
      </c>
      <c r="AJ365" s="30">
        <f>14192.04+4071.32+2035.66+2035.66</f>
        <v>22334.68</v>
      </c>
    </row>
    <row r="366" spans="1:36" s="179" customFormat="1" ht="204.75" x14ac:dyDescent="0.25">
      <c r="A366" s="6">
        <v>363</v>
      </c>
      <c r="B366" s="31">
        <v>129759</v>
      </c>
      <c r="C366" s="11">
        <v>675</v>
      </c>
      <c r="D366" s="9" t="s">
        <v>1638</v>
      </c>
      <c r="E366" s="24" t="s">
        <v>1071</v>
      </c>
      <c r="F366" s="27" t="s">
        <v>1101</v>
      </c>
      <c r="G366" s="27" t="s">
        <v>1658</v>
      </c>
      <c r="H366" s="8" t="s">
        <v>151</v>
      </c>
      <c r="I366" s="12" t="s">
        <v>1102</v>
      </c>
      <c r="J366" s="25">
        <v>43622</v>
      </c>
      <c r="K366" s="25">
        <v>44261</v>
      </c>
      <c r="L366" s="26">
        <f t="shared" si="183"/>
        <v>85.000000231937065</v>
      </c>
      <c r="M366" s="40">
        <v>3</v>
      </c>
      <c r="N366" s="11" t="s">
        <v>353</v>
      </c>
      <c r="O366" s="11" t="s">
        <v>1658</v>
      </c>
      <c r="P366" s="27" t="s">
        <v>174</v>
      </c>
      <c r="Q366" s="11" t="s">
        <v>34</v>
      </c>
      <c r="R366" s="1">
        <f t="shared" si="184"/>
        <v>3298308.61</v>
      </c>
      <c r="S366" s="57">
        <v>3298308.61</v>
      </c>
      <c r="T366" s="57">
        <v>0</v>
      </c>
      <c r="U366" s="127">
        <f t="shared" si="185"/>
        <v>504447.19</v>
      </c>
      <c r="V366" s="87">
        <v>504447.19</v>
      </c>
      <c r="W366" s="87">
        <v>0</v>
      </c>
      <c r="X366" s="1">
        <f t="shared" si="186"/>
        <v>77607.259999999995</v>
      </c>
      <c r="Y366" s="57">
        <v>77607.259999999995</v>
      </c>
      <c r="Z366" s="57">
        <v>0</v>
      </c>
      <c r="AA366" s="2">
        <f t="shared" si="187"/>
        <v>0</v>
      </c>
      <c r="AB366" s="2">
        <v>0</v>
      </c>
      <c r="AC366" s="2">
        <v>0</v>
      </c>
      <c r="AD366" s="16">
        <f t="shared" si="158"/>
        <v>3880363.0599999996</v>
      </c>
      <c r="AE366" s="35"/>
      <c r="AF366" s="2">
        <f t="shared" si="188"/>
        <v>3880363.0599999996</v>
      </c>
      <c r="AG366" s="38" t="s">
        <v>857</v>
      </c>
      <c r="AH366" s="35"/>
      <c r="AI366" s="30">
        <f>350262.31-13137.88+459904.21+1860571.74-4239.22</f>
        <v>2653361.1599999997</v>
      </c>
      <c r="AJ366" s="30">
        <f>13345.6+16884.01+7544.38+13137.88+70338.29+284558.03</f>
        <v>405808.19</v>
      </c>
    </row>
    <row r="367" spans="1:36" s="179" customFormat="1" ht="157.5" x14ac:dyDescent="0.25">
      <c r="A367" s="6">
        <v>364</v>
      </c>
      <c r="B367" s="31">
        <v>129754</v>
      </c>
      <c r="C367" s="11">
        <v>674</v>
      </c>
      <c r="D367" s="9" t="s">
        <v>1638</v>
      </c>
      <c r="E367" s="24" t="s">
        <v>1071</v>
      </c>
      <c r="F367" s="27" t="s">
        <v>1108</v>
      </c>
      <c r="G367" s="27" t="s">
        <v>935</v>
      </c>
      <c r="H367" s="8" t="s">
        <v>151</v>
      </c>
      <c r="I367" s="12" t="s">
        <v>1109</v>
      </c>
      <c r="J367" s="25">
        <v>43630</v>
      </c>
      <c r="K367" s="25">
        <v>45091</v>
      </c>
      <c r="L367" s="26">
        <f t="shared" si="183"/>
        <v>85.000000138264667</v>
      </c>
      <c r="M367" s="40">
        <v>3</v>
      </c>
      <c r="N367" s="11" t="s">
        <v>353</v>
      </c>
      <c r="O367" s="11" t="s">
        <v>1575</v>
      </c>
      <c r="P367" s="27" t="s">
        <v>174</v>
      </c>
      <c r="Q367" s="11" t="s">
        <v>34</v>
      </c>
      <c r="R367" s="1">
        <f t="shared" si="184"/>
        <v>2459052.1800000002</v>
      </c>
      <c r="S367" s="57">
        <v>2459052.1800000002</v>
      </c>
      <c r="T367" s="128">
        <v>0</v>
      </c>
      <c r="U367" s="1">
        <f t="shared" si="185"/>
        <v>376090.33</v>
      </c>
      <c r="V367" s="87">
        <v>376090.33</v>
      </c>
      <c r="W367" s="87">
        <v>0</v>
      </c>
      <c r="X367" s="1">
        <f t="shared" si="186"/>
        <v>57860.05</v>
      </c>
      <c r="Y367" s="57">
        <v>57860.05</v>
      </c>
      <c r="Z367" s="57">
        <v>0</v>
      </c>
      <c r="AA367" s="2">
        <f t="shared" si="187"/>
        <v>0</v>
      </c>
      <c r="AB367" s="2">
        <v>0</v>
      </c>
      <c r="AC367" s="2">
        <v>0</v>
      </c>
      <c r="AD367" s="16">
        <f t="shared" si="158"/>
        <v>2893002.56</v>
      </c>
      <c r="AE367" s="35">
        <v>0</v>
      </c>
      <c r="AF367" s="2">
        <f t="shared" si="188"/>
        <v>2893002.56</v>
      </c>
      <c r="AG367" s="38" t="s">
        <v>486</v>
      </c>
      <c r="AH367" s="38" t="s">
        <v>1928</v>
      </c>
      <c r="AI367" s="30">
        <f>102987.97+61200+27715.54+30570.65+26244.97+42590.63+23491.6</f>
        <v>314801.36</v>
      </c>
      <c r="AJ367" s="30">
        <f>15751.1+9360+4238.85+4675.51+4013.94+6513.85+3592.84</f>
        <v>48146.09</v>
      </c>
    </row>
    <row r="368" spans="1:36" s="179" customFormat="1" ht="336.75" customHeight="1" x14ac:dyDescent="0.25">
      <c r="A368" s="6">
        <v>365</v>
      </c>
      <c r="B368" s="31">
        <v>135765</v>
      </c>
      <c r="C368" s="11">
        <v>821</v>
      </c>
      <c r="D368" s="9" t="s">
        <v>1638</v>
      </c>
      <c r="E368" s="24" t="s">
        <v>1441</v>
      </c>
      <c r="F368" s="27" t="s">
        <v>1574</v>
      </c>
      <c r="G368" s="27" t="s">
        <v>1575</v>
      </c>
      <c r="H368" s="11" t="s">
        <v>952</v>
      </c>
      <c r="I368" s="12" t="s">
        <v>1576</v>
      </c>
      <c r="J368" s="25">
        <v>44020</v>
      </c>
      <c r="K368" s="25">
        <v>44873</v>
      </c>
      <c r="L368" s="26">
        <f t="shared" si="183"/>
        <v>84.714058426963518</v>
      </c>
      <c r="M368" s="40">
        <v>3</v>
      </c>
      <c r="N368" s="11" t="s">
        <v>353</v>
      </c>
      <c r="O368" s="11" t="s">
        <v>1575</v>
      </c>
      <c r="P368" s="27" t="s">
        <v>174</v>
      </c>
      <c r="Q368" s="11" t="s">
        <v>34</v>
      </c>
      <c r="R368" s="1">
        <f t="shared" si="184"/>
        <v>3306220.95</v>
      </c>
      <c r="S368" s="57">
        <v>3306220.95</v>
      </c>
      <c r="T368" s="128">
        <v>0</v>
      </c>
      <c r="U368" s="1">
        <f t="shared" si="185"/>
        <v>518523.83</v>
      </c>
      <c r="V368" s="87">
        <v>518523.83</v>
      </c>
      <c r="W368" s="87">
        <v>0</v>
      </c>
      <c r="X368" s="1">
        <f t="shared" si="186"/>
        <v>64926.92</v>
      </c>
      <c r="Y368" s="57">
        <v>64926.92</v>
      </c>
      <c r="Z368" s="57">
        <v>0</v>
      </c>
      <c r="AA368" s="2">
        <f t="shared" si="187"/>
        <v>13129.1</v>
      </c>
      <c r="AB368" s="2">
        <v>13129.1</v>
      </c>
      <c r="AC368" s="2">
        <v>0</v>
      </c>
      <c r="AD368" s="16">
        <f t="shared" si="158"/>
        <v>3902800.8000000003</v>
      </c>
      <c r="AE368" s="42">
        <v>97199.2</v>
      </c>
      <c r="AF368" s="2">
        <f t="shared" si="188"/>
        <v>4000000.0000000005</v>
      </c>
      <c r="AG368" s="38" t="s">
        <v>486</v>
      </c>
      <c r="AH368" s="35"/>
      <c r="AI368" s="30">
        <f>390280.08+1188911.03+27628.67+287471.15</f>
        <v>1894290.9300000002</v>
      </c>
      <c r="AJ368" s="30">
        <f>181833.45+39447.43+61152.18</f>
        <v>282433.06</v>
      </c>
    </row>
    <row r="369" spans="1:36" s="179" customFormat="1" ht="141.75" x14ac:dyDescent="0.25">
      <c r="A369" s="6">
        <v>366</v>
      </c>
      <c r="B369" s="31">
        <v>152202</v>
      </c>
      <c r="C369" s="11">
        <v>1110</v>
      </c>
      <c r="D369" s="9" t="s">
        <v>1639</v>
      </c>
      <c r="E369" s="24" t="s">
        <v>1801</v>
      </c>
      <c r="F369" s="27" t="s">
        <v>1846</v>
      </c>
      <c r="G369" s="27" t="s">
        <v>1658</v>
      </c>
      <c r="H369" s="8" t="s">
        <v>151</v>
      </c>
      <c r="I369" s="12" t="s">
        <v>1847</v>
      </c>
      <c r="J369" s="25">
        <v>44498</v>
      </c>
      <c r="K369" s="25">
        <v>44863</v>
      </c>
      <c r="L369" s="26">
        <f t="shared" si="183"/>
        <v>84.999999252634424</v>
      </c>
      <c r="M369" s="40">
        <v>3</v>
      </c>
      <c r="N369" s="11" t="s">
        <v>353</v>
      </c>
      <c r="O369" s="11" t="s">
        <v>1658</v>
      </c>
      <c r="P369" s="27" t="s">
        <v>174</v>
      </c>
      <c r="Q369" s="11" t="s">
        <v>34</v>
      </c>
      <c r="R369" s="1">
        <f t="shared" si="184"/>
        <v>341198.48</v>
      </c>
      <c r="S369" s="57">
        <v>341198.48</v>
      </c>
      <c r="T369" s="128">
        <v>0</v>
      </c>
      <c r="U369" s="1">
        <f t="shared" si="185"/>
        <v>52183.3</v>
      </c>
      <c r="V369" s="87">
        <v>52183.3</v>
      </c>
      <c r="W369" s="87">
        <v>0</v>
      </c>
      <c r="X369" s="1">
        <f t="shared" si="186"/>
        <v>8028.2</v>
      </c>
      <c r="Y369" s="57">
        <v>8028.2</v>
      </c>
      <c r="Z369" s="57">
        <v>0</v>
      </c>
      <c r="AA369" s="2">
        <f t="shared" si="187"/>
        <v>0</v>
      </c>
      <c r="AB369" s="2">
        <v>0</v>
      </c>
      <c r="AC369" s="2">
        <v>0</v>
      </c>
      <c r="AD369" s="16">
        <f t="shared" si="158"/>
        <v>401409.98</v>
      </c>
      <c r="AE369" s="42">
        <v>0</v>
      </c>
      <c r="AF369" s="2">
        <f t="shared" si="188"/>
        <v>401409.98</v>
      </c>
      <c r="AG369" s="38" t="s">
        <v>486</v>
      </c>
      <c r="AH369" s="35"/>
      <c r="AI369" s="30">
        <f>15724.15+34569.5+56187.55</f>
        <v>106481.20000000001</v>
      </c>
      <c r="AJ369" s="30">
        <f>2404.87+5287.1+8593.39</f>
        <v>16285.36</v>
      </c>
    </row>
    <row r="370" spans="1:36" s="179" customFormat="1" ht="157.5" x14ac:dyDescent="0.25">
      <c r="A370" s="6">
        <v>367</v>
      </c>
      <c r="B370" s="31">
        <v>151850</v>
      </c>
      <c r="C370" s="11">
        <v>1114</v>
      </c>
      <c r="D370" s="9" t="s">
        <v>1639</v>
      </c>
      <c r="E370" s="24" t="s">
        <v>1801</v>
      </c>
      <c r="F370" s="27" t="s">
        <v>1966</v>
      </c>
      <c r="G370" s="27" t="s">
        <v>935</v>
      </c>
      <c r="H370" s="11" t="s">
        <v>1967</v>
      </c>
      <c r="I370" s="12" t="s">
        <v>1968</v>
      </c>
      <c r="J370" s="25">
        <v>44560</v>
      </c>
      <c r="K370" s="25">
        <v>45046</v>
      </c>
      <c r="L370" s="26">
        <f t="shared" si="183"/>
        <v>85.000001831169087</v>
      </c>
      <c r="M370" s="40">
        <v>3</v>
      </c>
      <c r="N370" s="11" t="s">
        <v>353</v>
      </c>
      <c r="O370" s="11" t="s">
        <v>1575</v>
      </c>
      <c r="P370" s="27" t="s">
        <v>174</v>
      </c>
      <c r="Q370" s="11" t="s">
        <v>34</v>
      </c>
      <c r="R370" s="1">
        <f t="shared" si="184"/>
        <v>255301.39</v>
      </c>
      <c r="S370" s="57">
        <v>255301.39</v>
      </c>
      <c r="T370" s="128">
        <v>0</v>
      </c>
      <c r="U370" s="1">
        <f t="shared" si="185"/>
        <v>30540.21</v>
      </c>
      <c r="V370" s="87">
        <v>30540.21</v>
      </c>
      <c r="W370" s="87">
        <v>0</v>
      </c>
      <c r="X370" s="1">
        <f t="shared" si="186"/>
        <v>14512.97</v>
      </c>
      <c r="Y370" s="57">
        <v>14512.97</v>
      </c>
      <c r="Z370" s="57">
        <v>0</v>
      </c>
      <c r="AA370" s="2">
        <f t="shared" si="187"/>
        <v>0</v>
      </c>
      <c r="AB370" s="2">
        <v>0</v>
      </c>
      <c r="AC370" s="2">
        <v>0</v>
      </c>
      <c r="AD370" s="16">
        <f t="shared" si="158"/>
        <v>300354.57</v>
      </c>
      <c r="AE370" s="42">
        <v>0</v>
      </c>
      <c r="AF370" s="2">
        <f t="shared" si="188"/>
        <v>300354.57</v>
      </c>
      <c r="AG370" s="38" t="s">
        <v>486</v>
      </c>
      <c r="AH370" s="38" t="s">
        <v>2220</v>
      </c>
      <c r="AI370" s="30">
        <v>12241.7</v>
      </c>
      <c r="AJ370" s="30">
        <v>1059.5</v>
      </c>
    </row>
    <row r="371" spans="1:36" s="179" customFormat="1" ht="141.75" x14ac:dyDescent="0.25">
      <c r="A371" s="6">
        <v>368</v>
      </c>
      <c r="B371" s="31">
        <v>155151</v>
      </c>
      <c r="C371" s="11">
        <v>1217</v>
      </c>
      <c r="D371" s="9" t="s">
        <v>1638</v>
      </c>
      <c r="E371" s="24" t="s">
        <v>2014</v>
      </c>
      <c r="F371" s="27" t="s">
        <v>2100</v>
      </c>
      <c r="G371" s="27" t="s">
        <v>350</v>
      </c>
      <c r="H371" s="8" t="s">
        <v>151</v>
      </c>
      <c r="I371" s="12" t="s">
        <v>2809</v>
      </c>
      <c r="J371" s="25">
        <v>44656</v>
      </c>
      <c r="K371" s="25">
        <v>45143</v>
      </c>
      <c r="L371" s="26">
        <f t="shared" si="183"/>
        <v>85</v>
      </c>
      <c r="M371" s="40">
        <v>3</v>
      </c>
      <c r="N371" s="11" t="s">
        <v>353</v>
      </c>
      <c r="O371" s="11" t="s">
        <v>2099</v>
      </c>
      <c r="P371" s="27" t="s">
        <v>174</v>
      </c>
      <c r="Q371" s="11" t="s">
        <v>34</v>
      </c>
      <c r="R371" s="1">
        <f t="shared" si="184"/>
        <v>3396464</v>
      </c>
      <c r="S371" s="57">
        <v>3396464</v>
      </c>
      <c r="T371" s="128">
        <v>0</v>
      </c>
      <c r="U371" s="1">
        <f t="shared" si="185"/>
        <v>519459.2</v>
      </c>
      <c r="V371" s="87">
        <v>519459.2</v>
      </c>
      <c r="W371" s="87">
        <v>0</v>
      </c>
      <c r="X371" s="1">
        <f t="shared" si="186"/>
        <v>79916.800000000003</v>
      </c>
      <c r="Y371" s="57">
        <v>79916.800000000003</v>
      </c>
      <c r="Z371" s="57">
        <v>0</v>
      </c>
      <c r="AA371" s="2">
        <f t="shared" si="187"/>
        <v>0</v>
      </c>
      <c r="AB371" s="2">
        <v>0</v>
      </c>
      <c r="AC371" s="2">
        <v>0</v>
      </c>
      <c r="AD371" s="16">
        <f t="shared" si="158"/>
        <v>3995840</v>
      </c>
      <c r="AE371" s="42">
        <v>0</v>
      </c>
      <c r="AF371" s="2">
        <f t="shared" si="188"/>
        <v>3995840</v>
      </c>
      <c r="AG371" s="38" t="s">
        <v>486</v>
      </c>
      <c r="AH371" s="35"/>
      <c r="AI371" s="30">
        <v>399584</v>
      </c>
      <c r="AJ371" s="30">
        <v>0</v>
      </c>
    </row>
    <row r="372" spans="1:36" s="179" customFormat="1" ht="141.75" x14ac:dyDescent="0.25">
      <c r="A372" s="6">
        <v>369</v>
      </c>
      <c r="B372" s="31">
        <v>155222</v>
      </c>
      <c r="C372" s="11">
        <v>1234</v>
      </c>
      <c r="D372" s="9" t="s">
        <v>1638</v>
      </c>
      <c r="E372" s="24" t="s">
        <v>2014</v>
      </c>
      <c r="F372" s="27" t="s">
        <v>2111</v>
      </c>
      <c r="G372" s="27" t="s">
        <v>1575</v>
      </c>
      <c r="H372" s="8" t="s">
        <v>151</v>
      </c>
      <c r="I372" s="12" t="s">
        <v>2810</v>
      </c>
      <c r="J372" s="25">
        <v>44658</v>
      </c>
      <c r="K372" s="25">
        <v>45145</v>
      </c>
      <c r="L372" s="26">
        <f t="shared" si="183"/>
        <v>85</v>
      </c>
      <c r="M372" s="40">
        <v>3</v>
      </c>
      <c r="N372" s="11" t="s">
        <v>353</v>
      </c>
      <c r="O372" s="11" t="s">
        <v>2112</v>
      </c>
      <c r="P372" s="27" t="s">
        <v>174</v>
      </c>
      <c r="Q372" s="11" t="s">
        <v>34</v>
      </c>
      <c r="R372" s="1">
        <f t="shared" si="184"/>
        <v>2518108</v>
      </c>
      <c r="S372" s="57">
        <v>2518108</v>
      </c>
      <c r="T372" s="128">
        <v>0</v>
      </c>
      <c r="U372" s="1">
        <f t="shared" si="185"/>
        <v>385122.4</v>
      </c>
      <c r="V372" s="87">
        <v>385122.4</v>
      </c>
      <c r="W372" s="87">
        <v>0</v>
      </c>
      <c r="X372" s="1">
        <f t="shared" si="186"/>
        <v>59249.599999999999</v>
      </c>
      <c r="Y372" s="57">
        <v>59249.599999999999</v>
      </c>
      <c r="Z372" s="57">
        <v>0</v>
      </c>
      <c r="AA372" s="2">
        <f t="shared" si="187"/>
        <v>0</v>
      </c>
      <c r="AB372" s="2">
        <v>0</v>
      </c>
      <c r="AC372" s="2">
        <v>0</v>
      </c>
      <c r="AD372" s="16">
        <f t="shared" si="158"/>
        <v>2962480</v>
      </c>
      <c r="AE372" s="42">
        <v>0</v>
      </c>
      <c r="AF372" s="2">
        <f t="shared" si="188"/>
        <v>2962480</v>
      </c>
      <c r="AG372" s="38" t="s">
        <v>486</v>
      </c>
      <c r="AH372" s="35"/>
      <c r="AI372" s="30">
        <v>279800</v>
      </c>
      <c r="AJ372" s="30">
        <v>0</v>
      </c>
    </row>
    <row r="373" spans="1:36" s="179" customFormat="1" ht="283.5" x14ac:dyDescent="0.25">
      <c r="A373" s="6">
        <v>370</v>
      </c>
      <c r="B373" s="31">
        <v>155167</v>
      </c>
      <c r="C373" s="11">
        <v>1201</v>
      </c>
      <c r="D373" s="9" t="s">
        <v>1638</v>
      </c>
      <c r="E373" s="24" t="s">
        <v>2014</v>
      </c>
      <c r="F373" s="27" t="s">
        <v>2174</v>
      </c>
      <c r="G373" s="27" t="s">
        <v>1658</v>
      </c>
      <c r="H373" s="8" t="s">
        <v>151</v>
      </c>
      <c r="I373" s="12" t="s">
        <v>2811</v>
      </c>
      <c r="J373" s="25">
        <v>44679</v>
      </c>
      <c r="K373" s="25">
        <v>45166</v>
      </c>
      <c r="L373" s="26">
        <f t="shared" si="183"/>
        <v>84.999999707858606</v>
      </c>
      <c r="M373" s="40">
        <v>3</v>
      </c>
      <c r="N373" s="11" t="s">
        <v>353</v>
      </c>
      <c r="O373" s="11" t="s">
        <v>2175</v>
      </c>
      <c r="P373" s="27" t="s">
        <v>174</v>
      </c>
      <c r="Q373" s="11" t="s">
        <v>34</v>
      </c>
      <c r="R373" s="1">
        <f t="shared" si="184"/>
        <v>2909549.99</v>
      </c>
      <c r="S373" s="57">
        <v>2909549.99</v>
      </c>
      <c r="T373" s="128">
        <v>0</v>
      </c>
      <c r="U373" s="1">
        <f t="shared" si="185"/>
        <v>444990</v>
      </c>
      <c r="V373" s="87">
        <v>444990</v>
      </c>
      <c r="W373" s="87">
        <v>0</v>
      </c>
      <c r="X373" s="1">
        <f t="shared" si="186"/>
        <v>68460.009999999995</v>
      </c>
      <c r="Y373" s="57">
        <v>68460.009999999995</v>
      </c>
      <c r="Z373" s="57">
        <v>0</v>
      </c>
      <c r="AA373" s="2">
        <f t="shared" si="187"/>
        <v>0</v>
      </c>
      <c r="AB373" s="2">
        <v>0</v>
      </c>
      <c r="AC373" s="2">
        <v>0</v>
      </c>
      <c r="AD373" s="16">
        <f t="shared" si="158"/>
        <v>3423000</v>
      </c>
      <c r="AE373" s="42">
        <v>0</v>
      </c>
      <c r="AF373" s="2">
        <f t="shared" si="188"/>
        <v>3423000</v>
      </c>
      <c r="AG373" s="38" t="s">
        <v>486</v>
      </c>
      <c r="AH373" s="35"/>
      <c r="AI373" s="30">
        <v>0</v>
      </c>
      <c r="AJ373" s="30">
        <v>0</v>
      </c>
    </row>
    <row r="374" spans="1:36" s="179" customFormat="1" ht="173.25" x14ac:dyDescent="0.25">
      <c r="A374" s="6">
        <v>371</v>
      </c>
      <c r="B374" s="31">
        <v>119235</v>
      </c>
      <c r="C374" s="11">
        <v>479</v>
      </c>
      <c r="D374" s="9" t="s">
        <v>1638</v>
      </c>
      <c r="E374" s="32" t="s">
        <v>457</v>
      </c>
      <c r="F374" s="11" t="s">
        <v>536</v>
      </c>
      <c r="G374" s="11" t="s">
        <v>1512</v>
      </c>
      <c r="H374" s="8" t="s">
        <v>151</v>
      </c>
      <c r="I374" s="32" t="s">
        <v>2812</v>
      </c>
      <c r="J374" s="25">
        <v>43276</v>
      </c>
      <c r="K374" s="25">
        <v>43702</v>
      </c>
      <c r="L374" s="26">
        <f t="shared" ref="L374:L382" si="189">R374/AD374*100</f>
        <v>84.999999139224727</v>
      </c>
      <c r="M374" s="27">
        <v>5</v>
      </c>
      <c r="N374" s="27" t="s">
        <v>537</v>
      </c>
      <c r="O374" s="27" t="s">
        <v>538</v>
      </c>
      <c r="P374" s="27" t="s">
        <v>174</v>
      </c>
      <c r="Q374" s="27" t="s">
        <v>460</v>
      </c>
      <c r="R374" s="1">
        <f t="shared" ref="R374:R382" si="190">S374+T374</f>
        <v>246870.47</v>
      </c>
      <c r="S374" s="30">
        <v>246870.47</v>
      </c>
      <c r="T374" s="57">
        <v>0</v>
      </c>
      <c r="U374" s="1">
        <f t="shared" ref="U374:U378" si="191">V374+W374</f>
        <v>37756.660000000003</v>
      </c>
      <c r="V374" s="42">
        <v>37756.660000000003</v>
      </c>
      <c r="W374" s="87">
        <v>0</v>
      </c>
      <c r="X374" s="1">
        <f t="shared" ref="X374:X382" si="192">Y374+Z374</f>
        <v>5808.72</v>
      </c>
      <c r="Y374" s="30">
        <v>5808.72</v>
      </c>
      <c r="Z374" s="57">
        <v>0</v>
      </c>
      <c r="AA374" s="2">
        <f>AB374+AC374</f>
        <v>0</v>
      </c>
      <c r="AB374" s="129">
        <v>0</v>
      </c>
      <c r="AC374" s="129">
        <v>0</v>
      </c>
      <c r="AD374" s="16">
        <f t="shared" si="158"/>
        <v>290435.84999999998</v>
      </c>
      <c r="AE374" s="35"/>
      <c r="AF374" s="2">
        <f t="shared" ref="AF374:AF382" si="193">AD374+AE374</f>
        <v>290435.84999999998</v>
      </c>
      <c r="AG374" s="21" t="s">
        <v>857</v>
      </c>
      <c r="AH374" s="73" t="s">
        <v>294</v>
      </c>
      <c r="AI374" s="30">
        <v>202756.04</v>
      </c>
      <c r="AJ374" s="30">
        <v>31009.739999999998</v>
      </c>
    </row>
    <row r="375" spans="1:36" s="179" customFormat="1" ht="141.75" x14ac:dyDescent="0.25">
      <c r="A375" s="6">
        <v>372</v>
      </c>
      <c r="B375" s="31">
        <v>119160</v>
      </c>
      <c r="C375" s="11">
        <v>482</v>
      </c>
      <c r="D375" s="9" t="s">
        <v>1638</v>
      </c>
      <c r="E375" s="32" t="s">
        <v>457</v>
      </c>
      <c r="F375" s="11" t="s">
        <v>667</v>
      </c>
      <c r="G375" s="11" t="s">
        <v>668</v>
      </c>
      <c r="H375" s="8" t="s">
        <v>151</v>
      </c>
      <c r="I375" s="32" t="s">
        <v>669</v>
      </c>
      <c r="J375" s="25">
        <v>43304</v>
      </c>
      <c r="K375" s="25">
        <v>43974</v>
      </c>
      <c r="L375" s="26">
        <f t="shared" si="189"/>
        <v>84.99999840000666</v>
      </c>
      <c r="M375" s="27">
        <v>5</v>
      </c>
      <c r="N375" s="27" t="s">
        <v>537</v>
      </c>
      <c r="O375" s="27" t="s">
        <v>670</v>
      </c>
      <c r="P375" s="27" t="s">
        <v>174</v>
      </c>
      <c r="Q375" s="11" t="s">
        <v>34</v>
      </c>
      <c r="R375" s="1">
        <f t="shared" si="190"/>
        <v>212500.88</v>
      </c>
      <c r="S375" s="30">
        <v>212500.88</v>
      </c>
      <c r="T375" s="57">
        <v>0</v>
      </c>
      <c r="U375" s="1">
        <f t="shared" si="191"/>
        <v>32500.1</v>
      </c>
      <c r="V375" s="42">
        <v>32500.1</v>
      </c>
      <c r="W375" s="87">
        <v>0</v>
      </c>
      <c r="X375" s="1">
        <f t="shared" si="192"/>
        <v>5000.0600000000004</v>
      </c>
      <c r="Y375" s="30">
        <v>5000.0600000000004</v>
      </c>
      <c r="Z375" s="57">
        <v>0</v>
      </c>
      <c r="AA375" s="2">
        <f>AB375+AC375</f>
        <v>0</v>
      </c>
      <c r="AB375" s="2">
        <v>0</v>
      </c>
      <c r="AC375" s="2">
        <v>0</v>
      </c>
      <c r="AD375" s="16">
        <f t="shared" si="158"/>
        <v>250001.04</v>
      </c>
      <c r="AE375" s="35"/>
      <c r="AF375" s="2">
        <f t="shared" si="193"/>
        <v>250001.04</v>
      </c>
      <c r="AG375" s="38" t="s">
        <v>857</v>
      </c>
      <c r="AH375" s="73" t="s">
        <v>1438</v>
      </c>
      <c r="AI375" s="30">
        <f>136389.48+39853.1</f>
        <v>176242.58000000002</v>
      </c>
      <c r="AJ375" s="30">
        <f>20859.59+6095.18</f>
        <v>26954.77</v>
      </c>
    </row>
    <row r="376" spans="1:36" s="179" customFormat="1" ht="173.25" x14ac:dyDescent="0.25">
      <c r="A376" s="6">
        <v>373</v>
      </c>
      <c r="B376" s="31">
        <v>117063</v>
      </c>
      <c r="C376" s="11">
        <v>411</v>
      </c>
      <c r="D376" s="32" t="s">
        <v>1639</v>
      </c>
      <c r="E376" s="11" t="s">
        <v>507</v>
      </c>
      <c r="F376" s="11" t="s">
        <v>709</v>
      </c>
      <c r="G376" s="11" t="s">
        <v>668</v>
      </c>
      <c r="H376" s="8" t="s">
        <v>151</v>
      </c>
      <c r="I376" s="32" t="s">
        <v>2813</v>
      </c>
      <c r="J376" s="25">
        <v>43313</v>
      </c>
      <c r="K376" s="25">
        <v>43800</v>
      </c>
      <c r="L376" s="26">
        <f t="shared" si="189"/>
        <v>85</v>
      </c>
      <c r="M376" s="11">
        <v>5</v>
      </c>
      <c r="N376" s="27" t="s">
        <v>537</v>
      </c>
      <c r="O376" s="11" t="s">
        <v>670</v>
      </c>
      <c r="P376" s="11" t="s">
        <v>174</v>
      </c>
      <c r="Q376" s="11" t="s">
        <v>460</v>
      </c>
      <c r="R376" s="1">
        <f t="shared" si="190"/>
        <v>213015.1</v>
      </c>
      <c r="S376" s="30">
        <v>213015.1</v>
      </c>
      <c r="T376" s="36">
        <v>0</v>
      </c>
      <c r="U376" s="1">
        <f t="shared" si="191"/>
        <v>32578.78</v>
      </c>
      <c r="V376" s="42">
        <v>32578.78</v>
      </c>
      <c r="W376" s="87">
        <v>0</v>
      </c>
      <c r="X376" s="1">
        <f t="shared" si="192"/>
        <v>5012.12</v>
      </c>
      <c r="Y376" s="51">
        <v>5012.12</v>
      </c>
      <c r="Z376" s="51">
        <v>0</v>
      </c>
      <c r="AA376" s="2">
        <f>AB376+AC376</f>
        <v>0</v>
      </c>
      <c r="AB376" s="2">
        <v>0</v>
      </c>
      <c r="AC376" s="2">
        <v>0</v>
      </c>
      <c r="AD376" s="16">
        <f t="shared" si="158"/>
        <v>250606</v>
      </c>
      <c r="AE376" s="35"/>
      <c r="AF376" s="2">
        <f t="shared" si="193"/>
        <v>250606</v>
      </c>
      <c r="AG376" s="21" t="s">
        <v>857</v>
      </c>
      <c r="AH376" s="38" t="s">
        <v>1148</v>
      </c>
      <c r="AI376" s="118">
        <v>148385.51999999999</v>
      </c>
      <c r="AJ376" s="118">
        <v>22694.260000000002</v>
      </c>
    </row>
    <row r="377" spans="1:36" s="179" customFormat="1" ht="157.5" x14ac:dyDescent="0.25">
      <c r="A377" s="6">
        <v>374</v>
      </c>
      <c r="B377" s="31">
        <v>126522</v>
      </c>
      <c r="C377" s="11">
        <v>554</v>
      </c>
      <c r="D377" s="9" t="s">
        <v>1638</v>
      </c>
      <c r="E377" s="24" t="s">
        <v>899</v>
      </c>
      <c r="F377" s="27" t="s">
        <v>1031</v>
      </c>
      <c r="G377" s="11" t="s">
        <v>1512</v>
      </c>
      <c r="H377" s="8" t="s">
        <v>151</v>
      </c>
      <c r="I377" s="32" t="s">
        <v>1032</v>
      </c>
      <c r="J377" s="25">
        <v>43556</v>
      </c>
      <c r="K377" s="25">
        <v>44866</v>
      </c>
      <c r="L377" s="26">
        <f t="shared" si="189"/>
        <v>85.0000001266326</v>
      </c>
      <c r="M377" s="11">
        <v>5</v>
      </c>
      <c r="N377" s="27" t="s">
        <v>537</v>
      </c>
      <c r="O377" s="11" t="s">
        <v>538</v>
      </c>
      <c r="P377" s="11" t="s">
        <v>174</v>
      </c>
      <c r="Q377" s="11" t="s">
        <v>460</v>
      </c>
      <c r="R377" s="1">
        <f t="shared" si="190"/>
        <v>3356165.93</v>
      </c>
      <c r="S377" s="30">
        <v>3356165.93</v>
      </c>
      <c r="T377" s="36">
        <v>0</v>
      </c>
      <c r="U377" s="1">
        <f t="shared" si="191"/>
        <v>513295.96</v>
      </c>
      <c r="V377" s="42">
        <v>513295.96</v>
      </c>
      <c r="W377" s="87">
        <v>0</v>
      </c>
      <c r="X377" s="1">
        <f t="shared" si="192"/>
        <v>78968.61</v>
      </c>
      <c r="Y377" s="51">
        <v>78968.61</v>
      </c>
      <c r="Z377" s="51">
        <v>0</v>
      </c>
      <c r="AA377" s="2">
        <v>0</v>
      </c>
      <c r="AB377" s="2">
        <v>0</v>
      </c>
      <c r="AC377" s="2">
        <v>0</v>
      </c>
      <c r="AD377" s="16">
        <f t="shared" si="158"/>
        <v>3948430.5</v>
      </c>
      <c r="AE377" s="35"/>
      <c r="AF377" s="2">
        <f t="shared" si="193"/>
        <v>3948430.5</v>
      </c>
      <c r="AG377" s="38" t="s">
        <v>486</v>
      </c>
      <c r="AH377" s="38" t="s">
        <v>1870</v>
      </c>
      <c r="AI377" s="118">
        <f>129133.7+27747.4+291574.82+647249.5+380477.38+97969.94+101499.14+13175.85</f>
        <v>1688827.7299999997</v>
      </c>
      <c r="AJ377" s="118">
        <f>19749.87+4243.72+44593.8+98991.1+58190.66+14983.64+15523.4+2015.13</f>
        <v>258291.31999999998</v>
      </c>
    </row>
    <row r="378" spans="1:36" s="179" customFormat="1" ht="141" customHeight="1" x14ac:dyDescent="0.25">
      <c r="A378" s="6">
        <v>375</v>
      </c>
      <c r="B378" s="31">
        <v>135760</v>
      </c>
      <c r="C378" s="11">
        <v>784</v>
      </c>
      <c r="D378" s="9" t="s">
        <v>1638</v>
      </c>
      <c r="E378" s="24" t="s">
        <v>1441</v>
      </c>
      <c r="F378" s="27" t="s">
        <v>1461</v>
      </c>
      <c r="G378" s="11" t="s">
        <v>1462</v>
      </c>
      <c r="H378" s="8" t="s">
        <v>151</v>
      </c>
      <c r="I378" s="32" t="s">
        <v>2814</v>
      </c>
      <c r="J378" s="25">
        <v>43959</v>
      </c>
      <c r="K378" s="25">
        <v>44600</v>
      </c>
      <c r="L378" s="26">
        <f t="shared" si="189"/>
        <v>85</v>
      </c>
      <c r="M378" s="11">
        <v>5</v>
      </c>
      <c r="N378" s="27" t="s">
        <v>537</v>
      </c>
      <c r="O378" s="27" t="s">
        <v>670</v>
      </c>
      <c r="P378" s="11" t="s">
        <v>174</v>
      </c>
      <c r="Q378" s="11" t="s">
        <v>1450</v>
      </c>
      <c r="R378" s="1">
        <f t="shared" si="190"/>
        <v>479451</v>
      </c>
      <c r="S378" s="30">
        <v>479451</v>
      </c>
      <c r="T378" s="36">
        <v>0</v>
      </c>
      <c r="U378" s="1">
        <f t="shared" si="191"/>
        <v>73327.8</v>
      </c>
      <c r="V378" s="42">
        <v>73327.8</v>
      </c>
      <c r="W378" s="87">
        <v>0</v>
      </c>
      <c r="X378" s="1">
        <f t="shared" si="192"/>
        <v>11281.2</v>
      </c>
      <c r="Y378" s="51">
        <v>11281.2</v>
      </c>
      <c r="Z378" s="51">
        <v>0</v>
      </c>
      <c r="AA378" s="2">
        <v>0</v>
      </c>
      <c r="AB378" s="2">
        <v>0</v>
      </c>
      <c r="AC378" s="2">
        <v>0</v>
      </c>
      <c r="AD378" s="16">
        <f t="shared" si="158"/>
        <v>564060</v>
      </c>
      <c r="AE378" s="35">
        <v>0</v>
      </c>
      <c r="AF378" s="2">
        <f t="shared" si="193"/>
        <v>564060</v>
      </c>
      <c r="AG378" s="38" t="s">
        <v>857</v>
      </c>
      <c r="AH378" s="38" t="s">
        <v>1914</v>
      </c>
      <c r="AI378" s="118">
        <f>859.78+94312.26+269131.83+58675.09</f>
        <v>422978.95999999996</v>
      </c>
      <c r="AJ378" s="118">
        <f>131.5+14424.23+41161.34+8973.84</f>
        <v>64690.909999999989</v>
      </c>
    </row>
    <row r="379" spans="1:36" s="179" customFormat="1" ht="189" x14ac:dyDescent="0.25">
      <c r="A379" s="6">
        <v>376</v>
      </c>
      <c r="B379" s="31">
        <v>136091</v>
      </c>
      <c r="C379" s="11">
        <v>847</v>
      </c>
      <c r="D379" s="9" t="s">
        <v>1638</v>
      </c>
      <c r="E379" s="24" t="s">
        <v>1441</v>
      </c>
      <c r="F379" s="27" t="s">
        <v>1511</v>
      </c>
      <c r="G379" s="11" t="s">
        <v>1512</v>
      </c>
      <c r="H379" s="11" t="s">
        <v>1513</v>
      </c>
      <c r="I379" s="32" t="s">
        <v>2815</v>
      </c>
      <c r="J379" s="25">
        <v>43973</v>
      </c>
      <c r="K379" s="25">
        <v>45191</v>
      </c>
      <c r="L379" s="26">
        <f t="shared" si="189"/>
        <v>85</v>
      </c>
      <c r="M379" s="11">
        <v>5</v>
      </c>
      <c r="N379" s="27" t="s">
        <v>537</v>
      </c>
      <c r="O379" s="11" t="s">
        <v>538</v>
      </c>
      <c r="P379" s="11" t="s">
        <v>174</v>
      </c>
      <c r="Q379" s="11" t="s">
        <v>34</v>
      </c>
      <c r="R379" s="1">
        <f t="shared" si="190"/>
        <v>2381041.25</v>
      </c>
      <c r="S379" s="30">
        <v>2381041.25</v>
      </c>
      <c r="T379" s="36">
        <v>0</v>
      </c>
      <c r="U379" s="1">
        <f>V379+W379</f>
        <v>364159.25</v>
      </c>
      <c r="V379" s="42">
        <v>364159.25</v>
      </c>
      <c r="W379" s="87">
        <v>0</v>
      </c>
      <c r="X379" s="1">
        <f t="shared" si="192"/>
        <v>56024.5</v>
      </c>
      <c r="Y379" s="51">
        <v>56024.5</v>
      </c>
      <c r="Z379" s="51">
        <v>0</v>
      </c>
      <c r="AA379" s="2">
        <v>0</v>
      </c>
      <c r="AB379" s="2">
        <v>0</v>
      </c>
      <c r="AC379" s="2">
        <v>0</v>
      </c>
      <c r="AD379" s="16">
        <f t="shared" si="158"/>
        <v>2801225</v>
      </c>
      <c r="AE379" s="35">
        <v>0</v>
      </c>
      <c r="AF379" s="2">
        <f t="shared" si="193"/>
        <v>2801225</v>
      </c>
      <c r="AG379" s="38" t="s">
        <v>486</v>
      </c>
      <c r="AH379" s="38" t="s">
        <v>1999</v>
      </c>
      <c r="AI379" s="118">
        <f>38897.7+155670.76</f>
        <v>194568.46000000002</v>
      </c>
      <c r="AJ379" s="118">
        <f>5949.06+23808.47</f>
        <v>29757.530000000002</v>
      </c>
    </row>
    <row r="380" spans="1:36" s="179" customFormat="1" ht="173.25" x14ac:dyDescent="0.25">
      <c r="A380" s="6">
        <v>377</v>
      </c>
      <c r="B380" s="31">
        <v>151977</v>
      </c>
      <c r="C380" s="11">
        <v>1102</v>
      </c>
      <c r="D380" s="9" t="s">
        <v>1639</v>
      </c>
      <c r="E380" s="24" t="s">
        <v>1801</v>
      </c>
      <c r="F380" s="27" t="s">
        <v>1802</v>
      </c>
      <c r="G380" s="11" t="s">
        <v>1512</v>
      </c>
      <c r="H380" s="8" t="s">
        <v>151</v>
      </c>
      <c r="I380" s="32" t="s">
        <v>1803</v>
      </c>
      <c r="J380" s="25">
        <v>44454</v>
      </c>
      <c r="K380" s="25">
        <v>44880</v>
      </c>
      <c r="L380" s="26">
        <f t="shared" si="189"/>
        <v>85.000000000000014</v>
      </c>
      <c r="M380" s="11">
        <v>5</v>
      </c>
      <c r="N380" s="27" t="s">
        <v>537</v>
      </c>
      <c r="O380" s="11" t="s">
        <v>538</v>
      </c>
      <c r="P380" s="11" t="s">
        <v>174</v>
      </c>
      <c r="Q380" s="11" t="s">
        <v>34</v>
      </c>
      <c r="R380" s="1">
        <f t="shared" si="190"/>
        <v>350749.1</v>
      </c>
      <c r="S380" s="30">
        <v>350749.1</v>
      </c>
      <c r="T380" s="36">
        <v>0</v>
      </c>
      <c r="U380" s="1">
        <f>V380+W380</f>
        <v>53643.98</v>
      </c>
      <c r="V380" s="42">
        <v>53643.98</v>
      </c>
      <c r="W380" s="87">
        <v>0</v>
      </c>
      <c r="X380" s="1">
        <f t="shared" si="192"/>
        <v>8252.92</v>
      </c>
      <c r="Y380" s="51">
        <v>8252.92</v>
      </c>
      <c r="Z380" s="51">
        <v>0</v>
      </c>
      <c r="AA380" s="2">
        <v>0</v>
      </c>
      <c r="AB380" s="2">
        <v>0</v>
      </c>
      <c r="AC380" s="2">
        <v>0</v>
      </c>
      <c r="AD380" s="16">
        <f t="shared" si="158"/>
        <v>412645.99999999994</v>
      </c>
      <c r="AE380" s="35">
        <v>0</v>
      </c>
      <c r="AF380" s="2">
        <f t="shared" si="193"/>
        <v>412645.99999999994</v>
      </c>
      <c r="AG380" s="38" t="s">
        <v>486</v>
      </c>
      <c r="AH380" s="38" t="s">
        <v>151</v>
      </c>
      <c r="AI380" s="118">
        <v>50435.27</v>
      </c>
      <c r="AJ380" s="118">
        <v>7713.63</v>
      </c>
    </row>
    <row r="381" spans="1:36" s="179" customFormat="1" ht="283.5" x14ac:dyDescent="0.25">
      <c r="A381" s="6">
        <v>378</v>
      </c>
      <c r="B381" s="31">
        <v>154615</v>
      </c>
      <c r="C381" s="11">
        <v>1220</v>
      </c>
      <c r="D381" s="9" t="s">
        <v>1638</v>
      </c>
      <c r="E381" s="24" t="s">
        <v>2014</v>
      </c>
      <c r="F381" s="27" t="s">
        <v>2184</v>
      </c>
      <c r="G381" s="11" t="s">
        <v>668</v>
      </c>
      <c r="H381" s="8" t="s">
        <v>151</v>
      </c>
      <c r="I381" s="32" t="s">
        <v>2816</v>
      </c>
      <c r="J381" s="25">
        <v>44685</v>
      </c>
      <c r="K381" s="25">
        <v>45173</v>
      </c>
      <c r="L381" s="26">
        <f t="shared" si="189"/>
        <v>85.000000025764805</v>
      </c>
      <c r="M381" s="11">
        <v>5</v>
      </c>
      <c r="N381" s="27" t="s">
        <v>537</v>
      </c>
      <c r="O381" s="11" t="s">
        <v>670</v>
      </c>
      <c r="P381" s="11" t="s">
        <v>174</v>
      </c>
      <c r="Q381" s="11" t="s">
        <v>460</v>
      </c>
      <c r="R381" s="1">
        <f t="shared" si="190"/>
        <v>3299072.65</v>
      </c>
      <c r="S381" s="30">
        <v>3299072.65</v>
      </c>
      <c r="T381" s="36">
        <v>0</v>
      </c>
      <c r="U381" s="1">
        <f>V381+W381</f>
        <v>504564.04</v>
      </c>
      <c r="V381" s="42">
        <v>504564.04</v>
      </c>
      <c r="W381" s="87">
        <v>0</v>
      </c>
      <c r="X381" s="1">
        <f t="shared" si="192"/>
        <v>77625.25</v>
      </c>
      <c r="Y381" s="51">
        <v>77625.25</v>
      </c>
      <c r="Z381" s="51">
        <v>0</v>
      </c>
      <c r="AA381" s="2">
        <v>0</v>
      </c>
      <c r="AB381" s="2">
        <v>0</v>
      </c>
      <c r="AC381" s="2">
        <v>0</v>
      </c>
      <c r="AD381" s="16">
        <f t="shared" si="158"/>
        <v>3881261.94</v>
      </c>
      <c r="AE381" s="35">
        <v>0</v>
      </c>
      <c r="AF381" s="2">
        <f t="shared" si="193"/>
        <v>3881261.94</v>
      </c>
      <c r="AG381" s="38" t="s">
        <v>486</v>
      </c>
      <c r="AH381" s="38" t="s">
        <v>151</v>
      </c>
      <c r="AI381" s="118">
        <v>0</v>
      </c>
      <c r="AJ381" s="118">
        <v>0</v>
      </c>
    </row>
    <row r="382" spans="1:36" s="179" customFormat="1" ht="141.75" x14ac:dyDescent="0.25">
      <c r="A382" s="6">
        <v>379</v>
      </c>
      <c r="B382" s="31">
        <v>155110</v>
      </c>
      <c r="C382" s="11">
        <v>1186</v>
      </c>
      <c r="D382" s="9" t="s">
        <v>1638</v>
      </c>
      <c r="E382" s="24" t="s">
        <v>2014</v>
      </c>
      <c r="F382" s="27" t="s">
        <v>2207</v>
      </c>
      <c r="G382" s="11" t="s">
        <v>1462</v>
      </c>
      <c r="H382" s="8" t="s">
        <v>151</v>
      </c>
      <c r="I382" s="32" t="s">
        <v>2817</v>
      </c>
      <c r="J382" s="25">
        <v>44697</v>
      </c>
      <c r="K382" s="25">
        <v>45185</v>
      </c>
      <c r="L382" s="26">
        <f t="shared" si="189"/>
        <v>85.00000016838716</v>
      </c>
      <c r="M382" s="11">
        <v>5</v>
      </c>
      <c r="N382" s="27" t="s">
        <v>537</v>
      </c>
      <c r="O382" s="11" t="s">
        <v>670</v>
      </c>
      <c r="P382" s="11" t="s">
        <v>174</v>
      </c>
      <c r="Q382" s="11" t="s">
        <v>460</v>
      </c>
      <c r="R382" s="1">
        <f t="shared" si="190"/>
        <v>2523945.38</v>
      </c>
      <c r="S382" s="30">
        <v>2523945.38</v>
      </c>
      <c r="T382" s="36">
        <v>0</v>
      </c>
      <c r="U382" s="1">
        <f>V382+W382</f>
        <v>386015.17</v>
      </c>
      <c r="V382" s="42">
        <v>386015.17</v>
      </c>
      <c r="W382" s="87">
        <v>0</v>
      </c>
      <c r="X382" s="1">
        <f t="shared" si="192"/>
        <v>59386.95</v>
      </c>
      <c r="Y382" s="51">
        <v>59386.95</v>
      </c>
      <c r="Z382" s="51">
        <v>0</v>
      </c>
      <c r="AA382" s="2">
        <v>0</v>
      </c>
      <c r="AB382" s="2">
        <v>0</v>
      </c>
      <c r="AC382" s="2">
        <v>0</v>
      </c>
      <c r="AD382" s="16">
        <f t="shared" si="158"/>
        <v>2969347.5</v>
      </c>
      <c r="AE382" s="35">
        <v>0</v>
      </c>
      <c r="AF382" s="2">
        <f t="shared" si="193"/>
        <v>2969347.5</v>
      </c>
      <c r="AG382" s="38" t="s">
        <v>486</v>
      </c>
      <c r="AH382" s="38" t="s">
        <v>151</v>
      </c>
      <c r="AI382" s="118">
        <v>0</v>
      </c>
      <c r="AJ382" s="118">
        <v>0</v>
      </c>
    </row>
    <row r="383" spans="1:36" s="179" customFormat="1" ht="189" x14ac:dyDescent="0.25">
      <c r="A383" s="6">
        <v>380</v>
      </c>
      <c r="B383" s="31">
        <v>119289</v>
      </c>
      <c r="C383" s="11">
        <v>484</v>
      </c>
      <c r="D383" s="9" t="s">
        <v>1638</v>
      </c>
      <c r="E383" s="11" t="s">
        <v>457</v>
      </c>
      <c r="F383" s="11" t="s">
        <v>519</v>
      </c>
      <c r="G383" s="11" t="s">
        <v>520</v>
      </c>
      <c r="H383" s="8" t="s">
        <v>151</v>
      </c>
      <c r="I383" s="46" t="s">
        <v>2818</v>
      </c>
      <c r="J383" s="25">
        <v>43271</v>
      </c>
      <c r="K383" s="25">
        <v>43941</v>
      </c>
      <c r="L383" s="26">
        <f t="shared" ref="L383:L402" si="194">R383/AD383*100</f>
        <v>85.000003319296809</v>
      </c>
      <c r="M383" s="40">
        <v>3</v>
      </c>
      <c r="N383" s="11" t="s">
        <v>485</v>
      </c>
      <c r="O383" s="11" t="s">
        <v>485</v>
      </c>
      <c r="P383" s="11" t="s">
        <v>174</v>
      </c>
      <c r="Q383" s="11" t="s">
        <v>460</v>
      </c>
      <c r="R383" s="1">
        <f t="shared" ref="R383:R415" si="195">S383+T383</f>
        <v>332901.85000000009</v>
      </c>
      <c r="S383" s="37">
        <v>332901.85000000009</v>
      </c>
      <c r="T383" s="37">
        <v>0</v>
      </c>
      <c r="U383" s="1">
        <f t="shared" ref="U383:U415" si="196">V383+W383</f>
        <v>50914.380000000005</v>
      </c>
      <c r="V383" s="42">
        <v>50914.380000000005</v>
      </c>
      <c r="W383" s="42">
        <v>0</v>
      </c>
      <c r="X383" s="1">
        <f t="shared" ref="X383:X415" si="197">Y383+Z383</f>
        <v>7832.9900000000016</v>
      </c>
      <c r="Y383" s="30">
        <v>7832.9900000000016</v>
      </c>
      <c r="Z383" s="30">
        <v>0</v>
      </c>
      <c r="AA383" s="2">
        <f t="shared" ref="AA383:AA415" si="198">AB383+AC383</f>
        <v>0</v>
      </c>
      <c r="AB383" s="41">
        <v>0</v>
      </c>
      <c r="AC383" s="41">
        <v>0</v>
      </c>
      <c r="AD383" s="16">
        <f t="shared" si="158"/>
        <v>391649.22000000009</v>
      </c>
      <c r="AE383" s="37">
        <f>1018.08+193.44</f>
        <v>1211.52</v>
      </c>
      <c r="AF383" s="2">
        <f t="shared" ref="AF383:AF402" si="199">AD383+AE383</f>
        <v>392860.74000000011</v>
      </c>
      <c r="AG383" s="38" t="s">
        <v>857</v>
      </c>
      <c r="AH383" s="38" t="s">
        <v>1323</v>
      </c>
      <c r="AI383" s="118">
        <f>184371.13+90330.3</f>
        <v>274701.43</v>
      </c>
      <c r="AJ383" s="30">
        <f>28197.95+13815.22</f>
        <v>42013.17</v>
      </c>
    </row>
    <row r="384" spans="1:36" s="179" customFormat="1" ht="315" x14ac:dyDescent="0.25">
      <c r="A384" s="6">
        <v>381</v>
      </c>
      <c r="B384" s="31">
        <v>118717</v>
      </c>
      <c r="C384" s="11">
        <v>435</v>
      </c>
      <c r="D384" s="32" t="s">
        <v>1639</v>
      </c>
      <c r="E384" s="24" t="s">
        <v>507</v>
      </c>
      <c r="F384" s="11" t="s">
        <v>778</v>
      </c>
      <c r="G384" s="11" t="s">
        <v>520</v>
      </c>
      <c r="H384" s="8" t="s">
        <v>151</v>
      </c>
      <c r="I384" s="12" t="s">
        <v>2819</v>
      </c>
      <c r="J384" s="25">
        <v>43333</v>
      </c>
      <c r="K384" s="25">
        <v>43790</v>
      </c>
      <c r="L384" s="26">
        <f t="shared" si="194"/>
        <v>84.999995136543049</v>
      </c>
      <c r="M384" s="11">
        <v>3</v>
      </c>
      <c r="N384" s="11" t="s">
        <v>485</v>
      </c>
      <c r="O384" s="11" t="s">
        <v>485</v>
      </c>
      <c r="P384" s="11" t="s">
        <v>174</v>
      </c>
      <c r="Q384" s="11" t="s">
        <v>460</v>
      </c>
      <c r="R384" s="1">
        <f t="shared" si="195"/>
        <v>227204.63</v>
      </c>
      <c r="S384" s="42">
        <v>227204.63</v>
      </c>
      <c r="T384" s="37">
        <v>0</v>
      </c>
      <c r="U384" s="1">
        <f t="shared" si="196"/>
        <v>34748.959999999999</v>
      </c>
      <c r="V384" s="42">
        <v>34748.959999999999</v>
      </c>
      <c r="W384" s="87">
        <v>0</v>
      </c>
      <c r="X384" s="1">
        <f t="shared" si="197"/>
        <v>5345.99</v>
      </c>
      <c r="Y384" s="30">
        <v>5345.99</v>
      </c>
      <c r="Z384" s="30">
        <v>0</v>
      </c>
      <c r="AA384" s="2">
        <f t="shared" si="198"/>
        <v>0</v>
      </c>
      <c r="AB384" s="2">
        <v>0</v>
      </c>
      <c r="AC384" s="2">
        <v>0</v>
      </c>
      <c r="AD384" s="16">
        <f t="shared" si="158"/>
        <v>267299.58</v>
      </c>
      <c r="AE384" s="35">
        <v>37391</v>
      </c>
      <c r="AF384" s="2">
        <f t="shared" si="199"/>
        <v>304690.58</v>
      </c>
      <c r="AG384" s="21" t="s">
        <v>857</v>
      </c>
      <c r="AH384" s="38" t="s">
        <v>936</v>
      </c>
      <c r="AI384" s="118">
        <v>209499.62</v>
      </c>
      <c r="AJ384" s="118">
        <v>32041.13</v>
      </c>
    </row>
    <row r="385" spans="1:36" s="179" customFormat="1" ht="283.5" x14ac:dyDescent="0.25">
      <c r="A385" s="6">
        <v>382</v>
      </c>
      <c r="B385" s="31">
        <v>129688</v>
      </c>
      <c r="C385" s="11">
        <v>686</v>
      </c>
      <c r="D385" s="9" t="s">
        <v>1638</v>
      </c>
      <c r="E385" s="11" t="s">
        <v>1071</v>
      </c>
      <c r="F385" s="11" t="s">
        <v>1080</v>
      </c>
      <c r="G385" s="11" t="s">
        <v>1081</v>
      </c>
      <c r="H385" s="8" t="s">
        <v>151</v>
      </c>
      <c r="I385" s="12" t="s">
        <v>1082</v>
      </c>
      <c r="J385" s="25">
        <v>43614</v>
      </c>
      <c r="K385" s="25">
        <v>44741</v>
      </c>
      <c r="L385" s="26">
        <f t="shared" si="194"/>
        <v>85.000000266732258</v>
      </c>
      <c r="M385" s="11">
        <v>3</v>
      </c>
      <c r="N385" s="11" t="s">
        <v>485</v>
      </c>
      <c r="O385" s="11" t="s">
        <v>485</v>
      </c>
      <c r="P385" s="11" t="s">
        <v>174</v>
      </c>
      <c r="Q385" s="11" t="s">
        <v>460</v>
      </c>
      <c r="R385" s="1">
        <f t="shared" si="195"/>
        <v>2708708.7699999996</v>
      </c>
      <c r="S385" s="42">
        <v>2708708.7699999996</v>
      </c>
      <c r="T385" s="37">
        <v>0</v>
      </c>
      <c r="U385" s="1">
        <f t="shared" si="196"/>
        <v>414273.09</v>
      </c>
      <c r="V385" s="42">
        <v>414273.09</v>
      </c>
      <c r="W385" s="87">
        <v>0</v>
      </c>
      <c r="X385" s="1">
        <f t="shared" si="197"/>
        <v>63734.330000000009</v>
      </c>
      <c r="Y385" s="30">
        <v>63734.330000000009</v>
      </c>
      <c r="Z385" s="30">
        <v>0</v>
      </c>
      <c r="AA385" s="2">
        <f t="shared" si="198"/>
        <v>0</v>
      </c>
      <c r="AB385" s="51">
        <v>0</v>
      </c>
      <c r="AC385" s="51">
        <v>0</v>
      </c>
      <c r="AD385" s="16">
        <f t="shared" si="158"/>
        <v>3186716.1899999995</v>
      </c>
      <c r="AE385" s="35">
        <v>0</v>
      </c>
      <c r="AF385" s="2">
        <f t="shared" si="199"/>
        <v>3186716.1899999995</v>
      </c>
      <c r="AG385" s="38" t="s">
        <v>857</v>
      </c>
      <c r="AH385" s="38" t="s">
        <v>1976</v>
      </c>
      <c r="AI385" s="30">
        <f>120014.5+245371.24+182109.1+377395.53+998748.05</f>
        <v>1923638.42</v>
      </c>
      <c r="AJ385" s="30">
        <f>18355.16+37527.36+27851.98+57719.33+152749.68</f>
        <v>294203.51</v>
      </c>
    </row>
    <row r="386" spans="1:36" s="179" customFormat="1" ht="189" x14ac:dyDescent="0.25">
      <c r="A386" s="6">
        <v>383</v>
      </c>
      <c r="B386" s="31">
        <v>152016</v>
      </c>
      <c r="C386" s="11">
        <v>1117</v>
      </c>
      <c r="D386" s="9" t="s">
        <v>1639</v>
      </c>
      <c r="E386" s="24" t="s">
        <v>1801</v>
      </c>
      <c r="F386" s="11" t="s">
        <v>1960</v>
      </c>
      <c r="G386" s="11" t="s">
        <v>1961</v>
      </c>
      <c r="H386" s="11" t="s">
        <v>1924</v>
      </c>
      <c r="I386" s="12" t="s">
        <v>2820</v>
      </c>
      <c r="J386" s="25">
        <v>44557</v>
      </c>
      <c r="K386" s="25">
        <v>45012</v>
      </c>
      <c r="L386" s="26">
        <f t="shared" si="194"/>
        <v>84.999998493392624</v>
      </c>
      <c r="M386" s="11">
        <v>3</v>
      </c>
      <c r="N386" s="11" t="s">
        <v>485</v>
      </c>
      <c r="O386" s="11" t="s">
        <v>485</v>
      </c>
      <c r="P386" s="11" t="s">
        <v>174</v>
      </c>
      <c r="Q386" s="11" t="s">
        <v>460</v>
      </c>
      <c r="R386" s="1">
        <f t="shared" si="195"/>
        <v>338508.89</v>
      </c>
      <c r="S386" s="42">
        <v>338508.89</v>
      </c>
      <c r="T386" s="37">
        <v>0</v>
      </c>
      <c r="U386" s="1">
        <f t="shared" si="196"/>
        <v>44163.43</v>
      </c>
      <c r="V386" s="42">
        <v>44163.43</v>
      </c>
      <c r="W386" s="87">
        <v>0</v>
      </c>
      <c r="X386" s="1">
        <f t="shared" si="197"/>
        <v>15573.44</v>
      </c>
      <c r="Y386" s="30">
        <v>15573.44</v>
      </c>
      <c r="Z386" s="30">
        <v>0</v>
      </c>
      <c r="AA386" s="2">
        <f t="shared" si="198"/>
        <v>0</v>
      </c>
      <c r="AB386" s="51">
        <v>0</v>
      </c>
      <c r="AC386" s="51">
        <v>0</v>
      </c>
      <c r="AD386" s="16">
        <f t="shared" si="158"/>
        <v>398245.76</v>
      </c>
      <c r="AE386" s="35">
        <v>0</v>
      </c>
      <c r="AF386" s="2">
        <f t="shared" si="199"/>
        <v>398245.76</v>
      </c>
      <c r="AG386" s="38" t="s">
        <v>486</v>
      </c>
      <c r="AH386" s="38"/>
      <c r="AI386" s="30">
        <v>39080.11</v>
      </c>
      <c r="AJ386" s="30">
        <v>5976.96</v>
      </c>
    </row>
    <row r="387" spans="1:36" s="179" customFormat="1" ht="141.75" x14ac:dyDescent="0.25">
      <c r="A387" s="6">
        <v>384</v>
      </c>
      <c r="B387" s="31">
        <v>154669</v>
      </c>
      <c r="C387" s="11">
        <v>1165</v>
      </c>
      <c r="D387" s="9" t="s">
        <v>1638</v>
      </c>
      <c r="E387" s="24" t="s">
        <v>2014</v>
      </c>
      <c r="F387" s="11" t="s">
        <v>2012</v>
      </c>
      <c r="G387" s="11" t="s">
        <v>2011</v>
      </c>
      <c r="H387" s="8" t="s">
        <v>151</v>
      </c>
      <c r="I387" s="12" t="s">
        <v>2015</v>
      </c>
      <c r="J387" s="25">
        <v>44637</v>
      </c>
      <c r="K387" s="25">
        <v>45124</v>
      </c>
      <c r="L387" s="26">
        <f t="shared" si="194"/>
        <v>85</v>
      </c>
      <c r="M387" s="11">
        <v>3</v>
      </c>
      <c r="N387" s="11" t="s">
        <v>485</v>
      </c>
      <c r="O387" s="11" t="s">
        <v>2013</v>
      </c>
      <c r="P387" s="11" t="s">
        <v>174</v>
      </c>
      <c r="Q387" s="11" t="s">
        <v>460</v>
      </c>
      <c r="R387" s="1">
        <f t="shared" si="195"/>
        <v>1254107</v>
      </c>
      <c r="S387" s="42">
        <v>1254107</v>
      </c>
      <c r="T387" s="37">
        <v>0</v>
      </c>
      <c r="U387" s="1">
        <f t="shared" si="196"/>
        <v>191804.6</v>
      </c>
      <c r="V387" s="42">
        <v>191804.6</v>
      </c>
      <c r="W387" s="87">
        <v>0</v>
      </c>
      <c r="X387" s="1">
        <f t="shared" si="197"/>
        <v>29508.400000000001</v>
      </c>
      <c r="Y387" s="30">
        <v>29508.400000000001</v>
      </c>
      <c r="Z387" s="30">
        <v>0</v>
      </c>
      <c r="AA387" s="2">
        <f t="shared" si="198"/>
        <v>0</v>
      </c>
      <c r="AB387" s="51">
        <v>0</v>
      </c>
      <c r="AC387" s="51">
        <v>0</v>
      </c>
      <c r="AD387" s="16">
        <f t="shared" si="158"/>
        <v>1475420</v>
      </c>
      <c r="AE387" s="35">
        <v>0</v>
      </c>
      <c r="AF387" s="2">
        <f t="shared" si="199"/>
        <v>1475420</v>
      </c>
      <c r="AG387" s="38" t="s">
        <v>486</v>
      </c>
      <c r="AH387" s="38"/>
      <c r="AI387" s="30">
        <f>145000-15358.95</f>
        <v>129641.05</v>
      </c>
      <c r="AJ387" s="30">
        <f>15358.95</f>
        <v>15358.95</v>
      </c>
    </row>
    <row r="388" spans="1:36" s="179" customFormat="1" ht="141.75" x14ac:dyDescent="0.25">
      <c r="A388" s="6">
        <v>385</v>
      </c>
      <c r="B388" s="31">
        <v>154744</v>
      </c>
      <c r="C388" s="11">
        <v>1168</v>
      </c>
      <c r="D388" s="9" t="s">
        <v>1638</v>
      </c>
      <c r="E388" s="24" t="s">
        <v>2014</v>
      </c>
      <c r="F388" s="11" t="s">
        <v>2017</v>
      </c>
      <c r="G388" s="11" t="s">
        <v>2016</v>
      </c>
      <c r="H388" s="8" t="s">
        <v>151</v>
      </c>
      <c r="I388" s="12" t="s">
        <v>2821</v>
      </c>
      <c r="J388" s="25">
        <v>44637</v>
      </c>
      <c r="K388" s="25">
        <v>45124</v>
      </c>
      <c r="L388" s="26">
        <f t="shared" si="194"/>
        <v>85</v>
      </c>
      <c r="M388" s="11">
        <v>3</v>
      </c>
      <c r="N388" s="11" t="s">
        <v>485</v>
      </c>
      <c r="O388" s="11" t="s">
        <v>2018</v>
      </c>
      <c r="P388" s="11" t="s">
        <v>174</v>
      </c>
      <c r="Q388" s="11" t="s">
        <v>460</v>
      </c>
      <c r="R388" s="1">
        <f t="shared" si="195"/>
        <v>1254107</v>
      </c>
      <c r="S388" s="42">
        <v>1254107</v>
      </c>
      <c r="T388" s="37">
        <v>0</v>
      </c>
      <c r="U388" s="1">
        <f t="shared" si="196"/>
        <v>191804.6</v>
      </c>
      <c r="V388" s="42">
        <v>191804.6</v>
      </c>
      <c r="W388" s="87">
        <v>0</v>
      </c>
      <c r="X388" s="1">
        <f t="shared" si="197"/>
        <v>29508.400000000001</v>
      </c>
      <c r="Y388" s="30">
        <v>29508.400000000001</v>
      </c>
      <c r="Z388" s="30">
        <v>0</v>
      </c>
      <c r="AA388" s="2">
        <f t="shared" si="198"/>
        <v>0</v>
      </c>
      <c r="AB388" s="51">
        <v>0</v>
      </c>
      <c r="AC388" s="51">
        <v>0</v>
      </c>
      <c r="AD388" s="16">
        <f t="shared" si="158"/>
        <v>1475420</v>
      </c>
      <c r="AE388" s="35">
        <v>0</v>
      </c>
      <c r="AF388" s="2">
        <f t="shared" si="199"/>
        <v>1475420</v>
      </c>
      <c r="AG388" s="38" t="s">
        <v>486</v>
      </c>
      <c r="AH388" s="38"/>
      <c r="AI388" s="30">
        <v>145000</v>
      </c>
      <c r="AJ388" s="30">
        <v>0</v>
      </c>
    </row>
    <row r="389" spans="1:36" s="179" customFormat="1" ht="141.75" x14ac:dyDescent="0.25">
      <c r="A389" s="6">
        <v>386</v>
      </c>
      <c r="B389" s="31">
        <v>154668</v>
      </c>
      <c r="C389" s="11">
        <v>1180</v>
      </c>
      <c r="D389" s="9" t="s">
        <v>1638</v>
      </c>
      <c r="E389" s="24" t="s">
        <v>2014</v>
      </c>
      <c r="F389" s="11" t="s">
        <v>2023</v>
      </c>
      <c r="G389" s="11" t="s">
        <v>2022</v>
      </c>
      <c r="H389" s="8" t="s">
        <v>151</v>
      </c>
      <c r="I389" s="12" t="s">
        <v>2822</v>
      </c>
      <c r="J389" s="25">
        <v>44637</v>
      </c>
      <c r="K389" s="25">
        <v>45124</v>
      </c>
      <c r="L389" s="26">
        <f t="shared" si="194"/>
        <v>85</v>
      </c>
      <c r="M389" s="11">
        <v>3</v>
      </c>
      <c r="N389" s="11" t="s">
        <v>485</v>
      </c>
      <c r="O389" s="11" t="s">
        <v>2024</v>
      </c>
      <c r="P389" s="11" t="s">
        <v>174</v>
      </c>
      <c r="Q389" s="11" t="s">
        <v>460</v>
      </c>
      <c r="R389" s="1">
        <f t="shared" si="195"/>
        <v>1254107</v>
      </c>
      <c r="S389" s="42">
        <v>1254107</v>
      </c>
      <c r="T389" s="37">
        <v>0</v>
      </c>
      <c r="U389" s="1">
        <f t="shared" si="196"/>
        <v>191804.6</v>
      </c>
      <c r="V389" s="42">
        <v>191804.6</v>
      </c>
      <c r="W389" s="87">
        <v>0</v>
      </c>
      <c r="X389" s="1">
        <f t="shared" si="197"/>
        <v>29508.400000000001</v>
      </c>
      <c r="Y389" s="30">
        <v>29508.400000000001</v>
      </c>
      <c r="Z389" s="30">
        <v>0</v>
      </c>
      <c r="AA389" s="2">
        <f t="shared" si="198"/>
        <v>0</v>
      </c>
      <c r="AB389" s="51">
        <v>0</v>
      </c>
      <c r="AC389" s="51">
        <v>0</v>
      </c>
      <c r="AD389" s="16">
        <f t="shared" ref="AD389:AD452" si="200">R389+U389+X389+AA389</f>
        <v>1475420</v>
      </c>
      <c r="AE389" s="35">
        <v>0</v>
      </c>
      <c r="AF389" s="2">
        <f t="shared" si="199"/>
        <v>1475420</v>
      </c>
      <c r="AG389" s="38" t="s">
        <v>486</v>
      </c>
      <c r="AH389" s="38"/>
      <c r="AI389" s="30">
        <f>145000-10895.62</f>
        <v>134104.38</v>
      </c>
      <c r="AJ389" s="30">
        <f>10895.62</f>
        <v>10895.62</v>
      </c>
    </row>
    <row r="390" spans="1:36" s="179" customFormat="1" ht="141.75" x14ac:dyDescent="0.25">
      <c r="A390" s="6">
        <v>387</v>
      </c>
      <c r="B390" s="31">
        <v>154762</v>
      </c>
      <c r="C390" s="11">
        <v>1181</v>
      </c>
      <c r="D390" s="9" t="s">
        <v>1638</v>
      </c>
      <c r="E390" s="24" t="s">
        <v>2014</v>
      </c>
      <c r="F390" s="11" t="s">
        <v>2026</v>
      </c>
      <c r="G390" s="11" t="s">
        <v>2025</v>
      </c>
      <c r="H390" s="8" t="s">
        <v>151</v>
      </c>
      <c r="I390" s="12" t="s">
        <v>2823</v>
      </c>
      <c r="J390" s="25">
        <v>44637</v>
      </c>
      <c r="K390" s="25">
        <v>45124</v>
      </c>
      <c r="L390" s="26">
        <f t="shared" si="194"/>
        <v>85</v>
      </c>
      <c r="M390" s="11">
        <v>3</v>
      </c>
      <c r="N390" s="11" t="s">
        <v>485</v>
      </c>
      <c r="O390" s="11" t="s">
        <v>2027</v>
      </c>
      <c r="P390" s="11" t="s">
        <v>174</v>
      </c>
      <c r="Q390" s="11" t="s">
        <v>460</v>
      </c>
      <c r="R390" s="1">
        <f t="shared" si="195"/>
        <v>1254107</v>
      </c>
      <c r="S390" s="42">
        <v>1254107</v>
      </c>
      <c r="T390" s="37">
        <v>0</v>
      </c>
      <c r="U390" s="1">
        <f t="shared" si="196"/>
        <v>191804.6</v>
      </c>
      <c r="V390" s="42">
        <v>191804.6</v>
      </c>
      <c r="W390" s="87">
        <v>0</v>
      </c>
      <c r="X390" s="1">
        <f t="shared" si="197"/>
        <v>29508.400000000001</v>
      </c>
      <c r="Y390" s="30">
        <v>29508.400000000001</v>
      </c>
      <c r="Z390" s="30">
        <v>0</v>
      </c>
      <c r="AA390" s="2">
        <f t="shared" si="198"/>
        <v>0</v>
      </c>
      <c r="AB390" s="51">
        <v>0</v>
      </c>
      <c r="AC390" s="51">
        <v>0</v>
      </c>
      <c r="AD390" s="16">
        <f t="shared" si="200"/>
        <v>1475420</v>
      </c>
      <c r="AE390" s="35">
        <v>0</v>
      </c>
      <c r="AF390" s="2">
        <f t="shared" si="199"/>
        <v>1475420</v>
      </c>
      <c r="AG390" s="38" t="s">
        <v>486</v>
      </c>
      <c r="AH390" s="38"/>
      <c r="AI390" s="30">
        <v>145000</v>
      </c>
      <c r="AJ390" s="30">
        <v>0</v>
      </c>
    </row>
    <row r="391" spans="1:36" s="179" customFormat="1" ht="141.75" x14ac:dyDescent="0.25">
      <c r="A391" s="6">
        <v>388</v>
      </c>
      <c r="B391" s="31">
        <v>154757</v>
      </c>
      <c r="C391" s="11">
        <v>1188</v>
      </c>
      <c r="D391" s="9" t="s">
        <v>1638</v>
      </c>
      <c r="E391" s="24" t="s">
        <v>2014</v>
      </c>
      <c r="F391" s="11" t="s">
        <v>2029</v>
      </c>
      <c r="G391" s="11" t="s">
        <v>2028</v>
      </c>
      <c r="H391" s="8" t="s">
        <v>151</v>
      </c>
      <c r="I391" s="12" t="s">
        <v>2824</v>
      </c>
      <c r="J391" s="25">
        <v>44637</v>
      </c>
      <c r="K391" s="25">
        <v>45124</v>
      </c>
      <c r="L391" s="26">
        <f t="shared" si="194"/>
        <v>85</v>
      </c>
      <c r="M391" s="11">
        <v>3</v>
      </c>
      <c r="N391" s="11" t="s">
        <v>485</v>
      </c>
      <c r="O391" s="11" t="s">
        <v>2030</v>
      </c>
      <c r="P391" s="11" t="s">
        <v>174</v>
      </c>
      <c r="Q391" s="11" t="s">
        <v>460</v>
      </c>
      <c r="R391" s="1">
        <f t="shared" si="195"/>
        <v>1254107</v>
      </c>
      <c r="S391" s="42">
        <v>1254107</v>
      </c>
      <c r="T391" s="37">
        <v>0</v>
      </c>
      <c r="U391" s="1">
        <f t="shared" si="196"/>
        <v>191804.6</v>
      </c>
      <c r="V391" s="42">
        <v>191804.6</v>
      </c>
      <c r="W391" s="87">
        <v>0</v>
      </c>
      <c r="X391" s="1">
        <f t="shared" si="197"/>
        <v>29508.400000000001</v>
      </c>
      <c r="Y391" s="30">
        <v>29508.400000000001</v>
      </c>
      <c r="Z391" s="30">
        <v>0</v>
      </c>
      <c r="AA391" s="2">
        <f t="shared" si="198"/>
        <v>0</v>
      </c>
      <c r="AB391" s="51">
        <v>0</v>
      </c>
      <c r="AC391" s="51">
        <v>0</v>
      </c>
      <c r="AD391" s="16">
        <f t="shared" si="200"/>
        <v>1475420</v>
      </c>
      <c r="AE391" s="35">
        <v>0</v>
      </c>
      <c r="AF391" s="2">
        <f t="shared" si="199"/>
        <v>1475420</v>
      </c>
      <c r="AG391" s="38" t="s">
        <v>486</v>
      </c>
      <c r="AH391" s="38"/>
      <c r="AI391" s="30">
        <f>145000-10635.56</f>
        <v>134364.44</v>
      </c>
      <c r="AJ391" s="30">
        <f>10635.56</f>
        <v>10635.56</v>
      </c>
    </row>
    <row r="392" spans="1:36" s="179" customFormat="1" ht="157.5" x14ac:dyDescent="0.25">
      <c r="A392" s="6">
        <v>389</v>
      </c>
      <c r="B392" s="31">
        <v>154664</v>
      </c>
      <c r="C392" s="11">
        <v>1171</v>
      </c>
      <c r="D392" s="9" t="s">
        <v>1638</v>
      </c>
      <c r="E392" s="24" t="s">
        <v>2014</v>
      </c>
      <c r="F392" s="11" t="s">
        <v>2033</v>
      </c>
      <c r="G392" s="11" t="s">
        <v>2032</v>
      </c>
      <c r="H392" s="8" t="s">
        <v>151</v>
      </c>
      <c r="I392" s="12" t="s">
        <v>2037</v>
      </c>
      <c r="J392" s="25">
        <v>44641</v>
      </c>
      <c r="K392" s="25">
        <v>45128</v>
      </c>
      <c r="L392" s="26">
        <f t="shared" si="194"/>
        <v>85</v>
      </c>
      <c r="M392" s="11">
        <v>3</v>
      </c>
      <c r="N392" s="11" t="s">
        <v>485</v>
      </c>
      <c r="O392" s="11" t="s">
        <v>2034</v>
      </c>
      <c r="P392" s="11" t="s">
        <v>174</v>
      </c>
      <c r="Q392" s="11" t="s">
        <v>460</v>
      </c>
      <c r="R392" s="1">
        <f t="shared" si="195"/>
        <v>1254107</v>
      </c>
      <c r="S392" s="42">
        <v>1254107</v>
      </c>
      <c r="T392" s="37">
        <v>0</v>
      </c>
      <c r="U392" s="1">
        <f t="shared" si="196"/>
        <v>191804.6</v>
      </c>
      <c r="V392" s="42">
        <v>191804.6</v>
      </c>
      <c r="W392" s="87">
        <v>0</v>
      </c>
      <c r="X392" s="1">
        <f t="shared" si="197"/>
        <v>29508.400000000001</v>
      </c>
      <c r="Y392" s="30">
        <v>29508.400000000001</v>
      </c>
      <c r="Z392" s="30">
        <v>0</v>
      </c>
      <c r="AA392" s="2">
        <f t="shared" si="198"/>
        <v>0</v>
      </c>
      <c r="AB392" s="51">
        <v>0</v>
      </c>
      <c r="AC392" s="51">
        <v>0</v>
      </c>
      <c r="AD392" s="16">
        <f t="shared" si="200"/>
        <v>1475420</v>
      </c>
      <c r="AE392" s="35">
        <v>0</v>
      </c>
      <c r="AF392" s="2">
        <f t="shared" si="199"/>
        <v>1475420</v>
      </c>
      <c r="AG392" s="38" t="s">
        <v>486</v>
      </c>
      <c r="AH392" s="38"/>
      <c r="AI392" s="30">
        <v>145000</v>
      </c>
      <c r="AJ392" s="30">
        <v>0</v>
      </c>
    </row>
    <row r="393" spans="1:36" s="179" customFormat="1" ht="141.75" x14ac:dyDescent="0.25">
      <c r="A393" s="6">
        <v>390</v>
      </c>
      <c r="B393" s="31">
        <v>154716</v>
      </c>
      <c r="C393" s="11">
        <v>1172</v>
      </c>
      <c r="D393" s="9" t="s">
        <v>1638</v>
      </c>
      <c r="E393" s="24" t="s">
        <v>2014</v>
      </c>
      <c r="F393" s="11" t="s">
        <v>2036</v>
      </c>
      <c r="G393" s="11" t="s">
        <v>2035</v>
      </c>
      <c r="H393" s="8" t="s">
        <v>151</v>
      </c>
      <c r="I393" s="12" t="s">
        <v>2825</v>
      </c>
      <c r="J393" s="25">
        <v>44642</v>
      </c>
      <c r="K393" s="25">
        <v>45129</v>
      </c>
      <c r="L393" s="26">
        <f t="shared" si="194"/>
        <v>85</v>
      </c>
      <c r="M393" s="11">
        <v>3</v>
      </c>
      <c r="N393" s="11" t="s">
        <v>485</v>
      </c>
      <c r="O393" s="11" t="s">
        <v>2038</v>
      </c>
      <c r="P393" s="11" t="s">
        <v>174</v>
      </c>
      <c r="Q393" s="11" t="s">
        <v>460</v>
      </c>
      <c r="R393" s="1">
        <f t="shared" si="195"/>
        <v>1254107</v>
      </c>
      <c r="S393" s="42">
        <v>1254107</v>
      </c>
      <c r="T393" s="37">
        <v>0</v>
      </c>
      <c r="U393" s="1">
        <f t="shared" si="196"/>
        <v>191804.6</v>
      </c>
      <c r="V393" s="42">
        <v>191804.6</v>
      </c>
      <c r="W393" s="87">
        <v>0</v>
      </c>
      <c r="X393" s="1">
        <f t="shared" si="197"/>
        <v>29508.400000000001</v>
      </c>
      <c r="Y393" s="30">
        <v>29508.400000000001</v>
      </c>
      <c r="Z393" s="30">
        <v>0</v>
      </c>
      <c r="AA393" s="2">
        <f t="shared" si="198"/>
        <v>0</v>
      </c>
      <c r="AB393" s="51">
        <v>0</v>
      </c>
      <c r="AC393" s="51">
        <v>0</v>
      </c>
      <c r="AD393" s="16">
        <f t="shared" si="200"/>
        <v>1475420</v>
      </c>
      <c r="AE393" s="35">
        <v>0</v>
      </c>
      <c r="AF393" s="2">
        <f t="shared" si="199"/>
        <v>1475420</v>
      </c>
      <c r="AG393" s="38" t="s">
        <v>486</v>
      </c>
      <c r="AH393" s="38"/>
      <c r="AI393" s="30">
        <f>145000-11351.32</f>
        <v>133648.68</v>
      </c>
      <c r="AJ393" s="30">
        <f>11351.32</f>
        <v>11351.32</v>
      </c>
    </row>
    <row r="394" spans="1:36" s="179" customFormat="1" ht="141.75" x14ac:dyDescent="0.25">
      <c r="A394" s="6">
        <v>391</v>
      </c>
      <c r="B394" s="31">
        <v>154750</v>
      </c>
      <c r="C394" s="11">
        <v>1174</v>
      </c>
      <c r="D394" s="9" t="s">
        <v>1638</v>
      </c>
      <c r="E394" s="24" t="s">
        <v>2014</v>
      </c>
      <c r="F394" s="11" t="s">
        <v>2040</v>
      </c>
      <c r="G394" s="11" t="s">
        <v>2039</v>
      </c>
      <c r="H394" s="8" t="s">
        <v>151</v>
      </c>
      <c r="I394" s="12" t="s">
        <v>2826</v>
      </c>
      <c r="J394" s="25">
        <v>44642</v>
      </c>
      <c r="K394" s="25">
        <v>45129</v>
      </c>
      <c r="L394" s="26">
        <f t="shared" si="194"/>
        <v>85</v>
      </c>
      <c r="M394" s="11">
        <v>3</v>
      </c>
      <c r="N394" s="11" t="s">
        <v>485</v>
      </c>
      <c r="O394" s="11" t="s">
        <v>2041</v>
      </c>
      <c r="P394" s="11" t="s">
        <v>174</v>
      </c>
      <c r="Q394" s="11" t="s">
        <v>460</v>
      </c>
      <c r="R394" s="1">
        <f t="shared" si="195"/>
        <v>1254107</v>
      </c>
      <c r="S394" s="42">
        <v>1254107</v>
      </c>
      <c r="T394" s="37">
        <v>0</v>
      </c>
      <c r="U394" s="1">
        <f t="shared" si="196"/>
        <v>191804.6</v>
      </c>
      <c r="V394" s="42">
        <v>191804.6</v>
      </c>
      <c r="W394" s="87">
        <v>0</v>
      </c>
      <c r="X394" s="1">
        <f t="shared" si="197"/>
        <v>29508.400000000001</v>
      </c>
      <c r="Y394" s="30">
        <v>29508.400000000001</v>
      </c>
      <c r="Z394" s="30">
        <v>0</v>
      </c>
      <c r="AA394" s="2">
        <f t="shared" si="198"/>
        <v>0</v>
      </c>
      <c r="AB394" s="51">
        <v>0</v>
      </c>
      <c r="AC394" s="51">
        <v>0</v>
      </c>
      <c r="AD394" s="16">
        <f t="shared" si="200"/>
        <v>1475420</v>
      </c>
      <c r="AE394" s="35">
        <v>0</v>
      </c>
      <c r="AF394" s="2">
        <f t="shared" si="199"/>
        <v>1475420</v>
      </c>
      <c r="AG394" s="38" t="s">
        <v>486</v>
      </c>
      <c r="AH394" s="38"/>
      <c r="AI394" s="30">
        <v>145000</v>
      </c>
      <c r="AJ394" s="30">
        <v>0</v>
      </c>
    </row>
    <row r="395" spans="1:36" s="179" customFormat="1" ht="141.75" x14ac:dyDescent="0.25">
      <c r="A395" s="6">
        <v>392</v>
      </c>
      <c r="B395" s="31">
        <v>154674</v>
      </c>
      <c r="C395" s="11">
        <v>1184</v>
      </c>
      <c r="D395" s="9" t="s">
        <v>1638</v>
      </c>
      <c r="E395" s="24" t="s">
        <v>2014</v>
      </c>
      <c r="F395" s="11" t="s">
        <v>2043</v>
      </c>
      <c r="G395" s="11" t="s">
        <v>2042</v>
      </c>
      <c r="H395" s="8" t="s">
        <v>151</v>
      </c>
      <c r="I395" s="12" t="s">
        <v>2827</v>
      </c>
      <c r="J395" s="25">
        <v>44641</v>
      </c>
      <c r="K395" s="25">
        <v>45128</v>
      </c>
      <c r="L395" s="26">
        <f t="shared" si="194"/>
        <v>85</v>
      </c>
      <c r="M395" s="11">
        <v>3</v>
      </c>
      <c r="N395" s="11" t="s">
        <v>485</v>
      </c>
      <c r="O395" s="11" t="s">
        <v>2044</v>
      </c>
      <c r="P395" s="11" t="s">
        <v>174</v>
      </c>
      <c r="Q395" s="11" t="s">
        <v>460</v>
      </c>
      <c r="R395" s="1">
        <f t="shared" si="195"/>
        <v>1254107</v>
      </c>
      <c r="S395" s="42">
        <v>1254107</v>
      </c>
      <c r="T395" s="37">
        <v>0</v>
      </c>
      <c r="U395" s="1">
        <f t="shared" si="196"/>
        <v>191804.6</v>
      </c>
      <c r="V395" s="42">
        <v>191804.6</v>
      </c>
      <c r="W395" s="87">
        <v>0</v>
      </c>
      <c r="X395" s="1">
        <f t="shared" si="197"/>
        <v>29508.400000000001</v>
      </c>
      <c r="Y395" s="30">
        <v>29508.400000000001</v>
      </c>
      <c r="Z395" s="30">
        <v>0</v>
      </c>
      <c r="AA395" s="2">
        <f t="shared" si="198"/>
        <v>0</v>
      </c>
      <c r="AB395" s="51">
        <v>0</v>
      </c>
      <c r="AC395" s="51">
        <v>0</v>
      </c>
      <c r="AD395" s="16">
        <f t="shared" si="200"/>
        <v>1475420</v>
      </c>
      <c r="AE395" s="35">
        <v>0</v>
      </c>
      <c r="AF395" s="2">
        <f t="shared" si="199"/>
        <v>1475420</v>
      </c>
      <c r="AG395" s="38" t="s">
        <v>486</v>
      </c>
      <c r="AH395" s="38"/>
      <c r="AI395" s="30">
        <v>145000</v>
      </c>
      <c r="AJ395" s="30">
        <v>0</v>
      </c>
    </row>
    <row r="396" spans="1:36" s="179" customFormat="1" ht="141.75" x14ac:dyDescent="0.25">
      <c r="A396" s="6">
        <v>393</v>
      </c>
      <c r="B396" s="31">
        <v>154670</v>
      </c>
      <c r="C396" s="11">
        <v>1179</v>
      </c>
      <c r="D396" s="9" t="s">
        <v>1638</v>
      </c>
      <c r="E396" s="24" t="s">
        <v>2014</v>
      </c>
      <c r="F396" s="11" t="s">
        <v>2049</v>
      </c>
      <c r="G396" s="11" t="s">
        <v>2048</v>
      </c>
      <c r="H396" s="8" t="s">
        <v>151</v>
      </c>
      <c r="I396" s="12" t="s">
        <v>2828</v>
      </c>
      <c r="J396" s="25">
        <v>44643</v>
      </c>
      <c r="K396" s="25">
        <v>45130</v>
      </c>
      <c r="L396" s="26">
        <f t="shared" si="194"/>
        <v>85</v>
      </c>
      <c r="M396" s="11">
        <v>3</v>
      </c>
      <c r="N396" s="11" t="s">
        <v>485</v>
      </c>
      <c r="O396" s="11" t="s">
        <v>2050</v>
      </c>
      <c r="P396" s="11" t="s">
        <v>174</v>
      </c>
      <c r="Q396" s="11" t="s">
        <v>460</v>
      </c>
      <c r="R396" s="1">
        <f t="shared" si="195"/>
        <v>1254107</v>
      </c>
      <c r="S396" s="42">
        <v>1254107</v>
      </c>
      <c r="T396" s="37">
        <v>0</v>
      </c>
      <c r="U396" s="1">
        <f t="shared" si="196"/>
        <v>191804.6</v>
      </c>
      <c r="V396" s="42">
        <v>191804.6</v>
      </c>
      <c r="W396" s="87">
        <v>0</v>
      </c>
      <c r="X396" s="1">
        <f t="shared" si="197"/>
        <v>29508.400000000001</v>
      </c>
      <c r="Y396" s="30">
        <v>29508.400000000001</v>
      </c>
      <c r="Z396" s="30">
        <v>0</v>
      </c>
      <c r="AA396" s="2">
        <f t="shared" si="198"/>
        <v>0</v>
      </c>
      <c r="AB396" s="51">
        <v>0</v>
      </c>
      <c r="AC396" s="51">
        <v>0</v>
      </c>
      <c r="AD396" s="16">
        <f t="shared" si="200"/>
        <v>1475420</v>
      </c>
      <c r="AE396" s="35">
        <v>0</v>
      </c>
      <c r="AF396" s="2">
        <f t="shared" si="199"/>
        <v>1475420</v>
      </c>
      <c r="AG396" s="38" t="s">
        <v>486</v>
      </c>
      <c r="AH396" s="38"/>
      <c r="AI396" s="30">
        <v>145000</v>
      </c>
      <c r="AJ396" s="30">
        <v>0</v>
      </c>
    </row>
    <row r="397" spans="1:36" s="179" customFormat="1" ht="141.75" x14ac:dyDescent="0.25">
      <c r="A397" s="6">
        <v>394</v>
      </c>
      <c r="B397" s="31">
        <v>154671</v>
      </c>
      <c r="C397" s="11">
        <v>1176</v>
      </c>
      <c r="D397" s="9" t="s">
        <v>1638</v>
      </c>
      <c r="E397" s="24" t="s">
        <v>2014</v>
      </c>
      <c r="F397" s="11" t="s">
        <v>2052</v>
      </c>
      <c r="G397" s="11" t="s">
        <v>2051</v>
      </c>
      <c r="H397" s="8" t="s">
        <v>151</v>
      </c>
      <c r="I397" s="12" t="s">
        <v>2829</v>
      </c>
      <c r="J397" s="25">
        <v>44645</v>
      </c>
      <c r="K397" s="25">
        <v>45132</v>
      </c>
      <c r="L397" s="26">
        <f t="shared" si="194"/>
        <v>85</v>
      </c>
      <c r="M397" s="11">
        <v>3</v>
      </c>
      <c r="N397" s="11" t="s">
        <v>485</v>
      </c>
      <c r="O397" s="11" t="s">
        <v>2053</v>
      </c>
      <c r="P397" s="11" t="s">
        <v>174</v>
      </c>
      <c r="Q397" s="11" t="s">
        <v>460</v>
      </c>
      <c r="R397" s="1">
        <f t="shared" si="195"/>
        <v>1254107</v>
      </c>
      <c r="S397" s="42">
        <v>1254107</v>
      </c>
      <c r="T397" s="37">
        <v>0</v>
      </c>
      <c r="U397" s="1">
        <f t="shared" si="196"/>
        <v>191804.6</v>
      </c>
      <c r="V397" s="42">
        <v>191804.6</v>
      </c>
      <c r="W397" s="87">
        <v>0</v>
      </c>
      <c r="X397" s="1">
        <f t="shared" si="197"/>
        <v>29508.400000000001</v>
      </c>
      <c r="Y397" s="30">
        <v>29508.400000000001</v>
      </c>
      <c r="Z397" s="30">
        <v>0</v>
      </c>
      <c r="AA397" s="2">
        <f t="shared" si="198"/>
        <v>0</v>
      </c>
      <c r="AB397" s="51">
        <v>0</v>
      </c>
      <c r="AC397" s="51">
        <v>0</v>
      </c>
      <c r="AD397" s="16">
        <f t="shared" si="200"/>
        <v>1475420</v>
      </c>
      <c r="AE397" s="35">
        <v>0</v>
      </c>
      <c r="AF397" s="2">
        <f t="shared" si="199"/>
        <v>1475420</v>
      </c>
      <c r="AG397" s="38" t="s">
        <v>486</v>
      </c>
      <c r="AH397" s="38"/>
      <c r="AI397" s="30">
        <v>145000</v>
      </c>
      <c r="AJ397" s="30">
        <v>0</v>
      </c>
    </row>
    <row r="398" spans="1:36" s="179" customFormat="1" ht="141.75" x14ac:dyDescent="0.25">
      <c r="A398" s="6">
        <v>395</v>
      </c>
      <c r="B398" s="31">
        <v>154806</v>
      </c>
      <c r="C398" s="11">
        <v>1173</v>
      </c>
      <c r="D398" s="9" t="s">
        <v>1638</v>
      </c>
      <c r="E398" s="24" t="s">
        <v>2014</v>
      </c>
      <c r="F398" s="11" t="s">
        <v>2057</v>
      </c>
      <c r="G398" s="11" t="s">
        <v>2056</v>
      </c>
      <c r="H398" s="8" t="s">
        <v>151</v>
      </c>
      <c r="I398" s="12" t="s">
        <v>2830</v>
      </c>
      <c r="J398" s="25">
        <v>44649</v>
      </c>
      <c r="K398" s="25">
        <v>45136</v>
      </c>
      <c r="L398" s="26">
        <f t="shared" si="194"/>
        <v>85</v>
      </c>
      <c r="M398" s="11">
        <v>3</v>
      </c>
      <c r="N398" s="11" t="s">
        <v>485</v>
      </c>
      <c r="O398" s="11" t="s">
        <v>2058</v>
      </c>
      <c r="P398" s="11" t="s">
        <v>174</v>
      </c>
      <c r="Q398" s="11" t="s">
        <v>460</v>
      </c>
      <c r="R398" s="1">
        <f t="shared" si="195"/>
        <v>1254107</v>
      </c>
      <c r="S398" s="42">
        <v>1254107</v>
      </c>
      <c r="T398" s="37">
        <v>0</v>
      </c>
      <c r="U398" s="1">
        <f t="shared" si="196"/>
        <v>191804.6</v>
      </c>
      <c r="V398" s="42">
        <v>191804.6</v>
      </c>
      <c r="W398" s="87">
        <v>0</v>
      </c>
      <c r="X398" s="1">
        <f t="shared" si="197"/>
        <v>29508.400000000001</v>
      </c>
      <c r="Y398" s="30">
        <v>29508.400000000001</v>
      </c>
      <c r="Z398" s="30">
        <v>0</v>
      </c>
      <c r="AA398" s="2">
        <f t="shared" si="198"/>
        <v>0</v>
      </c>
      <c r="AB398" s="51">
        <v>0</v>
      </c>
      <c r="AC398" s="51">
        <v>0</v>
      </c>
      <c r="AD398" s="16">
        <f t="shared" si="200"/>
        <v>1475420</v>
      </c>
      <c r="AE398" s="35">
        <v>0</v>
      </c>
      <c r="AF398" s="2">
        <f t="shared" si="199"/>
        <v>1475420</v>
      </c>
      <c r="AG398" s="38" t="s">
        <v>486</v>
      </c>
      <c r="AH398" s="38"/>
      <c r="AI398" s="30">
        <v>145000</v>
      </c>
      <c r="AJ398" s="30">
        <v>0</v>
      </c>
    </row>
    <row r="399" spans="1:36" s="179" customFormat="1" ht="141.75" x14ac:dyDescent="0.25">
      <c r="A399" s="6">
        <v>396</v>
      </c>
      <c r="B399" s="31">
        <v>154688</v>
      </c>
      <c r="C399" s="31">
        <v>1175</v>
      </c>
      <c r="D399" s="9" t="s">
        <v>1638</v>
      </c>
      <c r="E399" s="24" t="s">
        <v>2014</v>
      </c>
      <c r="F399" s="11" t="s">
        <v>2070</v>
      </c>
      <c r="G399" s="31" t="s">
        <v>2069</v>
      </c>
      <c r="H399" s="8" t="s">
        <v>151</v>
      </c>
      <c r="I399" s="12" t="s">
        <v>2071</v>
      </c>
      <c r="J399" s="25">
        <v>44655</v>
      </c>
      <c r="K399" s="25">
        <v>45142</v>
      </c>
      <c r="L399" s="26">
        <f t="shared" si="194"/>
        <v>85</v>
      </c>
      <c r="M399" s="11">
        <v>3</v>
      </c>
      <c r="N399" s="11" t="s">
        <v>485</v>
      </c>
      <c r="O399" s="11" t="s">
        <v>2072</v>
      </c>
      <c r="P399" s="11" t="s">
        <v>174</v>
      </c>
      <c r="Q399" s="11" t="s">
        <v>460</v>
      </c>
      <c r="R399" s="1">
        <f t="shared" si="195"/>
        <v>1254107</v>
      </c>
      <c r="S399" s="42">
        <v>1254107</v>
      </c>
      <c r="T399" s="37">
        <v>0</v>
      </c>
      <c r="U399" s="1">
        <f t="shared" si="196"/>
        <v>191804.6</v>
      </c>
      <c r="V399" s="42">
        <v>191804.6</v>
      </c>
      <c r="W399" s="87">
        <v>0</v>
      </c>
      <c r="X399" s="1">
        <f t="shared" si="197"/>
        <v>29508.400000000001</v>
      </c>
      <c r="Y399" s="30">
        <v>29508.400000000001</v>
      </c>
      <c r="Z399" s="30">
        <v>0</v>
      </c>
      <c r="AA399" s="2">
        <f t="shared" si="198"/>
        <v>0</v>
      </c>
      <c r="AB399" s="51">
        <v>0</v>
      </c>
      <c r="AC399" s="51">
        <v>0</v>
      </c>
      <c r="AD399" s="16">
        <f t="shared" si="200"/>
        <v>1475420</v>
      </c>
      <c r="AE399" s="35">
        <v>0</v>
      </c>
      <c r="AF399" s="2">
        <f t="shared" si="199"/>
        <v>1475420</v>
      </c>
      <c r="AG399" s="38" t="s">
        <v>486</v>
      </c>
      <c r="AH399" s="38"/>
      <c r="AI399" s="30">
        <v>0</v>
      </c>
      <c r="AJ399" s="30">
        <v>0</v>
      </c>
    </row>
    <row r="400" spans="1:36" s="179" customFormat="1" ht="141.75" x14ac:dyDescent="0.25">
      <c r="A400" s="6">
        <v>397</v>
      </c>
      <c r="B400" s="31">
        <v>154597</v>
      </c>
      <c r="C400" s="31">
        <v>1195</v>
      </c>
      <c r="D400" s="9" t="s">
        <v>1638</v>
      </c>
      <c r="E400" s="24" t="s">
        <v>2014</v>
      </c>
      <c r="F400" s="11" t="s">
        <v>2076</v>
      </c>
      <c r="G400" s="31" t="s">
        <v>2075</v>
      </c>
      <c r="H400" s="8" t="s">
        <v>151</v>
      </c>
      <c r="I400" s="12" t="s">
        <v>2077</v>
      </c>
      <c r="J400" s="25">
        <v>44655</v>
      </c>
      <c r="K400" s="25">
        <v>45142</v>
      </c>
      <c r="L400" s="26">
        <f t="shared" si="194"/>
        <v>85</v>
      </c>
      <c r="M400" s="11">
        <v>3</v>
      </c>
      <c r="N400" s="11" t="s">
        <v>485</v>
      </c>
      <c r="O400" s="11" t="s">
        <v>2078</v>
      </c>
      <c r="P400" s="11" t="s">
        <v>174</v>
      </c>
      <c r="Q400" s="11" t="s">
        <v>460</v>
      </c>
      <c r="R400" s="1">
        <f t="shared" si="195"/>
        <v>2207679.5</v>
      </c>
      <c r="S400" s="42">
        <v>2207679.5</v>
      </c>
      <c r="T400" s="37">
        <v>0</v>
      </c>
      <c r="U400" s="1">
        <f t="shared" si="196"/>
        <v>337645.1</v>
      </c>
      <c r="V400" s="42">
        <v>337645.1</v>
      </c>
      <c r="W400" s="87">
        <v>0</v>
      </c>
      <c r="X400" s="1">
        <f t="shared" si="197"/>
        <v>51945.4</v>
      </c>
      <c r="Y400" s="30">
        <v>51945.4</v>
      </c>
      <c r="Z400" s="30">
        <v>0</v>
      </c>
      <c r="AA400" s="2">
        <f t="shared" si="198"/>
        <v>0</v>
      </c>
      <c r="AB400" s="51">
        <v>0</v>
      </c>
      <c r="AC400" s="51">
        <v>0</v>
      </c>
      <c r="AD400" s="16">
        <f t="shared" si="200"/>
        <v>2597270</v>
      </c>
      <c r="AE400" s="35">
        <v>0</v>
      </c>
      <c r="AF400" s="2">
        <f t="shared" si="199"/>
        <v>2597270</v>
      </c>
      <c r="AG400" s="38" t="s">
        <v>486</v>
      </c>
      <c r="AH400" s="38"/>
      <c r="AI400" s="30">
        <v>259700</v>
      </c>
      <c r="AJ400" s="30">
        <v>0</v>
      </c>
    </row>
    <row r="401" spans="1:36" s="179" customFormat="1" ht="236.25" x14ac:dyDescent="0.25">
      <c r="A401" s="6">
        <v>398</v>
      </c>
      <c r="B401" s="31">
        <v>154845</v>
      </c>
      <c r="C401" s="31">
        <v>1160</v>
      </c>
      <c r="D401" s="9" t="s">
        <v>1638</v>
      </c>
      <c r="E401" s="24" t="s">
        <v>2014</v>
      </c>
      <c r="F401" s="11" t="s">
        <v>2088</v>
      </c>
      <c r="G401" s="31" t="s">
        <v>2087</v>
      </c>
      <c r="H401" s="8" t="s">
        <v>151</v>
      </c>
      <c r="I401" s="12" t="s">
        <v>2831</v>
      </c>
      <c r="J401" s="25">
        <v>44656</v>
      </c>
      <c r="K401" s="25">
        <v>45143</v>
      </c>
      <c r="L401" s="26">
        <f t="shared" si="194"/>
        <v>85.000000305451834</v>
      </c>
      <c r="M401" s="11">
        <v>3</v>
      </c>
      <c r="N401" s="11" t="s">
        <v>485</v>
      </c>
      <c r="O401" s="11" t="s">
        <v>2089</v>
      </c>
      <c r="P401" s="11" t="s">
        <v>174</v>
      </c>
      <c r="Q401" s="11" t="s">
        <v>460</v>
      </c>
      <c r="R401" s="1">
        <f t="shared" si="195"/>
        <v>2087072.03</v>
      </c>
      <c r="S401" s="42">
        <v>2087072.03</v>
      </c>
      <c r="T401" s="37">
        <v>0</v>
      </c>
      <c r="U401" s="1">
        <f t="shared" si="196"/>
        <v>319199.24</v>
      </c>
      <c r="V401" s="42">
        <v>319199.24</v>
      </c>
      <c r="W401" s="87">
        <v>0</v>
      </c>
      <c r="X401" s="1">
        <f t="shared" si="197"/>
        <v>49107.58</v>
      </c>
      <c r="Y401" s="30">
        <v>49107.58</v>
      </c>
      <c r="Z401" s="30">
        <v>0</v>
      </c>
      <c r="AA401" s="2">
        <f t="shared" si="198"/>
        <v>0</v>
      </c>
      <c r="AB401" s="51">
        <v>0</v>
      </c>
      <c r="AC401" s="51">
        <v>0</v>
      </c>
      <c r="AD401" s="16">
        <f t="shared" si="200"/>
        <v>2455378.85</v>
      </c>
      <c r="AE401" s="35">
        <v>0</v>
      </c>
      <c r="AF401" s="2">
        <f t="shared" si="199"/>
        <v>2455378.85</v>
      </c>
      <c r="AG401" s="38" t="s">
        <v>486</v>
      </c>
      <c r="AH401" s="38"/>
      <c r="AI401" s="30">
        <v>0</v>
      </c>
      <c r="AJ401" s="30">
        <v>0</v>
      </c>
    </row>
    <row r="402" spans="1:36" s="179" customFormat="1" ht="237" customHeight="1" x14ac:dyDescent="0.25">
      <c r="A402" s="6">
        <v>399</v>
      </c>
      <c r="B402" s="31">
        <v>154353</v>
      </c>
      <c r="C402" s="31">
        <v>1164</v>
      </c>
      <c r="D402" s="9" t="s">
        <v>1638</v>
      </c>
      <c r="E402" s="24" t="s">
        <v>2014</v>
      </c>
      <c r="F402" s="11" t="s">
        <v>2092</v>
      </c>
      <c r="G402" s="31" t="s">
        <v>2090</v>
      </c>
      <c r="H402" s="8" t="s">
        <v>151</v>
      </c>
      <c r="I402" s="12" t="s">
        <v>2832</v>
      </c>
      <c r="J402" s="25">
        <v>44656</v>
      </c>
      <c r="K402" s="25">
        <v>45143</v>
      </c>
      <c r="L402" s="26">
        <f t="shared" si="194"/>
        <v>85.000000687868351</v>
      </c>
      <c r="M402" s="11">
        <v>3</v>
      </c>
      <c r="N402" s="11" t="s">
        <v>485</v>
      </c>
      <c r="O402" s="11" t="s">
        <v>2091</v>
      </c>
      <c r="P402" s="11" t="s">
        <v>174</v>
      </c>
      <c r="Q402" s="11" t="s">
        <v>460</v>
      </c>
      <c r="R402" s="1">
        <f t="shared" si="195"/>
        <v>2162477.75</v>
      </c>
      <c r="S402" s="42">
        <v>2162477.75</v>
      </c>
      <c r="T402" s="37">
        <v>0</v>
      </c>
      <c r="U402" s="1">
        <f t="shared" si="196"/>
        <v>330731.87</v>
      </c>
      <c r="V402" s="42">
        <v>330731.87</v>
      </c>
      <c r="W402" s="87">
        <v>0</v>
      </c>
      <c r="X402" s="1">
        <f t="shared" si="197"/>
        <v>50881.83</v>
      </c>
      <c r="Y402" s="30">
        <v>50881.83</v>
      </c>
      <c r="Z402" s="30">
        <v>0</v>
      </c>
      <c r="AA402" s="2">
        <f t="shared" si="198"/>
        <v>0</v>
      </c>
      <c r="AB402" s="51">
        <v>0</v>
      </c>
      <c r="AC402" s="51">
        <v>0</v>
      </c>
      <c r="AD402" s="16">
        <f t="shared" si="200"/>
        <v>2544091.4500000002</v>
      </c>
      <c r="AE402" s="35">
        <v>0</v>
      </c>
      <c r="AF402" s="2">
        <f t="shared" si="199"/>
        <v>2544091.4500000002</v>
      </c>
      <c r="AG402" s="38" t="s">
        <v>486</v>
      </c>
      <c r="AH402" s="38"/>
      <c r="AI402" s="30">
        <v>0</v>
      </c>
      <c r="AJ402" s="30">
        <v>0</v>
      </c>
    </row>
    <row r="403" spans="1:36" s="179" customFormat="1" ht="166.5" customHeight="1" x14ac:dyDescent="0.25">
      <c r="A403" s="6">
        <v>400</v>
      </c>
      <c r="B403" s="31">
        <v>154662</v>
      </c>
      <c r="C403" s="31">
        <v>1177</v>
      </c>
      <c r="D403" s="9" t="s">
        <v>1638</v>
      </c>
      <c r="E403" s="24" t="s">
        <v>2014</v>
      </c>
      <c r="F403" s="11" t="s">
        <v>2093</v>
      </c>
      <c r="G403" s="31" t="s">
        <v>2094</v>
      </c>
      <c r="H403" s="8" t="s">
        <v>151</v>
      </c>
      <c r="I403" s="12" t="s">
        <v>2833</v>
      </c>
      <c r="J403" s="25">
        <v>44657</v>
      </c>
      <c r="K403" s="25">
        <v>45144</v>
      </c>
      <c r="L403" s="26">
        <f t="shared" ref="L403:L415" si="201">R403/AD403*100</f>
        <v>85.000000687868351</v>
      </c>
      <c r="M403" s="11">
        <v>3</v>
      </c>
      <c r="N403" s="11" t="s">
        <v>485</v>
      </c>
      <c r="O403" s="11" t="s">
        <v>2095</v>
      </c>
      <c r="P403" s="11" t="s">
        <v>174</v>
      </c>
      <c r="Q403" s="11" t="s">
        <v>460</v>
      </c>
      <c r="R403" s="1">
        <f t="shared" si="195"/>
        <v>2162477.75</v>
      </c>
      <c r="S403" s="42">
        <v>2162477.75</v>
      </c>
      <c r="T403" s="37">
        <v>0</v>
      </c>
      <c r="U403" s="1">
        <f t="shared" si="196"/>
        <v>330731.87</v>
      </c>
      <c r="V403" s="42">
        <v>330731.87</v>
      </c>
      <c r="W403" s="87">
        <v>0</v>
      </c>
      <c r="X403" s="1">
        <f t="shared" si="197"/>
        <v>50881.83</v>
      </c>
      <c r="Y403" s="30">
        <v>50881.83</v>
      </c>
      <c r="Z403" s="30">
        <v>0</v>
      </c>
      <c r="AA403" s="2">
        <f t="shared" si="198"/>
        <v>0</v>
      </c>
      <c r="AB403" s="51">
        <v>0</v>
      </c>
      <c r="AC403" s="51">
        <v>0</v>
      </c>
      <c r="AD403" s="16">
        <f t="shared" si="200"/>
        <v>2544091.4500000002</v>
      </c>
      <c r="AE403" s="35">
        <v>0</v>
      </c>
      <c r="AF403" s="2">
        <f t="shared" ref="AF403:AF415" si="202">AD403+AE403</f>
        <v>2544091.4500000002</v>
      </c>
      <c r="AG403" s="38" t="s">
        <v>486</v>
      </c>
      <c r="AH403" s="38"/>
      <c r="AI403" s="30">
        <v>92046.5</v>
      </c>
      <c r="AJ403" s="30">
        <v>14077.7</v>
      </c>
    </row>
    <row r="404" spans="1:36" s="179" customFormat="1" ht="166.5" customHeight="1" x14ac:dyDescent="0.25">
      <c r="A404" s="6">
        <v>401</v>
      </c>
      <c r="B404" s="31">
        <v>154480</v>
      </c>
      <c r="C404" s="31">
        <v>1166</v>
      </c>
      <c r="D404" s="9" t="s">
        <v>1638</v>
      </c>
      <c r="E404" s="24" t="s">
        <v>2014</v>
      </c>
      <c r="F404" s="11" t="s">
        <v>2108</v>
      </c>
      <c r="G404" s="31" t="s">
        <v>2107</v>
      </c>
      <c r="H404" s="8" t="s">
        <v>151</v>
      </c>
      <c r="I404" s="12" t="s">
        <v>2834</v>
      </c>
      <c r="J404" s="25">
        <v>44658</v>
      </c>
      <c r="K404" s="25">
        <v>45145</v>
      </c>
      <c r="L404" s="26">
        <f t="shared" si="201"/>
        <v>85.000000389203606</v>
      </c>
      <c r="M404" s="11">
        <v>3</v>
      </c>
      <c r="N404" s="11" t="s">
        <v>485</v>
      </c>
      <c r="O404" s="11" t="s">
        <v>2109</v>
      </c>
      <c r="P404" s="11" t="s">
        <v>174</v>
      </c>
      <c r="Q404" s="11" t="s">
        <v>460</v>
      </c>
      <c r="R404" s="1">
        <f t="shared" si="195"/>
        <v>2183946.83</v>
      </c>
      <c r="S404" s="42">
        <v>2183946.83</v>
      </c>
      <c r="T404" s="37">
        <v>0</v>
      </c>
      <c r="U404" s="1">
        <f t="shared" si="196"/>
        <v>334015.39</v>
      </c>
      <c r="V404" s="42">
        <v>334015.39</v>
      </c>
      <c r="W404" s="87">
        <v>0</v>
      </c>
      <c r="X404" s="1">
        <f t="shared" si="197"/>
        <v>51386.98</v>
      </c>
      <c r="Y404" s="30">
        <v>51386.98</v>
      </c>
      <c r="Z404" s="30">
        <v>0</v>
      </c>
      <c r="AA404" s="2">
        <f t="shared" si="198"/>
        <v>0</v>
      </c>
      <c r="AB404" s="51">
        <v>0</v>
      </c>
      <c r="AC404" s="51">
        <v>0</v>
      </c>
      <c r="AD404" s="16">
        <f t="shared" si="200"/>
        <v>2569349.2000000002</v>
      </c>
      <c r="AE404" s="35">
        <v>0</v>
      </c>
      <c r="AF404" s="2">
        <f t="shared" si="202"/>
        <v>2569349.2000000002</v>
      </c>
      <c r="AG404" s="38" t="s">
        <v>486</v>
      </c>
      <c r="AH404" s="38"/>
      <c r="AI404" s="30">
        <v>0</v>
      </c>
      <c r="AJ404" s="30">
        <v>0</v>
      </c>
    </row>
    <row r="405" spans="1:36" s="179" customFormat="1" ht="166.5" customHeight="1" x14ac:dyDescent="0.25">
      <c r="A405" s="6">
        <v>402</v>
      </c>
      <c r="B405" s="31">
        <v>155168</v>
      </c>
      <c r="C405" s="31">
        <v>1199</v>
      </c>
      <c r="D405" s="9" t="s">
        <v>1638</v>
      </c>
      <c r="E405" s="24" t="s">
        <v>2014</v>
      </c>
      <c r="F405" s="11" t="s">
        <v>2120</v>
      </c>
      <c r="G405" s="31" t="s">
        <v>2119</v>
      </c>
      <c r="H405" s="8" t="s">
        <v>151</v>
      </c>
      <c r="I405" s="12" t="s">
        <v>2835</v>
      </c>
      <c r="J405" s="25">
        <v>44662</v>
      </c>
      <c r="K405" s="25">
        <v>45149</v>
      </c>
      <c r="L405" s="26">
        <f t="shared" si="201"/>
        <v>85</v>
      </c>
      <c r="M405" s="11">
        <v>3</v>
      </c>
      <c r="N405" s="11" t="s">
        <v>485</v>
      </c>
      <c r="O405" s="11" t="s">
        <v>2121</v>
      </c>
      <c r="P405" s="11" t="s">
        <v>174</v>
      </c>
      <c r="Q405" s="11" t="s">
        <v>460</v>
      </c>
      <c r="R405" s="1">
        <f t="shared" si="195"/>
        <v>2246295</v>
      </c>
      <c r="S405" s="42">
        <v>2246295</v>
      </c>
      <c r="T405" s="37">
        <v>0</v>
      </c>
      <c r="U405" s="1">
        <f t="shared" si="196"/>
        <v>343551</v>
      </c>
      <c r="V405" s="42">
        <v>343551</v>
      </c>
      <c r="W405" s="87">
        <v>0</v>
      </c>
      <c r="X405" s="1">
        <f t="shared" si="197"/>
        <v>52854</v>
      </c>
      <c r="Y405" s="30">
        <v>52854</v>
      </c>
      <c r="Z405" s="30">
        <v>0</v>
      </c>
      <c r="AA405" s="2">
        <f t="shared" si="198"/>
        <v>0</v>
      </c>
      <c r="AB405" s="51">
        <v>0</v>
      </c>
      <c r="AC405" s="51">
        <v>0</v>
      </c>
      <c r="AD405" s="16">
        <f t="shared" si="200"/>
        <v>2642700</v>
      </c>
      <c r="AE405" s="35">
        <v>0</v>
      </c>
      <c r="AF405" s="2">
        <f t="shared" si="202"/>
        <v>2642700</v>
      </c>
      <c r="AG405" s="38" t="s">
        <v>486</v>
      </c>
      <c r="AH405" s="38"/>
      <c r="AI405" s="30">
        <v>0</v>
      </c>
      <c r="AJ405" s="30">
        <v>0</v>
      </c>
    </row>
    <row r="406" spans="1:36" s="179" customFormat="1" ht="166.5" customHeight="1" x14ac:dyDescent="0.25">
      <c r="A406" s="6">
        <v>403</v>
      </c>
      <c r="B406" s="31">
        <v>154663</v>
      </c>
      <c r="C406" s="31">
        <v>1162</v>
      </c>
      <c r="D406" s="9" t="s">
        <v>1638</v>
      </c>
      <c r="E406" s="24" t="s">
        <v>2014</v>
      </c>
      <c r="F406" s="11" t="s">
        <v>2124</v>
      </c>
      <c r="G406" s="31" t="s">
        <v>2123</v>
      </c>
      <c r="H406" s="8" t="s">
        <v>151</v>
      </c>
      <c r="I406" s="12" t="s">
        <v>2836</v>
      </c>
      <c r="J406" s="25">
        <v>44664</v>
      </c>
      <c r="K406" s="25">
        <v>45151</v>
      </c>
      <c r="L406" s="26">
        <f t="shared" si="201"/>
        <v>85.000000686904471</v>
      </c>
      <c r="M406" s="11">
        <v>3</v>
      </c>
      <c r="N406" s="11" t="s">
        <v>485</v>
      </c>
      <c r="O406" s="11" t="s">
        <v>2125</v>
      </c>
      <c r="P406" s="11" t="s">
        <v>174</v>
      </c>
      <c r="Q406" s="11" t="s">
        <v>460</v>
      </c>
      <c r="R406" s="1">
        <f t="shared" si="195"/>
        <v>2165512.25</v>
      </c>
      <c r="S406" s="42">
        <v>2165512.25</v>
      </c>
      <c r="T406" s="37">
        <v>0</v>
      </c>
      <c r="U406" s="1">
        <f t="shared" si="196"/>
        <v>331195.96999999997</v>
      </c>
      <c r="V406" s="42">
        <v>331195.96999999997</v>
      </c>
      <c r="W406" s="87">
        <v>0</v>
      </c>
      <c r="X406" s="1">
        <f t="shared" si="197"/>
        <v>50953.23</v>
      </c>
      <c r="Y406" s="30">
        <v>50953.23</v>
      </c>
      <c r="Z406" s="30">
        <v>0</v>
      </c>
      <c r="AA406" s="2">
        <f t="shared" si="198"/>
        <v>0</v>
      </c>
      <c r="AB406" s="51">
        <v>0</v>
      </c>
      <c r="AC406" s="51">
        <v>0</v>
      </c>
      <c r="AD406" s="16">
        <f t="shared" si="200"/>
        <v>2547661.4499999997</v>
      </c>
      <c r="AE406" s="35">
        <v>0</v>
      </c>
      <c r="AF406" s="2">
        <f t="shared" si="202"/>
        <v>2547661.4499999997</v>
      </c>
      <c r="AG406" s="38" t="s">
        <v>486</v>
      </c>
      <c r="AH406" s="38"/>
      <c r="AI406" s="30">
        <v>0</v>
      </c>
      <c r="AJ406" s="30">
        <v>0</v>
      </c>
    </row>
    <row r="407" spans="1:36" s="179" customFormat="1" ht="166.5" customHeight="1" x14ac:dyDescent="0.25">
      <c r="A407" s="6">
        <v>404</v>
      </c>
      <c r="B407" s="31">
        <v>155128</v>
      </c>
      <c r="C407" s="31">
        <v>1163</v>
      </c>
      <c r="D407" s="9" t="s">
        <v>1638</v>
      </c>
      <c r="E407" s="24" t="s">
        <v>2014</v>
      </c>
      <c r="F407" s="11" t="s">
        <v>2129</v>
      </c>
      <c r="G407" s="31" t="s">
        <v>2130</v>
      </c>
      <c r="H407" s="8" t="s">
        <v>151</v>
      </c>
      <c r="I407" s="12" t="s">
        <v>2837</v>
      </c>
      <c r="J407" s="25">
        <v>44662</v>
      </c>
      <c r="K407" s="25">
        <v>45149</v>
      </c>
      <c r="L407" s="26">
        <f t="shared" si="201"/>
        <v>85.000000429467406</v>
      </c>
      <c r="M407" s="11">
        <v>3</v>
      </c>
      <c r="N407" s="11" t="s">
        <v>485</v>
      </c>
      <c r="O407" s="11" t="s">
        <v>2131</v>
      </c>
      <c r="P407" s="11" t="s">
        <v>174</v>
      </c>
      <c r="Q407" s="11" t="s">
        <v>460</v>
      </c>
      <c r="R407" s="1">
        <f t="shared" si="195"/>
        <v>2177115.16</v>
      </c>
      <c r="S407" s="42">
        <v>2177115.16</v>
      </c>
      <c r="T407" s="37">
        <v>0</v>
      </c>
      <c r="U407" s="1">
        <f t="shared" si="196"/>
        <v>332970.53999999998</v>
      </c>
      <c r="V407" s="42">
        <v>332970.53999999998</v>
      </c>
      <c r="W407" s="87">
        <v>0</v>
      </c>
      <c r="X407" s="1">
        <f t="shared" si="197"/>
        <v>51226.239999999998</v>
      </c>
      <c r="Y407" s="30">
        <v>51226.239999999998</v>
      </c>
      <c r="Z407" s="30">
        <v>0</v>
      </c>
      <c r="AA407" s="2">
        <f t="shared" si="198"/>
        <v>0</v>
      </c>
      <c r="AB407" s="51">
        <v>0</v>
      </c>
      <c r="AC407" s="51">
        <v>0</v>
      </c>
      <c r="AD407" s="16">
        <f t="shared" si="200"/>
        <v>2561311.9400000004</v>
      </c>
      <c r="AE407" s="35">
        <v>0</v>
      </c>
      <c r="AF407" s="2">
        <f t="shared" si="202"/>
        <v>2561311.9400000004</v>
      </c>
      <c r="AG407" s="38" t="s">
        <v>486</v>
      </c>
      <c r="AH407" s="38"/>
      <c r="AI407" s="30">
        <v>40055.4</v>
      </c>
      <c r="AJ407" s="30">
        <v>6126.12</v>
      </c>
    </row>
    <row r="408" spans="1:36" s="179" customFormat="1" ht="166.5" customHeight="1" x14ac:dyDescent="0.25">
      <c r="A408" s="6">
        <v>405</v>
      </c>
      <c r="B408" s="31">
        <v>154660</v>
      </c>
      <c r="C408" s="31">
        <v>1161</v>
      </c>
      <c r="D408" s="9" t="s">
        <v>1638</v>
      </c>
      <c r="E408" s="24" t="s">
        <v>2014</v>
      </c>
      <c r="F408" s="11" t="s">
        <v>2135</v>
      </c>
      <c r="G408" s="31" t="s">
        <v>2134</v>
      </c>
      <c r="H408" s="8" t="s">
        <v>151</v>
      </c>
      <c r="I408" s="12" t="s">
        <v>2838</v>
      </c>
      <c r="J408" s="25">
        <v>44665</v>
      </c>
      <c r="K408" s="25">
        <v>45152</v>
      </c>
      <c r="L408" s="26">
        <f t="shared" si="201"/>
        <v>85.000000687225452</v>
      </c>
      <c r="M408" s="11">
        <v>3</v>
      </c>
      <c r="N408" s="11" t="s">
        <v>485</v>
      </c>
      <c r="O408" s="11" t="s">
        <v>2136</v>
      </c>
      <c r="P408" s="11" t="s">
        <v>174</v>
      </c>
      <c r="Q408" s="11" t="s">
        <v>460</v>
      </c>
      <c r="R408" s="1">
        <f t="shared" si="195"/>
        <v>2164500.75</v>
      </c>
      <c r="S408" s="42">
        <v>2164500.75</v>
      </c>
      <c r="T408" s="37">
        <v>0</v>
      </c>
      <c r="U408" s="1">
        <f t="shared" si="196"/>
        <v>331041.27</v>
      </c>
      <c r="V408" s="42">
        <v>331041.27</v>
      </c>
      <c r="W408" s="87">
        <v>0</v>
      </c>
      <c r="X408" s="1">
        <f t="shared" si="197"/>
        <v>50929.43</v>
      </c>
      <c r="Y408" s="30">
        <v>50929.43</v>
      </c>
      <c r="Z408" s="30">
        <v>0</v>
      </c>
      <c r="AA408" s="2">
        <f t="shared" si="198"/>
        <v>0</v>
      </c>
      <c r="AB408" s="51">
        <v>0</v>
      </c>
      <c r="AC408" s="51">
        <v>0</v>
      </c>
      <c r="AD408" s="16">
        <f t="shared" si="200"/>
        <v>2546471.4500000002</v>
      </c>
      <c r="AE408" s="35">
        <v>0</v>
      </c>
      <c r="AF408" s="2">
        <f t="shared" si="202"/>
        <v>2546471.4500000002</v>
      </c>
      <c r="AG408" s="38" t="s">
        <v>486</v>
      </c>
      <c r="AH408" s="38"/>
      <c r="AI408" s="30">
        <v>0</v>
      </c>
      <c r="AJ408" s="30">
        <v>0</v>
      </c>
    </row>
    <row r="409" spans="1:36" s="179" customFormat="1" ht="141.75" customHeight="1" x14ac:dyDescent="0.25">
      <c r="A409" s="6">
        <v>406</v>
      </c>
      <c r="B409" s="31">
        <v>154763</v>
      </c>
      <c r="C409" s="31">
        <v>1215</v>
      </c>
      <c r="D409" s="9" t="s">
        <v>1638</v>
      </c>
      <c r="E409" s="24" t="s">
        <v>2014</v>
      </c>
      <c r="F409" s="11" t="s">
        <v>2141</v>
      </c>
      <c r="G409" s="31" t="s">
        <v>2140</v>
      </c>
      <c r="H409" s="8" t="s">
        <v>151</v>
      </c>
      <c r="I409" s="12" t="s">
        <v>2839</v>
      </c>
      <c r="J409" s="25">
        <v>44665</v>
      </c>
      <c r="K409" s="25">
        <v>45152</v>
      </c>
      <c r="L409" s="26">
        <f t="shared" si="201"/>
        <v>85</v>
      </c>
      <c r="M409" s="11">
        <v>3</v>
      </c>
      <c r="N409" s="11" t="s">
        <v>485</v>
      </c>
      <c r="O409" s="11" t="s">
        <v>2142</v>
      </c>
      <c r="P409" s="11" t="s">
        <v>174</v>
      </c>
      <c r="Q409" s="11" t="s">
        <v>460</v>
      </c>
      <c r="R409" s="1">
        <f t="shared" si="195"/>
        <v>1254107</v>
      </c>
      <c r="S409" s="42">
        <v>1254107</v>
      </c>
      <c r="T409" s="37">
        <v>0</v>
      </c>
      <c r="U409" s="1">
        <f t="shared" si="196"/>
        <v>191804.6</v>
      </c>
      <c r="V409" s="42">
        <v>191804.6</v>
      </c>
      <c r="W409" s="87">
        <v>0</v>
      </c>
      <c r="X409" s="1">
        <f>Y409+Z409</f>
        <v>29508.400000000001</v>
      </c>
      <c r="Y409" s="30">
        <v>29508.400000000001</v>
      </c>
      <c r="Z409" s="30">
        <v>0</v>
      </c>
      <c r="AA409" s="2">
        <f t="shared" si="198"/>
        <v>0</v>
      </c>
      <c r="AB409" s="51">
        <v>0</v>
      </c>
      <c r="AC409" s="51">
        <v>0</v>
      </c>
      <c r="AD409" s="16">
        <f t="shared" si="200"/>
        <v>1475420</v>
      </c>
      <c r="AE409" s="35">
        <v>0</v>
      </c>
      <c r="AF409" s="2">
        <f t="shared" si="202"/>
        <v>1475420</v>
      </c>
      <c r="AG409" s="38" t="s">
        <v>486</v>
      </c>
      <c r="AH409" s="38"/>
      <c r="AI409" s="30">
        <v>147000</v>
      </c>
      <c r="AJ409" s="30">
        <v>0</v>
      </c>
    </row>
    <row r="410" spans="1:36" s="179" customFormat="1" ht="141.75" customHeight="1" x14ac:dyDescent="0.25">
      <c r="A410" s="6">
        <v>407</v>
      </c>
      <c r="B410" s="31">
        <v>154984</v>
      </c>
      <c r="C410" s="31">
        <v>1198</v>
      </c>
      <c r="D410" s="9" t="s">
        <v>1638</v>
      </c>
      <c r="E410" s="24" t="s">
        <v>2014</v>
      </c>
      <c r="F410" s="11" t="s">
        <v>2178</v>
      </c>
      <c r="G410" s="31" t="s">
        <v>2177</v>
      </c>
      <c r="H410" s="8" t="s">
        <v>151</v>
      </c>
      <c r="I410" s="12" t="s">
        <v>2840</v>
      </c>
      <c r="J410" s="25">
        <v>44680</v>
      </c>
      <c r="K410" s="25">
        <v>45167</v>
      </c>
      <c r="L410" s="26">
        <f t="shared" si="201"/>
        <v>85</v>
      </c>
      <c r="M410" s="11">
        <v>3</v>
      </c>
      <c r="N410" s="11" t="s">
        <v>485</v>
      </c>
      <c r="O410" s="11" t="s">
        <v>2179</v>
      </c>
      <c r="P410" s="11" t="s">
        <v>174</v>
      </c>
      <c r="Q410" s="11" t="s">
        <v>460</v>
      </c>
      <c r="R410" s="1">
        <f t="shared" si="195"/>
        <v>2246295</v>
      </c>
      <c r="S410" s="42">
        <v>2246295</v>
      </c>
      <c r="T410" s="37">
        <v>0</v>
      </c>
      <c r="U410" s="1">
        <f t="shared" si="196"/>
        <v>343551</v>
      </c>
      <c r="V410" s="42">
        <v>343551</v>
      </c>
      <c r="W410" s="87">
        <v>0</v>
      </c>
      <c r="X410" s="1">
        <f t="shared" si="197"/>
        <v>52854</v>
      </c>
      <c r="Y410" s="30">
        <v>52854</v>
      </c>
      <c r="Z410" s="30">
        <v>0</v>
      </c>
      <c r="AA410" s="2">
        <f t="shared" si="198"/>
        <v>0</v>
      </c>
      <c r="AB410" s="51">
        <v>0</v>
      </c>
      <c r="AC410" s="51">
        <v>0</v>
      </c>
      <c r="AD410" s="16">
        <f t="shared" si="200"/>
        <v>2642700</v>
      </c>
      <c r="AE410" s="35">
        <v>0</v>
      </c>
      <c r="AF410" s="2">
        <f t="shared" si="202"/>
        <v>2642700</v>
      </c>
      <c r="AG410" s="38" t="s">
        <v>486</v>
      </c>
      <c r="AH410" s="38"/>
      <c r="AI410" s="30">
        <v>0</v>
      </c>
      <c r="AJ410" s="30">
        <v>0</v>
      </c>
    </row>
    <row r="411" spans="1:36" s="179" customFormat="1" ht="141.75" customHeight="1" x14ac:dyDescent="0.25">
      <c r="A411" s="6">
        <v>408</v>
      </c>
      <c r="B411" s="31">
        <v>155114</v>
      </c>
      <c r="C411" s="31">
        <v>1226</v>
      </c>
      <c r="D411" s="9" t="s">
        <v>1638</v>
      </c>
      <c r="E411" s="24" t="s">
        <v>2014</v>
      </c>
      <c r="F411" s="11" t="s">
        <v>2185</v>
      </c>
      <c r="G411" s="31" t="s">
        <v>520</v>
      </c>
      <c r="H411" s="8" t="s">
        <v>151</v>
      </c>
      <c r="I411" s="12" t="s">
        <v>2841</v>
      </c>
      <c r="J411" s="25">
        <v>44685</v>
      </c>
      <c r="K411" s="25">
        <v>45173</v>
      </c>
      <c r="L411" s="26">
        <f t="shared" si="201"/>
        <v>85.00000005274461</v>
      </c>
      <c r="M411" s="11">
        <v>3</v>
      </c>
      <c r="N411" s="11" t="s">
        <v>485</v>
      </c>
      <c r="O411" s="11" t="s">
        <v>485</v>
      </c>
      <c r="P411" s="11" t="s">
        <v>174</v>
      </c>
      <c r="Q411" s="11" t="s">
        <v>460</v>
      </c>
      <c r="R411" s="1">
        <f t="shared" si="195"/>
        <v>3223078.69</v>
      </c>
      <c r="S411" s="42">
        <v>3223078.69</v>
      </c>
      <c r="T411" s="37">
        <v>0</v>
      </c>
      <c r="U411" s="1">
        <f t="shared" si="196"/>
        <v>492941.44</v>
      </c>
      <c r="V411" s="42">
        <v>492941.44</v>
      </c>
      <c r="W411" s="87">
        <v>0</v>
      </c>
      <c r="X411" s="1">
        <f t="shared" si="197"/>
        <v>75837.149999999994</v>
      </c>
      <c r="Y411" s="30">
        <v>75837.149999999994</v>
      </c>
      <c r="Z411" s="30">
        <v>0</v>
      </c>
      <c r="AA411" s="2">
        <f t="shared" si="198"/>
        <v>0</v>
      </c>
      <c r="AB411" s="51">
        <v>0</v>
      </c>
      <c r="AC411" s="51">
        <v>0</v>
      </c>
      <c r="AD411" s="16">
        <f t="shared" si="200"/>
        <v>3791857.28</v>
      </c>
      <c r="AE411" s="35">
        <v>0</v>
      </c>
      <c r="AF411" s="2">
        <f t="shared" si="202"/>
        <v>3791857.28</v>
      </c>
      <c r="AG411" s="38" t="s">
        <v>486</v>
      </c>
      <c r="AH411" s="38"/>
      <c r="AI411" s="30">
        <v>0</v>
      </c>
      <c r="AJ411" s="30">
        <v>0</v>
      </c>
    </row>
    <row r="412" spans="1:36" s="179" customFormat="1" ht="141.75" customHeight="1" x14ac:dyDescent="0.25">
      <c r="A412" s="6">
        <v>409</v>
      </c>
      <c r="B412" s="31">
        <v>154551</v>
      </c>
      <c r="C412" s="31">
        <v>1207</v>
      </c>
      <c r="D412" s="9" t="s">
        <v>1638</v>
      </c>
      <c r="E412" s="24" t="s">
        <v>2014</v>
      </c>
      <c r="F412" s="11" t="s">
        <v>2209</v>
      </c>
      <c r="G412" s="31" t="s">
        <v>1961</v>
      </c>
      <c r="H412" s="8" t="s">
        <v>151</v>
      </c>
      <c r="I412" s="12" t="s">
        <v>2842</v>
      </c>
      <c r="J412" s="25">
        <v>44697</v>
      </c>
      <c r="K412" s="25">
        <v>45185</v>
      </c>
      <c r="L412" s="26">
        <f t="shared" si="201"/>
        <v>85</v>
      </c>
      <c r="M412" s="11">
        <v>3</v>
      </c>
      <c r="N412" s="11" t="s">
        <v>485</v>
      </c>
      <c r="O412" s="11" t="s">
        <v>485</v>
      </c>
      <c r="P412" s="11" t="s">
        <v>174</v>
      </c>
      <c r="Q412" s="11" t="s">
        <v>460</v>
      </c>
      <c r="R412" s="1">
        <f t="shared" si="195"/>
        <v>2362902.25</v>
      </c>
      <c r="S412" s="42">
        <v>2362902.25</v>
      </c>
      <c r="T412" s="37">
        <v>0</v>
      </c>
      <c r="U412" s="1">
        <f t="shared" si="196"/>
        <v>361385.05</v>
      </c>
      <c r="V412" s="42">
        <v>361385.05</v>
      </c>
      <c r="W412" s="87">
        <v>0</v>
      </c>
      <c r="X412" s="1">
        <f t="shared" si="197"/>
        <v>55597.7</v>
      </c>
      <c r="Y412" s="30">
        <v>55597.7</v>
      </c>
      <c r="Z412" s="30">
        <v>0</v>
      </c>
      <c r="AA412" s="2">
        <f t="shared" si="198"/>
        <v>0</v>
      </c>
      <c r="AB412" s="51">
        <v>0</v>
      </c>
      <c r="AC412" s="51">
        <v>0</v>
      </c>
      <c r="AD412" s="16">
        <f t="shared" si="200"/>
        <v>2779885</v>
      </c>
      <c r="AE412" s="35">
        <v>0</v>
      </c>
      <c r="AF412" s="2">
        <f t="shared" si="202"/>
        <v>2779885</v>
      </c>
      <c r="AG412" s="38" t="s">
        <v>486</v>
      </c>
      <c r="AH412" s="38"/>
      <c r="AI412" s="30">
        <v>277988.5</v>
      </c>
      <c r="AJ412" s="30">
        <v>0</v>
      </c>
    </row>
    <row r="413" spans="1:36" s="179" customFormat="1" ht="141.75" customHeight="1" x14ac:dyDescent="0.25">
      <c r="A413" s="6">
        <v>410</v>
      </c>
      <c r="B413" s="31">
        <v>155111</v>
      </c>
      <c r="C413" s="31">
        <v>1230</v>
      </c>
      <c r="D413" s="9" t="s">
        <v>1638</v>
      </c>
      <c r="E413" s="24" t="s">
        <v>2014</v>
      </c>
      <c r="F413" s="11" t="s">
        <v>2213</v>
      </c>
      <c r="G413" s="31" t="s">
        <v>2212</v>
      </c>
      <c r="H413" s="8" t="s">
        <v>151</v>
      </c>
      <c r="I413" s="12" t="s">
        <v>2843</v>
      </c>
      <c r="J413" s="25">
        <v>44700</v>
      </c>
      <c r="K413" s="25">
        <v>45188</v>
      </c>
      <c r="L413" s="26">
        <f t="shared" si="201"/>
        <v>85.000000242087992</v>
      </c>
      <c r="M413" s="11">
        <v>3</v>
      </c>
      <c r="N413" s="11" t="s">
        <v>485</v>
      </c>
      <c r="O413" s="11" t="s">
        <v>2214</v>
      </c>
      <c r="P413" s="11" t="s">
        <v>174</v>
      </c>
      <c r="Q413" s="11" t="s">
        <v>460</v>
      </c>
      <c r="R413" s="1">
        <f t="shared" si="195"/>
        <v>877780</v>
      </c>
      <c r="S413" s="42">
        <v>877780</v>
      </c>
      <c r="T413" s="37">
        <v>0</v>
      </c>
      <c r="U413" s="1">
        <f t="shared" si="196"/>
        <v>134248.70000000001</v>
      </c>
      <c r="V413" s="42">
        <v>134248.70000000001</v>
      </c>
      <c r="W413" s="87">
        <v>0</v>
      </c>
      <c r="X413" s="1">
        <f t="shared" si="197"/>
        <v>20653.650000000001</v>
      </c>
      <c r="Y413" s="30">
        <v>20653.650000000001</v>
      </c>
      <c r="Z413" s="30">
        <v>0</v>
      </c>
      <c r="AA413" s="2">
        <f t="shared" si="198"/>
        <v>0</v>
      </c>
      <c r="AB413" s="51">
        <v>0</v>
      </c>
      <c r="AC413" s="51">
        <v>0</v>
      </c>
      <c r="AD413" s="16">
        <f t="shared" si="200"/>
        <v>1032682.35</v>
      </c>
      <c r="AE413" s="35">
        <v>0</v>
      </c>
      <c r="AF413" s="2">
        <f t="shared" si="202"/>
        <v>1032682.35</v>
      </c>
      <c r="AG413" s="38" t="s">
        <v>486</v>
      </c>
      <c r="AH413" s="38"/>
      <c r="AI413" s="30">
        <v>0</v>
      </c>
      <c r="AJ413" s="30">
        <v>0</v>
      </c>
    </row>
    <row r="414" spans="1:36" s="179" customFormat="1" ht="141.75" customHeight="1" x14ac:dyDescent="0.25">
      <c r="A414" s="6">
        <v>411</v>
      </c>
      <c r="B414" s="31">
        <v>154658</v>
      </c>
      <c r="C414" s="31">
        <v>1211</v>
      </c>
      <c r="D414" s="9" t="s">
        <v>1638</v>
      </c>
      <c r="E414" s="24" t="s">
        <v>2014</v>
      </c>
      <c r="F414" s="11" t="s">
        <v>2231</v>
      </c>
      <c r="G414" s="31" t="s">
        <v>2230</v>
      </c>
      <c r="H414" s="8" t="s">
        <v>151</v>
      </c>
      <c r="I414" s="12" t="s">
        <v>2233</v>
      </c>
      <c r="J414" s="25">
        <v>44708</v>
      </c>
      <c r="K414" s="25">
        <v>45196</v>
      </c>
      <c r="L414" s="26">
        <f t="shared" si="201"/>
        <v>85</v>
      </c>
      <c r="M414" s="11">
        <v>3</v>
      </c>
      <c r="N414" s="11" t="s">
        <v>485</v>
      </c>
      <c r="O414" s="11" t="s">
        <v>2232</v>
      </c>
      <c r="P414" s="11" t="s">
        <v>174</v>
      </c>
      <c r="Q414" s="11" t="s">
        <v>460</v>
      </c>
      <c r="R414" s="1">
        <f t="shared" si="195"/>
        <v>2107541</v>
      </c>
      <c r="S414" s="42">
        <v>2107541</v>
      </c>
      <c r="T414" s="37">
        <v>0</v>
      </c>
      <c r="U414" s="1">
        <f t="shared" si="196"/>
        <v>322329.8</v>
      </c>
      <c r="V414" s="42">
        <v>322329.8</v>
      </c>
      <c r="W414" s="87">
        <v>0</v>
      </c>
      <c r="X414" s="1">
        <f t="shared" si="197"/>
        <v>49589.2</v>
      </c>
      <c r="Y414" s="30">
        <v>49589.2</v>
      </c>
      <c r="Z414" s="30">
        <v>0</v>
      </c>
      <c r="AA414" s="2">
        <f t="shared" si="198"/>
        <v>0</v>
      </c>
      <c r="AB414" s="51">
        <v>0</v>
      </c>
      <c r="AC414" s="51">
        <v>0</v>
      </c>
      <c r="AD414" s="16">
        <f t="shared" si="200"/>
        <v>2479460</v>
      </c>
      <c r="AE414" s="35">
        <v>0</v>
      </c>
      <c r="AF414" s="2">
        <f t="shared" si="202"/>
        <v>2479460</v>
      </c>
      <c r="AG414" s="38" t="s">
        <v>486</v>
      </c>
      <c r="AH414" s="38"/>
      <c r="AI414" s="30">
        <v>200000</v>
      </c>
      <c r="AJ414" s="30">
        <v>0</v>
      </c>
    </row>
    <row r="415" spans="1:36" s="179" customFormat="1" ht="141.75" customHeight="1" x14ac:dyDescent="0.25">
      <c r="A415" s="6">
        <v>412</v>
      </c>
      <c r="B415" s="31">
        <v>154721</v>
      </c>
      <c r="C415" s="31">
        <v>1209</v>
      </c>
      <c r="D415" s="9" t="s">
        <v>1638</v>
      </c>
      <c r="E415" s="24" t="s">
        <v>2014</v>
      </c>
      <c r="F415" s="11" t="s">
        <v>2235</v>
      </c>
      <c r="G415" s="31" t="s">
        <v>2234</v>
      </c>
      <c r="H415" s="8" t="s">
        <v>151</v>
      </c>
      <c r="I415" s="12" t="s">
        <v>2844</v>
      </c>
      <c r="J415" s="25">
        <v>44712</v>
      </c>
      <c r="K415" s="25">
        <v>45199</v>
      </c>
      <c r="L415" s="26">
        <f t="shared" si="201"/>
        <v>85</v>
      </c>
      <c r="M415" s="11">
        <v>3</v>
      </c>
      <c r="N415" s="11" t="s">
        <v>485</v>
      </c>
      <c r="O415" s="11" t="s">
        <v>2236</v>
      </c>
      <c r="P415" s="11" t="s">
        <v>174</v>
      </c>
      <c r="Q415" s="11" t="s">
        <v>460</v>
      </c>
      <c r="R415" s="1">
        <f t="shared" si="195"/>
        <v>2189472.5</v>
      </c>
      <c r="S415" s="42">
        <v>2189472.5</v>
      </c>
      <c r="T415" s="37"/>
      <c r="U415" s="1">
        <f t="shared" si="196"/>
        <v>334860.5</v>
      </c>
      <c r="V415" s="42">
        <v>334860.5</v>
      </c>
      <c r="W415" s="87">
        <v>0</v>
      </c>
      <c r="X415" s="1">
        <f t="shared" si="197"/>
        <v>51517</v>
      </c>
      <c r="Y415" s="30">
        <v>51517</v>
      </c>
      <c r="Z415" s="30">
        <v>0</v>
      </c>
      <c r="AA415" s="2">
        <f t="shared" si="198"/>
        <v>0</v>
      </c>
      <c r="AB415" s="51">
        <v>0</v>
      </c>
      <c r="AC415" s="51">
        <v>0</v>
      </c>
      <c r="AD415" s="16">
        <f t="shared" si="200"/>
        <v>2575850</v>
      </c>
      <c r="AE415" s="35">
        <v>0</v>
      </c>
      <c r="AF415" s="2">
        <f t="shared" si="202"/>
        <v>2575850</v>
      </c>
      <c r="AG415" s="38" t="s">
        <v>486</v>
      </c>
      <c r="AH415" s="38"/>
      <c r="AI415" s="30">
        <v>257585</v>
      </c>
      <c r="AJ415" s="30">
        <v>0</v>
      </c>
    </row>
    <row r="416" spans="1:36" s="179" customFormat="1" ht="220.5" x14ac:dyDescent="0.25">
      <c r="A416" s="6">
        <v>413</v>
      </c>
      <c r="B416" s="31">
        <v>119720</v>
      </c>
      <c r="C416" s="11">
        <v>481</v>
      </c>
      <c r="D416" s="9" t="s">
        <v>1638</v>
      </c>
      <c r="E416" s="11" t="s">
        <v>457</v>
      </c>
      <c r="F416" s="11" t="s">
        <v>487</v>
      </c>
      <c r="G416" s="11" t="s">
        <v>488</v>
      </c>
      <c r="H416" s="8" t="s">
        <v>151</v>
      </c>
      <c r="I416" s="46" t="s">
        <v>2845</v>
      </c>
      <c r="J416" s="25">
        <v>43264</v>
      </c>
      <c r="K416" s="25">
        <v>44056</v>
      </c>
      <c r="L416" s="26">
        <f t="shared" ref="L416:L425" si="203">R416/AD416*100</f>
        <v>85.00000159999999</v>
      </c>
      <c r="M416" s="40">
        <v>3</v>
      </c>
      <c r="N416" s="11" t="s">
        <v>1568</v>
      </c>
      <c r="O416" s="11" t="s">
        <v>489</v>
      </c>
      <c r="P416" s="11" t="s">
        <v>174</v>
      </c>
      <c r="Q416" s="11" t="s">
        <v>460</v>
      </c>
      <c r="R416" s="1">
        <f t="shared" ref="R416:R425" si="204">S416+T416</f>
        <v>531250.01</v>
      </c>
      <c r="S416" s="37">
        <v>531250.01</v>
      </c>
      <c r="T416" s="37">
        <v>0</v>
      </c>
      <c r="U416" s="1">
        <f t="shared" ref="U416:U425" si="205">V416+W416</f>
        <v>81249.989999999991</v>
      </c>
      <c r="V416" s="42">
        <v>81249.989999999991</v>
      </c>
      <c r="W416" s="42">
        <v>0</v>
      </c>
      <c r="X416" s="1">
        <f t="shared" ref="X416:X425" si="206">Y416+Z416</f>
        <v>12500</v>
      </c>
      <c r="Y416" s="30">
        <v>12500</v>
      </c>
      <c r="Z416" s="30">
        <v>0</v>
      </c>
      <c r="AA416" s="2">
        <f t="shared" ref="AA416:AA425" si="207">AB416+AC416</f>
        <v>0</v>
      </c>
      <c r="AB416" s="41">
        <v>0</v>
      </c>
      <c r="AC416" s="41">
        <v>0</v>
      </c>
      <c r="AD416" s="16">
        <f t="shared" si="200"/>
        <v>625000</v>
      </c>
      <c r="AE416" s="37">
        <v>19813.5</v>
      </c>
      <c r="AF416" s="2">
        <f t="shared" ref="AF416:AF425" si="208">AD416+AE416</f>
        <v>644813.5</v>
      </c>
      <c r="AG416" s="38" t="s">
        <v>857</v>
      </c>
      <c r="AH416" s="38" t="s">
        <v>1332</v>
      </c>
      <c r="AI416" s="118">
        <f>266726.48+117536.39+35965.91</f>
        <v>420228.78</v>
      </c>
      <c r="AJ416" s="30">
        <f>40793.44+17976.15+5500.66</f>
        <v>64270.25</v>
      </c>
    </row>
    <row r="417" spans="1:36" s="179" customFormat="1" ht="307.5" customHeight="1" x14ac:dyDescent="0.25">
      <c r="A417" s="6">
        <v>414</v>
      </c>
      <c r="B417" s="31">
        <v>118770</v>
      </c>
      <c r="C417" s="11">
        <v>440</v>
      </c>
      <c r="D417" s="32" t="s">
        <v>1639</v>
      </c>
      <c r="E417" s="32" t="s">
        <v>507</v>
      </c>
      <c r="F417" s="11" t="s">
        <v>722</v>
      </c>
      <c r="G417" s="11" t="s">
        <v>723</v>
      </c>
      <c r="H417" s="8" t="s">
        <v>151</v>
      </c>
      <c r="I417" s="32" t="s">
        <v>725</v>
      </c>
      <c r="J417" s="25">
        <v>43318</v>
      </c>
      <c r="K417" s="25">
        <v>43683</v>
      </c>
      <c r="L417" s="26">
        <f t="shared" si="203"/>
        <v>85</v>
      </c>
      <c r="M417" s="11">
        <v>3</v>
      </c>
      <c r="N417" s="11" t="s">
        <v>1568</v>
      </c>
      <c r="O417" s="11" t="s">
        <v>724</v>
      </c>
      <c r="P417" s="11" t="s">
        <v>174</v>
      </c>
      <c r="Q417" s="11" t="s">
        <v>460</v>
      </c>
      <c r="R417" s="1">
        <f t="shared" si="204"/>
        <v>254981.3</v>
      </c>
      <c r="S417" s="30">
        <v>254981.3</v>
      </c>
      <c r="T417" s="41">
        <v>0</v>
      </c>
      <c r="U417" s="1">
        <f t="shared" si="205"/>
        <v>38997.14</v>
      </c>
      <c r="V417" s="42">
        <v>38997.14</v>
      </c>
      <c r="W417" s="42">
        <v>0</v>
      </c>
      <c r="X417" s="1">
        <f t="shared" si="206"/>
        <v>5999.56</v>
      </c>
      <c r="Y417" s="30">
        <v>5999.56</v>
      </c>
      <c r="Z417" s="30">
        <v>0</v>
      </c>
      <c r="AA417" s="2">
        <f t="shared" si="207"/>
        <v>0</v>
      </c>
      <c r="AB417" s="41">
        <v>0</v>
      </c>
      <c r="AC417" s="41">
        <v>0</v>
      </c>
      <c r="AD417" s="16">
        <f t="shared" si="200"/>
        <v>299978</v>
      </c>
      <c r="AE417" s="38">
        <v>0</v>
      </c>
      <c r="AF417" s="2">
        <f t="shared" si="208"/>
        <v>299978</v>
      </c>
      <c r="AG417" s="21" t="s">
        <v>857</v>
      </c>
      <c r="AH417" s="38" t="s">
        <v>997</v>
      </c>
      <c r="AI417" s="118">
        <v>213387.11000000002</v>
      </c>
      <c r="AJ417" s="118">
        <v>32635.670000000002</v>
      </c>
    </row>
    <row r="418" spans="1:36" s="179" customFormat="1" ht="220.5" x14ac:dyDescent="0.25">
      <c r="A418" s="6">
        <v>415</v>
      </c>
      <c r="B418" s="31">
        <v>126498</v>
      </c>
      <c r="C418" s="11">
        <v>572</v>
      </c>
      <c r="D418" s="9" t="s">
        <v>1638</v>
      </c>
      <c r="E418" s="32" t="s">
        <v>899</v>
      </c>
      <c r="F418" s="11" t="s">
        <v>1022</v>
      </c>
      <c r="G418" s="11" t="s">
        <v>723</v>
      </c>
      <c r="H418" s="8" t="s">
        <v>151</v>
      </c>
      <c r="I418" s="32" t="s">
        <v>2846</v>
      </c>
      <c r="J418" s="25">
        <v>43552</v>
      </c>
      <c r="K418" s="25">
        <v>44467</v>
      </c>
      <c r="L418" s="26">
        <f t="shared" si="203"/>
        <v>85.000000127055301</v>
      </c>
      <c r="M418" s="11">
        <v>3</v>
      </c>
      <c r="N418" s="11" t="s">
        <v>1568</v>
      </c>
      <c r="O418" s="11" t="s">
        <v>724</v>
      </c>
      <c r="P418" s="11" t="s">
        <v>174</v>
      </c>
      <c r="Q418" s="11" t="s">
        <v>460</v>
      </c>
      <c r="R418" s="1">
        <f t="shared" si="204"/>
        <v>3345000.16</v>
      </c>
      <c r="S418" s="30">
        <v>3345000.16</v>
      </c>
      <c r="T418" s="41">
        <v>0</v>
      </c>
      <c r="U418" s="1">
        <f t="shared" si="205"/>
        <v>516462.97</v>
      </c>
      <c r="V418" s="42">
        <v>516462.97</v>
      </c>
      <c r="W418" s="42">
        <v>0</v>
      </c>
      <c r="X418" s="1">
        <f t="shared" si="206"/>
        <v>73831.17</v>
      </c>
      <c r="Y418" s="30">
        <v>73831.17</v>
      </c>
      <c r="Z418" s="30">
        <v>0</v>
      </c>
      <c r="AA418" s="2">
        <f t="shared" si="207"/>
        <v>0</v>
      </c>
      <c r="AB418" s="41">
        <v>0</v>
      </c>
      <c r="AC418" s="41">
        <v>0</v>
      </c>
      <c r="AD418" s="16">
        <f t="shared" si="200"/>
        <v>3935294.3</v>
      </c>
      <c r="AE418" s="38">
        <v>4974.2</v>
      </c>
      <c r="AF418" s="2">
        <f t="shared" si="208"/>
        <v>3940268.5</v>
      </c>
      <c r="AG418" s="38" t="s">
        <v>857</v>
      </c>
      <c r="AH418" s="38" t="s">
        <v>997</v>
      </c>
      <c r="AI418" s="118">
        <f>81729.2+65676.7+875554.4+122189.2+2128398.3+6170.15</f>
        <v>3279717.9499999997</v>
      </c>
      <c r="AJ418" s="118">
        <f>12499.76+10044.67+133908.32+18687.76+325519.74+943.67</f>
        <v>501603.92</v>
      </c>
    </row>
    <row r="419" spans="1:36" s="179" customFormat="1" ht="265.5" customHeight="1" x14ac:dyDescent="0.25">
      <c r="A419" s="6">
        <v>416</v>
      </c>
      <c r="B419" s="31">
        <v>126289</v>
      </c>
      <c r="C419" s="11">
        <v>492</v>
      </c>
      <c r="D419" s="9" t="s">
        <v>1638</v>
      </c>
      <c r="E419" s="32" t="s">
        <v>899</v>
      </c>
      <c r="F419" s="11" t="s">
        <v>1038</v>
      </c>
      <c r="G419" s="11" t="s">
        <v>1039</v>
      </c>
      <c r="H419" s="8" t="s">
        <v>151</v>
      </c>
      <c r="I419" s="32" t="s">
        <v>2847</v>
      </c>
      <c r="J419" s="25">
        <v>43563</v>
      </c>
      <c r="K419" s="25">
        <v>44477</v>
      </c>
      <c r="L419" s="26">
        <f t="shared" si="203"/>
        <v>85.000000203645214</v>
      </c>
      <c r="M419" s="40">
        <v>3</v>
      </c>
      <c r="N419" s="11" t="s">
        <v>1568</v>
      </c>
      <c r="O419" s="11" t="s">
        <v>489</v>
      </c>
      <c r="P419" s="11" t="s">
        <v>174</v>
      </c>
      <c r="Q419" s="11" t="s">
        <v>34</v>
      </c>
      <c r="R419" s="1">
        <f t="shared" si="204"/>
        <v>2504355.21</v>
      </c>
      <c r="S419" s="2">
        <v>2504355.21</v>
      </c>
      <c r="T419" s="2">
        <v>0</v>
      </c>
      <c r="U419" s="1">
        <f t="shared" si="205"/>
        <v>383019.03</v>
      </c>
      <c r="V419" s="28">
        <v>383019.03</v>
      </c>
      <c r="W419" s="28">
        <v>0</v>
      </c>
      <c r="X419" s="1">
        <f t="shared" si="206"/>
        <v>58926</v>
      </c>
      <c r="Y419" s="2">
        <v>58926</v>
      </c>
      <c r="Z419" s="2">
        <v>0</v>
      </c>
      <c r="AA419" s="2">
        <f t="shared" si="207"/>
        <v>0</v>
      </c>
      <c r="AB419" s="2">
        <v>0</v>
      </c>
      <c r="AC419" s="2">
        <v>0</v>
      </c>
      <c r="AD419" s="16">
        <f t="shared" si="200"/>
        <v>2946300.24</v>
      </c>
      <c r="AE419" s="2">
        <v>3255.78</v>
      </c>
      <c r="AF419" s="2">
        <f t="shared" si="208"/>
        <v>2949556.02</v>
      </c>
      <c r="AG419" s="38" t="s">
        <v>857</v>
      </c>
      <c r="AH419" s="35"/>
      <c r="AI419" s="118">
        <f>4165.36+806216.08+307283.93+337406.26+123150.13</f>
        <v>1578221.7599999998</v>
      </c>
      <c r="AJ419" s="118">
        <f>637.05+123303.63+46996.36+51603.31+18834.72</f>
        <v>241375.07</v>
      </c>
    </row>
    <row r="420" spans="1:36" s="179" customFormat="1" ht="236.25" x14ac:dyDescent="0.25">
      <c r="A420" s="6">
        <v>417</v>
      </c>
      <c r="B420" s="31">
        <v>135121</v>
      </c>
      <c r="C420" s="11">
        <v>804</v>
      </c>
      <c r="D420" s="9" t="s">
        <v>1638</v>
      </c>
      <c r="E420" s="24" t="s">
        <v>1441</v>
      </c>
      <c r="F420" s="31" t="s">
        <v>1455</v>
      </c>
      <c r="G420" s="11" t="s">
        <v>1039</v>
      </c>
      <c r="H420" s="8" t="s">
        <v>151</v>
      </c>
      <c r="I420" s="32" t="s">
        <v>2848</v>
      </c>
      <c r="J420" s="25">
        <v>43959</v>
      </c>
      <c r="K420" s="25">
        <v>44934</v>
      </c>
      <c r="L420" s="26">
        <f t="shared" si="203"/>
        <v>85</v>
      </c>
      <c r="M420" s="40">
        <v>3</v>
      </c>
      <c r="N420" s="11" t="s">
        <v>1568</v>
      </c>
      <c r="O420" s="11" t="s">
        <v>489</v>
      </c>
      <c r="P420" s="27" t="s">
        <v>174</v>
      </c>
      <c r="Q420" s="11" t="s">
        <v>34</v>
      </c>
      <c r="R420" s="1">
        <f t="shared" si="204"/>
        <v>2517623.5</v>
      </c>
      <c r="S420" s="2">
        <v>2517623.5</v>
      </c>
      <c r="T420" s="2">
        <v>0</v>
      </c>
      <c r="U420" s="1">
        <f t="shared" si="205"/>
        <v>385048.3</v>
      </c>
      <c r="V420" s="28">
        <v>385048.3</v>
      </c>
      <c r="W420" s="28">
        <v>0</v>
      </c>
      <c r="X420" s="1">
        <f t="shared" si="206"/>
        <v>59238.2</v>
      </c>
      <c r="Y420" s="2">
        <v>59238.2</v>
      </c>
      <c r="Z420" s="2">
        <v>0</v>
      </c>
      <c r="AA420" s="2">
        <f t="shared" si="207"/>
        <v>0</v>
      </c>
      <c r="AB420" s="2">
        <v>0</v>
      </c>
      <c r="AC420" s="2">
        <v>0</v>
      </c>
      <c r="AD420" s="16">
        <f t="shared" si="200"/>
        <v>2961910</v>
      </c>
      <c r="AE420" s="2">
        <v>0</v>
      </c>
      <c r="AF420" s="2">
        <f t="shared" si="208"/>
        <v>2961910</v>
      </c>
      <c r="AG420" s="38" t="s">
        <v>486</v>
      </c>
      <c r="AH420" s="29" t="s">
        <v>3302</v>
      </c>
      <c r="AI420" s="118">
        <v>29444.76</v>
      </c>
      <c r="AJ420" s="118">
        <v>4503.32</v>
      </c>
    </row>
    <row r="421" spans="1:36" s="179" customFormat="1" ht="189" x14ac:dyDescent="0.25">
      <c r="A421" s="6">
        <v>418</v>
      </c>
      <c r="B421" s="31">
        <v>135860</v>
      </c>
      <c r="C421" s="11">
        <v>811</v>
      </c>
      <c r="D421" s="9" t="s">
        <v>1638</v>
      </c>
      <c r="E421" s="24" t="s">
        <v>1441</v>
      </c>
      <c r="F421" s="31" t="s">
        <v>1567</v>
      </c>
      <c r="G421" s="11" t="s">
        <v>488</v>
      </c>
      <c r="H421" s="8" t="s">
        <v>151</v>
      </c>
      <c r="I421" s="32" t="s">
        <v>2849</v>
      </c>
      <c r="J421" s="25">
        <v>44018</v>
      </c>
      <c r="K421" s="25">
        <v>44932</v>
      </c>
      <c r="L421" s="26">
        <f t="shared" si="203"/>
        <v>85</v>
      </c>
      <c r="M421" s="40">
        <v>3</v>
      </c>
      <c r="N421" s="11" t="s">
        <v>1568</v>
      </c>
      <c r="O421" s="11" t="s">
        <v>1568</v>
      </c>
      <c r="P421" s="27" t="s">
        <v>174</v>
      </c>
      <c r="Q421" s="11" t="s">
        <v>34</v>
      </c>
      <c r="R421" s="1">
        <f t="shared" si="204"/>
        <v>3388860.75</v>
      </c>
      <c r="S421" s="2">
        <v>3388860.75</v>
      </c>
      <c r="T421" s="2">
        <v>0</v>
      </c>
      <c r="U421" s="1">
        <f t="shared" si="205"/>
        <v>518296.35</v>
      </c>
      <c r="V421" s="28">
        <v>518296.35</v>
      </c>
      <c r="W421" s="28">
        <v>0</v>
      </c>
      <c r="X421" s="1">
        <f t="shared" si="206"/>
        <v>79737.899999999994</v>
      </c>
      <c r="Y421" s="2">
        <v>79737.899999999994</v>
      </c>
      <c r="Z421" s="2">
        <v>0</v>
      </c>
      <c r="AA421" s="2">
        <f t="shared" si="207"/>
        <v>0</v>
      </c>
      <c r="AB421" s="2">
        <v>0</v>
      </c>
      <c r="AC421" s="2">
        <v>0</v>
      </c>
      <c r="AD421" s="16">
        <f t="shared" si="200"/>
        <v>3986895</v>
      </c>
      <c r="AE421" s="2">
        <v>0</v>
      </c>
      <c r="AF421" s="2">
        <f t="shared" si="208"/>
        <v>3986895</v>
      </c>
      <c r="AG421" s="38" t="s">
        <v>486</v>
      </c>
      <c r="AH421" s="29"/>
      <c r="AI421" s="118">
        <f>139842.93+110534+52909.1+64051.41</f>
        <v>367337.43999999994</v>
      </c>
      <c r="AJ421" s="118">
        <f>21387.74+16905.2+8091.98+9796.1</f>
        <v>56181.02</v>
      </c>
    </row>
    <row r="422" spans="1:36" s="179" customFormat="1" ht="330.75" x14ac:dyDescent="0.25">
      <c r="A422" s="6">
        <v>419</v>
      </c>
      <c r="B422" s="31">
        <v>136188</v>
      </c>
      <c r="C422" s="11">
        <v>842</v>
      </c>
      <c r="D422" s="9" t="s">
        <v>1638</v>
      </c>
      <c r="E422" s="24" t="s">
        <v>1441</v>
      </c>
      <c r="F422" s="31" t="s">
        <v>1595</v>
      </c>
      <c r="G422" s="11" t="s">
        <v>723</v>
      </c>
      <c r="H422" s="8" t="s">
        <v>151</v>
      </c>
      <c r="I422" s="32" t="s">
        <v>2850</v>
      </c>
      <c r="J422" s="25">
        <v>44039</v>
      </c>
      <c r="K422" s="25">
        <v>44922</v>
      </c>
      <c r="L422" s="26">
        <f t="shared" si="203"/>
        <v>84.999999881414638</v>
      </c>
      <c r="M422" s="40">
        <v>3</v>
      </c>
      <c r="N422" s="11" t="s">
        <v>1568</v>
      </c>
      <c r="O422" s="11" t="s">
        <v>724</v>
      </c>
      <c r="P422" s="27" t="s">
        <v>174</v>
      </c>
      <c r="Q422" s="11" t="s">
        <v>34</v>
      </c>
      <c r="R422" s="1">
        <f t="shared" si="204"/>
        <v>2150349.87</v>
      </c>
      <c r="S422" s="2">
        <v>2150349.87</v>
      </c>
      <c r="T422" s="2">
        <v>0</v>
      </c>
      <c r="U422" s="1">
        <f t="shared" si="205"/>
        <v>328877.03999999998</v>
      </c>
      <c r="V422" s="28">
        <v>328877.03999999998</v>
      </c>
      <c r="W422" s="28">
        <v>0</v>
      </c>
      <c r="X422" s="1">
        <f t="shared" si="206"/>
        <v>50596.47</v>
      </c>
      <c r="Y422" s="2">
        <v>50596.47</v>
      </c>
      <c r="Z422" s="2">
        <v>0</v>
      </c>
      <c r="AA422" s="2">
        <f t="shared" si="207"/>
        <v>0</v>
      </c>
      <c r="AB422" s="2">
        <v>0</v>
      </c>
      <c r="AC422" s="2">
        <v>0</v>
      </c>
      <c r="AD422" s="16">
        <f t="shared" si="200"/>
        <v>2529823.3800000004</v>
      </c>
      <c r="AE422" s="2">
        <v>0</v>
      </c>
      <c r="AF422" s="2">
        <f t="shared" si="208"/>
        <v>2529823.3800000004</v>
      </c>
      <c r="AG422" s="38" t="s">
        <v>486</v>
      </c>
      <c r="AH422" s="29"/>
      <c r="AI422" s="118">
        <f>60942.87+45517.5+214478.46+518737.66+1090477.92</f>
        <v>1930154.41</v>
      </c>
      <c r="AJ422" s="118">
        <f>9320.68+6961.5+32802.59+79336.35+166778.98</f>
        <v>295200.09999999998</v>
      </c>
    </row>
    <row r="423" spans="1:36" s="179" customFormat="1" ht="204.75" x14ac:dyDescent="0.25">
      <c r="A423" s="6">
        <v>420</v>
      </c>
      <c r="B423" s="31">
        <v>152017</v>
      </c>
      <c r="C423" s="11">
        <v>1127</v>
      </c>
      <c r="D423" s="9" t="s">
        <v>1639</v>
      </c>
      <c r="E423" s="24" t="s">
        <v>1801</v>
      </c>
      <c r="F423" s="31" t="s">
        <v>1857</v>
      </c>
      <c r="G423" s="11" t="s">
        <v>1039</v>
      </c>
      <c r="H423" s="8" t="s">
        <v>151</v>
      </c>
      <c r="I423" s="32" t="s">
        <v>2851</v>
      </c>
      <c r="J423" s="25">
        <v>44504</v>
      </c>
      <c r="K423" s="25">
        <v>44989</v>
      </c>
      <c r="L423" s="26">
        <f t="shared" si="203"/>
        <v>85.000003161665433</v>
      </c>
      <c r="M423" s="40">
        <v>3</v>
      </c>
      <c r="N423" s="11" t="s">
        <v>1568</v>
      </c>
      <c r="O423" s="11" t="s">
        <v>489</v>
      </c>
      <c r="P423" s="27" t="s">
        <v>174</v>
      </c>
      <c r="Q423" s="11" t="s">
        <v>34</v>
      </c>
      <c r="R423" s="1">
        <f t="shared" si="204"/>
        <v>268845.65999999997</v>
      </c>
      <c r="S423" s="2">
        <v>268845.65999999997</v>
      </c>
      <c r="T423" s="2">
        <v>0</v>
      </c>
      <c r="U423" s="1">
        <f t="shared" si="205"/>
        <v>41117.56</v>
      </c>
      <c r="V423" s="28">
        <v>41117.56</v>
      </c>
      <c r="W423" s="28">
        <v>0</v>
      </c>
      <c r="X423" s="1">
        <f t="shared" si="206"/>
        <v>6325.78</v>
      </c>
      <c r="Y423" s="2">
        <v>6325.78</v>
      </c>
      <c r="Z423" s="2">
        <v>0</v>
      </c>
      <c r="AA423" s="2">
        <f t="shared" si="207"/>
        <v>0</v>
      </c>
      <c r="AB423" s="2">
        <v>0</v>
      </c>
      <c r="AC423" s="2">
        <v>0</v>
      </c>
      <c r="AD423" s="16">
        <f t="shared" si="200"/>
        <v>316289</v>
      </c>
      <c r="AE423" s="2">
        <v>0</v>
      </c>
      <c r="AF423" s="2">
        <f t="shared" si="208"/>
        <v>316289</v>
      </c>
      <c r="AG423" s="38" t="s">
        <v>486</v>
      </c>
      <c r="AH423" s="29"/>
      <c r="AI423" s="118">
        <v>0</v>
      </c>
      <c r="AJ423" s="118">
        <v>0</v>
      </c>
    </row>
    <row r="424" spans="1:36" s="179" customFormat="1" ht="236.25" x14ac:dyDescent="0.25">
      <c r="A424" s="6">
        <v>421</v>
      </c>
      <c r="B424" s="31">
        <v>152079</v>
      </c>
      <c r="C424" s="11">
        <v>1129</v>
      </c>
      <c r="D424" s="9" t="s">
        <v>1639</v>
      </c>
      <c r="E424" s="24" t="s">
        <v>1801</v>
      </c>
      <c r="F424" s="31" t="s">
        <v>1864</v>
      </c>
      <c r="G424" s="11" t="s">
        <v>488</v>
      </c>
      <c r="H424" s="11" t="s">
        <v>1828</v>
      </c>
      <c r="I424" s="32" t="s">
        <v>1865</v>
      </c>
      <c r="J424" s="25">
        <v>44516</v>
      </c>
      <c r="K424" s="25">
        <v>45001</v>
      </c>
      <c r="L424" s="26">
        <f t="shared" si="203"/>
        <v>85.000002409748873</v>
      </c>
      <c r="M424" s="40">
        <v>3</v>
      </c>
      <c r="N424" s="11" t="s">
        <v>1568</v>
      </c>
      <c r="O424" s="11" t="s">
        <v>489</v>
      </c>
      <c r="P424" s="27" t="s">
        <v>174</v>
      </c>
      <c r="Q424" s="11" t="s">
        <v>34</v>
      </c>
      <c r="R424" s="1">
        <f t="shared" si="204"/>
        <v>352733.86</v>
      </c>
      <c r="S424" s="2">
        <v>352733.86</v>
      </c>
      <c r="T424" s="2">
        <v>0</v>
      </c>
      <c r="U424" s="1">
        <f t="shared" si="205"/>
        <v>46261.27</v>
      </c>
      <c r="V424" s="28">
        <v>46261.27</v>
      </c>
      <c r="W424" s="28">
        <v>0</v>
      </c>
      <c r="X424" s="1">
        <f t="shared" si="206"/>
        <v>15985.87</v>
      </c>
      <c r="Y424" s="2">
        <v>15985.87</v>
      </c>
      <c r="Z424" s="2">
        <v>0</v>
      </c>
      <c r="AA424" s="2">
        <f t="shared" si="207"/>
        <v>0</v>
      </c>
      <c r="AB424" s="2">
        <v>0</v>
      </c>
      <c r="AC424" s="2">
        <v>0</v>
      </c>
      <c r="AD424" s="16">
        <f t="shared" si="200"/>
        <v>414981</v>
      </c>
      <c r="AE424" s="2">
        <v>0</v>
      </c>
      <c r="AF424" s="2">
        <f t="shared" si="208"/>
        <v>414981</v>
      </c>
      <c r="AG424" s="38" t="s">
        <v>486</v>
      </c>
      <c r="AH424" s="29"/>
      <c r="AI424" s="118">
        <v>0</v>
      </c>
      <c r="AJ424" s="118">
        <v>0</v>
      </c>
    </row>
    <row r="425" spans="1:36" s="179" customFormat="1" ht="141.75" x14ac:dyDescent="0.25">
      <c r="A425" s="6">
        <v>422</v>
      </c>
      <c r="B425" s="31">
        <v>155116</v>
      </c>
      <c r="C425" s="11">
        <v>1244</v>
      </c>
      <c r="D425" s="9" t="s">
        <v>1638</v>
      </c>
      <c r="E425" s="24" t="s">
        <v>2014</v>
      </c>
      <c r="F425" s="31" t="s">
        <v>2197</v>
      </c>
      <c r="G425" s="11" t="s">
        <v>723</v>
      </c>
      <c r="H425" s="8" t="s">
        <v>151</v>
      </c>
      <c r="I425" s="32" t="s">
        <v>2852</v>
      </c>
      <c r="J425" s="25">
        <v>44690</v>
      </c>
      <c r="K425" s="25">
        <v>45116</v>
      </c>
      <c r="L425" s="26">
        <f t="shared" si="203"/>
        <v>85.00000256799494</v>
      </c>
      <c r="M425" s="40">
        <v>3</v>
      </c>
      <c r="N425" s="11" t="s">
        <v>1568</v>
      </c>
      <c r="O425" s="11" t="s">
        <v>724</v>
      </c>
      <c r="P425" s="27" t="s">
        <v>174</v>
      </c>
      <c r="Q425" s="11" t="s">
        <v>34</v>
      </c>
      <c r="R425" s="1">
        <f t="shared" si="204"/>
        <v>248248.16</v>
      </c>
      <c r="S425" s="2">
        <v>248248.16</v>
      </c>
      <c r="T425" s="2">
        <v>0</v>
      </c>
      <c r="U425" s="1">
        <f t="shared" si="205"/>
        <v>37967.360000000001</v>
      </c>
      <c r="V425" s="28">
        <v>37967.360000000001</v>
      </c>
      <c r="W425" s="28">
        <v>0</v>
      </c>
      <c r="X425" s="1">
        <f t="shared" si="206"/>
        <v>5841.13</v>
      </c>
      <c r="Y425" s="2">
        <v>5841.13</v>
      </c>
      <c r="Z425" s="2">
        <v>0</v>
      </c>
      <c r="AA425" s="2">
        <f t="shared" si="207"/>
        <v>0</v>
      </c>
      <c r="AB425" s="2">
        <v>0</v>
      </c>
      <c r="AC425" s="2">
        <v>0</v>
      </c>
      <c r="AD425" s="16">
        <f t="shared" si="200"/>
        <v>292056.65000000002</v>
      </c>
      <c r="AE425" s="2">
        <v>0</v>
      </c>
      <c r="AF425" s="2">
        <f t="shared" si="208"/>
        <v>292056.65000000002</v>
      </c>
      <c r="AG425" s="38" t="s">
        <v>486</v>
      </c>
      <c r="AH425" s="29"/>
      <c r="AI425" s="118">
        <v>0</v>
      </c>
      <c r="AJ425" s="118">
        <v>0</v>
      </c>
    </row>
    <row r="426" spans="1:36" s="179" customFormat="1" ht="204.75" x14ac:dyDescent="0.25">
      <c r="A426" s="6">
        <v>423</v>
      </c>
      <c r="B426" s="31">
        <v>120582</v>
      </c>
      <c r="C426" s="11">
        <v>109</v>
      </c>
      <c r="D426" s="9" t="s">
        <v>1638</v>
      </c>
      <c r="E426" s="24" t="s">
        <v>277</v>
      </c>
      <c r="F426" s="11" t="s">
        <v>177</v>
      </c>
      <c r="G426" s="11" t="s">
        <v>178</v>
      </c>
      <c r="H426" s="8" t="s">
        <v>151</v>
      </c>
      <c r="I426" s="46" t="s">
        <v>181</v>
      </c>
      <c r="J426" s="25">
        <v>43129</v>
      </c>
      <c r="K426" s="25">
        <v>43675</v>
      </c>
      <c r="L426" s="26">
        <f t="shared" ref="L426:L438" si="209">R426/AD426*100</f>
        <v>85.000000819683009</v>
      </c>
      <c r="M426" s="11">
        <v>1</v>
      </c>
      <c r="N426" s="11" t="s">
        <v>185</v>
      </c>
      <c r="O426" s="11" t="s">
        <v>185</v>
      </c>
      <c r="P426" s="27" t="s">
        <v>174</v>
      </c>
      <c r="Q426" s="11" t="s">
        <v>34</v>
      </c>
      <c r="R426" s="2">
        <f t="shared" ref="R426:R433" si="210">S426+T426</f>
        <v>518493.12</v>
      </c>
      <c r="S426" s="2">
        <v>518493.12</v>
      </c>
      <c r="T426" s="2">
        <v>0</v>
      </c>
      <c r="U426" s="1">
        <f t="shared" ref="U426:U438" si="211">V426+W426</f>
        <v>79298.94</v>
      </c>
      <c r="V426" s="28">
        <v>79298.94</v>
      </c>
      <c r="W426" s="28">
        <v>0</v>
      </c>
      <c r="X426" s="2">
        <f t="shared" ref="X426:X438" si="212">Y426+Z426</f>
        <v>12199.84</v>
      </c>
      <c r="Y426" s="2">
        <v>12199.84</v>
      </c>
      <c r="Z426" s="2">
        <v>0</v>
      </c>
      <c r="AA426" s="2">
        <f t="shared" ref="AA426:AA438" si="213">AB426+AC426</f>
        <v>0</v>
      </c>
      <c r="AB426" s="2">
        <v>0</v>
      </c>
      <c r="AC426" s="2">
        <v>0</v>
      </c>
      <c r="AD426" s="16">
        <f t="shared" si="200"/>
        <v>609991.9</v>
      </c>
      <c r="AE426" s="2">
        <v>0</v>
      </c>
      <c r="AF426" s="2">
        <f t="shared" ref="AF426:AF438" si="214">AD426+AE426</f>
        <v>609991.9</v>
      </c>
      <c r="AG426" s="21" t="s">
        <v>857</v>
      </c>
      <c r="AH426" s="29" t="s">
        <v>1046</v>
      </c>
      <c r="AI426" s="30">
        <v>460519.85000000003</v>
      </c>
      <c r="AJ426" s="130">
        <v>70432.44</v>
      </c>
    </row>
    <row r="427" spans="1:36" s="179" customFormat="1" ht="173.25" x14ac:dyDescent="0.25">
      <c r="A427" s="6">
        <v>424</v>
      </c>
      <c r="B427" s="31">
        <v>120630</v>
      </c>
      <c r="C427" s="11">
        <v>101</v>
      </c>
      <c r="D427" s="9" t="s">
        <v>1638</v>
      </c>
      <c r="E427" s="24" t="s">
        <v>277</v>
      </c>
      <c r="F427" s="11" t="s">
        <v>236</v>
      </c>
      <c r="G427" s="11" t="s">
        <v>1135</v>
      </c>
      <c r="H427" s="8" t="s">
        <v>151</v>
      </c>
      <c r="I427" s="12" t="s">
        <v>243</v>
      </c>
      <c r="J427" s="25">
        <v>43145</v>
      </c>
      <c r="K427" s="25">
        <v>43630</v>
      </c>
      <c r="L427" s="26">
        <f t="shared" si="209"/>
        <v>85.000000236289679</v>
      </c>
      <c r="M427" s="11">
        <v>1</v>
      </c>
      <c r="N427" s="11" t="s">
        <v>185</v>
      </c>
      <c r="O427" s="11" t="s">
        <v>242</v>
      </c>
      <c r="P427" s="27" t="s">
        <v>174</v>
      </c>
      <c r="Q427" s="11" t="s">
        <v>34</v>
      </c>
      <c r="R427" s="2">
        <f t="shared" si="210"/>
        <v>359727.94</v>
      </c>
      <c r="S427" s="2">
        <v>359727.94</v>
      </c>
      <c r="T427" s="2">
        <v>0</v>
      </c>
      <c r="U427" s="1">
        <f t="shared" si="211"/>
        <v>55017.21</v>
      </c>
      <c r="V427" s="28">
        <v>55017.21</v>
      </c>
      <c r="W427" s="28">
        <v>0</v>
      </c>
      <c r="X427" s="2">
        <f t="shared" si="212"/>
        <v>8464.19</v>
      </c>
      <c r="Y427" s="2">
        <v>8464.19</v>
      </c>
      <c r="Z427" s="2">
        <v>0</v>
      </c>
      <c r="AA427" s="2">
        <f t="shared" si="213"/>
        <v>0</v>
      </c>
      <c r="AB427" s="2">
        <v>0</v>
      </c>
      <c r="AC427" s="2">
        <v>0</v>
      </c>
      <c r="AD427" s="16">
        <f t="shared" si="200"/>
        <v>423209.34</v>
      </c>
      <c r="AE427" s="2">
        <v>0</v>
      </c>
      <c r="AF427" s="2">
        <f t="shared" si="214"/>
        <v>423209.34</v>
      </c>
      <c r="AG427" s="21" t="s">
        <v>857</v>
      </c>
      <c r="AH427" s="29"/>
      <c r="AI427" s="30">
        <v>270648.24</v>
      </c>
      <c r="AJ427" s="30">
        <v>41393.249999999993</v>
      </c>
    </row>
    <row r="428" spans="1:36" s="179" customFormat="1" ht="157.5" x14ac:dyDescent="0.25">
      <c r="A428" s="6">
        <v>425</v>
      </c>
      <c r="B428" s="31">
        <v>120672</v>
      </c>
      <c r="C428" s="11">
        <v>106</v>
      </c>
      <c r="D428" s="9" t="s">
        <v>1638</v>
      </c>
      <c r="E428" s="24" t="s">
        <v>277</v>
      </c>
      <c r="F428" s="11" t="s">
        <v>237</v>
      </c>
      <c r="G428" s="11" t="s">
        <v>916</v>
      </c>
      <c r="H428" s="8" t="s">
        <v>151</v>
      </c>
      <c r="I428" s="12" t="s">
        <v>244</v>
      </c>
      <c r="J428" s="25">
        <v>43145</v>
      </c>
      <c r="K428" s="25">
        <v>43630</v>
      </c>
      <c r="L428" s="26">
        <f t="shared" si="209"/>
        <v>84.999999174149096</v>
      </c>
      <c r="M428" s="11">
        <v>1</v>
      </c>
      <c r="N428" s="11" t="s">
        <v>185</v>
      </c>
      <c r="O428" s="11" t="s">
        <v>185</v>
      </c>
      <c r="P428" s="27" t="s">
        <v>174</v>
      </c>
      <c r="Q428" s="11" t="s">
        <v>34</v>
      </c>
      <c r="R428" s="2">
        <f t="shared" si="210"/>
        <v>360234.51</v>
      </c>
      <c r="S428" s="37">
        <v>360234.51</v>
      </c>
      <c r="T428" s="2">
        <v>0</v>
      </c>
      <c r="U428" s="1">
        <f t="shared" si="211"/>
        <v>55094.69</v>
      </c>
      <c r="V428" s="42">
        <v>55094.69</v>
      </c>
      <c r="W428" s="28">
        <v>0</v>
      </c>
      <c r="X428" s="103">
        <f t="shared" si="212"/>
        <v>8476.11</v>
      </c>
      <c r="Y428" s="37">
        <v>8476.11</v>
      </c>
      <c r="Z428" s="103">
        <v>0</v>
      </c>
      <c r="AA428" s="103">
        <f t="shared" si="213"/>
        <v>0</v>
      </c>
      <c r="AB428" s="2">
        <v>0</v>
      </c>
      <c r="AC428" s="2">
        <v>0</v>
      </c>
      <c r="AD428" s="16">
        <f t="shared" si="200"/>
        <v>423805.31</v>
      </c>
      <c r="AE428" s="2">
        <v>0</v>
      </c>
      <c r="AF428" s="2">
        <f t="shared" si="214"/>
        <v>423805.31</v>
      </c>
      <c r="AG428" s="21" t="s">
        <v>857</v>
      </c>
      <c r="AH428" s="29"/>
      <c r="AI428" s="30">
        <v>331258.69999999995</v>
      </c>
      <c r="AJ428" s="30">
        <v>50663.100000000006</v>
      </c>
    </row>
    <row r="429" spans="1:36" s="179" customFormat="1" ht="141.75" x14ac:dyDescent="0.25">
      <c r="A429" s="6">
        <v>426</v>
      </c>
      <c r="B429" s="31">
        <v>118196</v>
      </c>
      <c r="C429" s="11">
        <v>425</v>
      </c>
      <c r="D429" s="32" t="s">
        <v>1639</v>
      </c>
      <c r="E429" s="24" t="s">
        <v>507</v>
      </c>
      <c r="F429" s="11" t="s">
        <v>500</v>
      </c>
      <c r="G429" s="11" t="s">
        <v>503</v>
      </c>
      <c r="H429" s="8" t="s">
        <v>151</v>
      </c>
      <c r="I429" s="12" t="s">
        <v>501</v>
      </c>
      <c r="J429" s="25">
        <v>43269</v>
      </c>
      <c r="K429" s="25">
        <v>43756</v>
      </c>
      <c r="L429" s="26">
        <f t="shared" si="209"/>
        <v>85</v>
      </c>
      <c r="M429" s="11">
        <v>1</v>
      </c>
      <c r="N429" s="11" t="s">
        <v>185</v>
      </c>
      <c r="O429" s="11" t="s">
        <v>185</v>
      </c>
      <c r="P429" s="27" t="s">
        <v>174</v>
      </c>
      <c r="Q429" s="11" t="s">
        <v>34</v>
      </c>
      <c r="R429" s="37">
        <f t="shared" si="210"/>
        <v>339668.5</v>
      </c>
      <c r="S429" s="37">
        <v>339668.5</v>
      </c>
      <c r="T429" s="37">
        <v>0</v>
      </c>
      <c r="U429" s="1">
        <f t="shared" si="211"/>
        <v>51949.3</v>
      </c>
      <c r="V429" s="42">
        <v>51949.3</v>
      </c>
      <c r="W429" s="42">
        <v>0</v>
      </c>
      <c r="X429" s="103">
        <f t="shared" si="212"/>
        <v>7992.2</v>
      </c>
      <c r="Y429" s="37">
        <v>7992.2</v>
      </c>
      <c r="Z429" s="37">
        <v>0</v>
      </c>
      <c r="AA429" s="2">
        <f t="shared" si="213"/>
        <v>0</v>
      </c>
      <c r="AB429" s="2">
        <v>0</v>
      </c>
      <c r="AC429" s="2">
        <v>0</v>
      </c>
      <c r="AD429" s="16">
        <f t="shared" si="200"/>
        <v>399610</v>
      </c>
      <c r="AE429" s="37">
        <v>0</v>
      </c>
      <c r="AF429" s="2">
        <f t="shared" si="214"/>
        <v>399610</v>
      </c>
      <c r="AG429" s="21" t="s">
        <v>857</v>
      </c>
      <c r="AH429" s="29"/>
      <c r="AI429" s="30">
        <v>263215.08999999997</v>
      </c>
      <c r="AJ429" s="30">
        <v>40256.43</v>
      </c>
    </row>
    <row r="430" spans="1:36" s="179" customFormat="1" ht="141.75" x14ac:dyDescent="0.25">
      <c r="A430" s="6">
        <v>427</v>
      </c>
      <c r="B430" s="31">
        <v>126155</v>
      </c>
      <c r="C430" s="11">
        <v>544</v>
      </c>
      <c r="D430" s="9" t="s">
        <v>1638</v>
      </c>
      <c r="E430" s="24" t="s">
        <v>899</v>
      </c>
      <c r="F430" s="11" t="s">
        <v>909</v>
      </c>
      <c r="G430" s="11" t="s">
        <v>910</v>
      </c>
      <c r="H430" s="8" t="s">
        <v>151</v>
      </c>
      <c r="I430" s="12" t="s">
        <v>911</v>
      </c>
      <c r="J430" s="25">
        <v>43437</v>
      </c>
      <c r="K430" s="25">
        <v>44533</v>
      </c>
      <c r="L430" s="26">
        <f t="shared" si="209"/>
        <v>85.000000318097122</v>
      </c>
      <c r="M430" s="11">
        <v>1</v>
      </c>
      <c r="N430" s="11" t="s">
        <v>185</v>
      </c>
      <c r="O430" s="11" t="s">
        <v>185</v>
      </c>
      <c r="P430" s="27" t="s">
        <v>174</v>
      </c>
      <c r="Q430" s="11" t="s">
        <v>34</v>
      </c>
      <c r="R430" s="37">
        <f t="shared" si="210"/>
        <v>2672139.91</v>
      </c>
      <c r="S430" s="37">
        <v>2672139.91</v>
      </c>
      <c r="T430" s="37">
        <v>0</v>
      </c>
      <c r="U430" s="1">
        <f t="shared" si="211"/>
        <v>408680.21</v>
      </c>
      <c r="V430" s="42">
        <v>408680.21</v>
      </c>
      <c r="W430" s="42">
        <v>0</v>
      </c>
      <c r="X430" s="103">
        <f t="shared" si="212"/>
        <v>62873.88</v>
      </c>
      <c r="Y430" s="37">
        <v>62873.88</v>
      </c>
      <c r="Z430" s="37">
        <v>0</v>
      </c>
      <c r="AA430" s="2">
        <f t="shared" si="213"/>
        <v>0</v>
      </c>
      <c r="AB430" s="2">
        <v>0</v>
      </c>
      <c r="AC430" s="2">
        <v>0</v>
      </c>
      <c r="AD430" s="16">
        <f t="shared" si="200"/>
        <v>3143694</v>
      </c>
      <c r="AE430" s="37">
        <v>0</v>
      </c>
      <c r="AF430" s="2">
        <f t="shared" si="214"/>
        <v>3143694</v>
      </c>
      <c r="AG430" s="38" t="s">
        <v>857</v>
      </c>
      <c r="AH430" s="29" t="s">
        <v>1762</v>
      </c>
      <c r="AI430" s="30">
        <f>810585.98+89720.9+63383.91+272519.44+397180.87+679849.55</f>
        <v>2313240.6500000004</v>
      </c>
      <c r="AJ430" s="30">
        <f>123971.92+13722.02+9694+41679.44+60745.3+103976.99</f>
        <v>353789.67</v>
      </c>
    </row>
    <row r="431" spans="1:36" s="179" customFormat="1" ht="138" customHeight="1" x14ac:dyDescent="0.25">
      <c r="A431" s="6">
        <v>428</v>
      </c>
      <c r="B431" s="31">
        <v>125900</v>
      </c>
      <c r="C431" s="11">
        <v>518</v>
      </c>
      <c r="D431" s="9" t="s">
        <v>1638</v>
      </c>
      <c r="E431" s="24" t="s">
        <v>899</v>
      </c>
      <c r="F431" s="11" t="s">
        <v>915</v>
      </c>
      <c r="G431" s="11" t="s">
        <v>178</v>
      </c>
      <c r="H431" s="8" t="s">
        <v>151</v>
      </c>
      <c r="I431" s="12" t="s">
        <v>2853</v>
      </c>
      <c r="J431" s="25">
        <v>43439</v>
      </c>
      <c r="K431" s="25">
        <v>44109</v>
      </c>
      <c r="L431" s="26">
        <f t="shared" si="209"/>
        <v>85.000001224772731</v>
      </c>
      <c r="M431" s="11">
        <v>1</v>
      </c>
      <c r="N431" s="11" t="s">
        <v>185</v>
      </c>
      <c r="O431" s="11" t="s">
        <v>185</v>
      </c>
      <c r="P431" s="27" t="s">
        <v>174</v>
      </c>
      <c r="Q431" s="11" t="s">
        <v>34</v>
      </c>
      <c r="R431" s="37">
        <f t="shared" si="210"/>
        <v>694006.31</v>
      </c>
      <c r="S431" s="37">
        <v>694006.31</v>
      </c>
      <c r="T431" s="37">
        <v>0</v>
      </c>
      <c r="U431" s="1">
        <f t="shared" si="211"/>
        <v>106142.13</v>
      </c>
      <c r="V431" s="42">
        <v>106142.13</v>
      </c>
      <c r="W431" s="42">
        <v>0</v>
      </c>
      <c r="X431" s="103">
        <f t="shared" si="212"/>
        <v>16329.56</v>
      </c>
      <c r="Y431" s="37">
        <v>16329.56</v>
      </c>
      <c r="Z431" s="37">
        <v>0</v>
      </c>
      <c r="AA431" s="2">
        <f t="shared" si="213"/>
        <v>0</v>
      </c>
      <c r="AB431" s="37">
        <v>0</v>
      </c>
      <c r="AC431" s="37">
        <v>0</v>
      </c>
      <c r="AD431" s="16">
        <f t="shared" si="200"/>
        <v>816478.00000000012</v>
      </c>
      <c r="AE431" s="37">
        <v>0</v>
      </c>
      <c r="AF431" s="2">
        <f t="shared" si="214"/>
        <v>816478.00000000012</v>
      </c>
      <c r="AG431" s="38" t="s">
        <v>857</v>
      </c>
      <c r="AH431" s="29" t="s">
        <v>1517</v>
      </c>
      <c r="AI431" s="30">
        <f>233487.13+113184.8+158166.13</f>
        <v>504838.06</v>
      </c>
      <c r="AJ431" s="30">
        <f>35709.8+17310.62+24190.11</f>
        <v>77210.53</v>
      </c>
    </row>
    <row r="432" spans="1:36" s="179" customFormat="1" ht="157.5" x14ac:dyDescent="0.25">
      <c r="A432" s="6">
        <v>429</v>
      </c>
      <c r="B432" s="31">
        <v>126350</v>
      </c>
      <c r="C432" s="11">
        <v>570</v>
      </c>
      <c r="D432" s="9" t="s">
        <v>1638</v>
      </c>
      <c r="E432" s="24" t="s">
        <v>899</v>
      </c>
      <c r="F432" s="11" t="s">
        <v>1041</v>
      </c>
      <c r="G432" s="11" t="s">
        <v>916</v>
      </c>
      <c r="H432" s="8" t="s">
        <v>151</v>
      </c>
      <c r="I432" s="12" t="s">
        <v>2854</v>
      </c>
      <c r="J432" s="25">
        <v>43564</v>
      </c>
      <c r="K432" s="25">
        <v>44601</v>
      </c>
      <c r="L432" s="26">
        <f t="shared" si="209"/>
        <v>84.999999916591278</v>
      </c>
      <c r="M432" s="11">
        <v>1</v>
      </c>
      <c r="N432" s="11" t="s">
        <v>185</v>
      </c>
      <c r="O432" s="11" t="s">
        <v>185</v>
      </c>
      <c r="P432" s="27" t="s">
        <v>174</v>
      </c>
      <c r="Q432" s="11" t="s">
        <v>34</v>
      </c>
      <c r="R432" s="37">
        <f t="shared" si="210"/>
        <v>2038156.45</v>
      </c>
      <c r="S432" s="37">
        <v>2038156.45</v>
      </c>
      <c r="T432" s="37">
        <v>0</v>
      </c>
      <c r="U432" s="1">
        <f t="shared" si="211"/>
        <v>311718.05</v>
      </c>
      <c r="V432" s="42">
        <v>311718.05</v>
      </c>
      <c r="W432" s="42">
        <v>0</v>
      </c>
      <c r="X432" s="103">
        <f t="shared" si="212"/>
        <v>47956.62</v>
      </c>
      <c r="Y432" s="37">
        <v>47956.62</v>
      </c>
      <c r="Z432" s="37">
        <v>0</v>
      </c>
      <c r="AA432" s="2">
        <f t="shared" si="213"/>
        <v>0</v>
      </c>
      <c r="AB432" s="2">
        <v>0</v>
      </c>
      <c r="AC432" s="2">
        <v>0</v>
      </c>
      <c r="AD432" s="16">
        <f t="shared" si="200"/>
        <v>2397831.12</v>
      </c>
      <c r="AE432" s="37">
        <v>35700</v>
      </c>
      <c r="AF432" s="2">
        <f t="shared" si="214"/>
        <v>2433531.12</v>
      </c>
      <c r="AG432" s="38" t="s">
        <v>857</v>
      </c>
      <c r="AH432" s="29" t="s">
        <v>1963</v>
      </c>
      <c r="AI432" s="30">
        <f>167370.71+11789.5+6828.9+28082.3+927806.47+74593.07+568058.77+39557.59</f>
        <v>1824087.31</v>
      </c>
      <c r="AJ432" s="30">
        <f>25597.86+1803.1+1044.42+4294.94+141899.83+11408.35+86879.57+6049.98</f>
        <v>278978.05</v>
      </c>
    </row>
    <row r="433" spans="1:36" s="179" customFormat="1" ht="157.5" x14ac:dyDescent="0.25">
      <c r="A433" s="6">
        <v>430</v>
      </c>
      <c r="B433" s="31">
        <v>128787</v>
      </c>
      <c r="C433" s="11">
        <v>631</v>
      </c>
      <c r="D433" s="9" t="s">
        <v>1638</v>
      </c>
      <c r="E433" s="24" t="s">
        <v>1071</v>
      </c>
      <c r="F433" s="11" t="s">
        <v>1093</v>
      </c>
      <c r="G433" s="11" t="s">
        <v>1135</v>
      </c>
      <c r="H433" s="8" t="s">
        <v>151</v>
      </c>
      <c r="I433" s="12" t="s">
        <v>1094</v>
      </c>
      <c r="J433" s="25">
        <v>43622</v>
      </c>
      <c r="K433" s="25">
        <v>44810</v>
      </c>
      <c r="L433" s="26">
        <f t="shared" si="209"/>
        <v>84.999999929965156</v>
      </c>
      <c r="M433" s="11">
        <v>1</v>
      </c>
      <c r="N433" s="11" t="s">
        <v>185</v>
      </c>
      <c r="O433" s="11" t="s">
        <v>242</v>
      </c>
      <c r="P433" s="27" t="s">
        <v>174</v>
      </c>
      <c r="Q433" s="11" t="s">
        <v>34</v>
      </c>
      <c r="R433" s="37">
        <f t="shared" si="210"/>
        <v>3034203.56</v>
      </c>
      <c r="S433" s="37">
        <v>3034203.56</v>
      </c>
      <c r="T433" s="37">
        <v>0</v>
      </c>
      <c r="U433" s="37">
        <f t="shared" si="211"/>
        <v>464054.66</v>
      </c>
      <c r="V433" s="42">
        <v>464054.66</v>
      </c>
      <c r="W433" s="42">
        <v>0</v>
      </c>
      <c r="X433" s="131">
        <f t="shared" si="212"/>
        <v>71393.03</v>
      </c>
      <c r="Y433" s="132">
        <v>71393.03</v>
      </c>
      <c r="Z433" s="37">
        <v>0</v>
      </c>
      <c r="AA433" s="2">
        <f t="shared" si="213"/>
        <v>0</v>
      </c>
      <c r="AB433" s="37">
        <v>0</v>
      </c>
      <c r="AC433" s="37">
        <v>0</v>
      </c>
      <c r="AD433" s="16">
        <f t="shared" si="200"/>
        <v>3569651.25</v>
      </c>
      <c r="AE433" s="37">
        <v>0</v>
      </c>
      <c r="AF433" s="2">
        <f t="shared" si="214"/>
        <v>3569651.25</v>
      </c>
      <c r="AG433" s="38" t="s">
        <v>857</v>
      </c>
      <c r="AH433" s="29" t="s">
        <v>2204</v>
      </c>
      <c r="AI433" s="30">
        <f>504827.43-10178.86-5459.66-2835.27-2355.43+784894.2-14533.64+297128.13-2576.18+65322.5+475332.19+169411.38+341381.25</f>
        <v>2600358.04</v>
      </c>
      <c r="AJ433" s="30">
        <f>22614.24+10178.86+5459.66+2835.27+2355.43+123050.81+14533.64+45443.12+2576.18+9990.5+75697.31+17755.37+52211.25</f>
        <v>384701.64</v>
      </c>
    </row>
    <row r="434" spans="1:36" s="179" customFormat="1" ht="141.75" x14ac:dyDescent="0.25">
      <c r="A434" s="6">
        <v>431</v>
      </c>
      <c r="B434" s="31">
        <v>136326</v>
      </c>
      <c r="C434" s="11">
        <v>812</v>
      </c>
      <c r="D434" s="9" t="s">
        <v>1638</v>
      </c>
      <c r="E434" s="24" t="s">
        <v>1441</v>
      </c>
      <c r="F434" s="11" t="s">
        <v>1489</v>
      </c>
      <c r="G434" s="11" t="s">
        <v>916</v>
      </c>
      <c r="H434" s="8" t="s">
        <v>151</v>
      </c>
      <c r="I434" s="12" t="s">
        <v>2855</v>
      </c>
      <c r="J434" s="25">
        <v>43970</v>
      </c>
      <c r="K434" s="25">
        <v>44518</v>
      </c>
      <c r="L434" s="26">
        <f t="shared" si="209"/>
        <v>85.00000053912315</v>
      </c>
      <c r="M434" s="11">
        <v>1</v>
      </c>
      <c r="N434" s="11" t="s">
        <v>185</v>
      </c>
      <c r="O434" s="11" t="s">
        <v>185</v>
      </c>
      <c r="P434" s="27" t="s">
        <v>174</v>
      </c>
      <c r="Q434" s="11" t="s">
        <v>34</v>
      </c>
      <c r="R434" s="37">
        <f>S434+T434</f>
        <v>788317.12</v>
      </c>
      <c r="S434" s="37">
        <v>788317.12</v>
      </c>
      <c r="T434" s="37">
        <v>0</v>
      </c>
      <c r="U434" s="37">
        <f t="shared" si="211"/>
        <v>120566.14</v>
      </c>
      <c r="V434" s="42">
        <v>120566.14</v>
      </c>
      <c r="W434" s="42">
        <v>0</v>
      </c>
      <c r="X434" s="131">
        <f t="shared" si="212"/>
        <v>18548.64</v>
      </c>
      <c r="Y434" s="133">
        <v>18548.64</v>
      </c>
      <c r="Z434" s="37">
        <v>0</v>
      </c>
      <c r="AA434" s="2">
        <f t="shared" si="213"/>
        <v>0</v>
      </c>
      <c r="AB434" s="37">
        <v>0</v>
      </c>
      <c r="AC434" s="37">
        <v>0</v>
      </c>
      <c r="AD434" s="16">
        <f t="shared" si="200"/>
        <v>927431.9</v>
      </c>
      <c r="AE434" s="37">
        <v>0</v>
      </c>
      <c r="AF434" s="2">
        <f t="shared" si="214"/>
        <v>927431.9</v>
      </c>
      <c r="AG434" s="38" t="s">
        <v>857</v>
      </c>
      <c r="AH434" s="29"/>
      <c r="AI434" s="30">
        <f>16971.95+12398.1+17217.92+17584.8+352154.92</f>
        <v>416327.69</v>
      </c>
      <c r="AJ434" s="30">
        <f>2595.71+1896.18+2633.33+2689.44+53858.98</f>
        <v>63673.64</v>
      </c>
    </row>
    <row r="435" spans="1:36" s="179" customFormat="1" ht="236.25" x14ac:dyDescent="0.25">
      <c r="A435" s="6">
        <v>432</v>
      </c>
      <c r="B435" s="31">
        <v>136134</v>
      </c>
      <c r="C435" s="11">
        <v>829</v>
      </c>
      <c r="D435" s="9" t="s">
        <v>1638</v>
      </c>
      <c r="E435" s="24" t="s">
        <v>1441</v>
      </c>
      <c r="F435" s="11" t="s">
        <v>1564</v>
      </c>
      <c r="G435" s="11" t="s">
        <v>1135</v>
      </c>
      <c r="H435" s="8" t="s">
        <v>151</v>
      </c>
      <c r="I435" s="12" t="s">
        <v>2856</v>
      </c>
      <c r="J435" s="25">
        <v>44014</v>
      </c>
      <c r="K435" s="25">
        <v>45018</v>
      </c>
      <c r="L435" s="26">
        <f t="shared" si="209"/>
        <v>85</v>
      </c>
      <c r="M435" s="11">
        <v>1</v>
      </c>
      <c r="N435" s="11" t="s">
        <v>185</v>
      </c>
      <c r="O435" s="11" t="s">
        <v>242</v>
      </c>
      <c r="P435" s="27" t="s">
        <v>174</v>
      </c>
      <c r="Q435" s="11" t="s">
        <v>34</v>
      </c>
      <c r="R435" s="37">
        <f>S435+T435</f>
        <v>2452525.4</v>
      </c>
      <c r="S435" s="37">
        <v>2452525.4</v>
      </c>
      <c r="T435" s="37">
        <v>0</v>
      </c>
      <c r="U435" s="37">
        <f t="shared" si="211"/>
        <v>375092.12</v>
      </c>
      <c r="V435" s="42">
        <v>375092.12</v>
      </c>
      <c r="W435" s="42">
        <v>0</v>
      </c>
      <c r="X435" s="131">
        <f t="shared" si="212"/>
        <v>57706.48</v>
      </c>
      <c r="Y435" s="133">
        <v>57706.48</v>
      </c>
      <c r="Z435" s="37">
        <v>0</v>
      </c>
      <c r="AA435" s="2">
        <f t="shared" si="213"/>
        <v>0</v>
      </c>
      <c r="AB435" s="37">
        <v>0</v>
      </c>
      <c r="AC435" s="37">
        <v>0</v>
      </c>
      <c r="AD435" s="16">
        <f t="shared" si="200"/>
        <v>2885324</v>
      </c>
      <c r="AE435" s="37">
        <v>0</v>
      </c>
      <c r="AF435" s="2">
        <f t="shared" si="214"/>
        <v>2885324</v>
      </c>
      <c r="AG435" s="38" t="s">
        <v>486</v>
      </c>
      <c r="AH435" s="29" t="s">
        <v>3300</v>
      </c>
      <c r="AI435" s="30">
        <f>28853-2863.19+142731.06-11903.65-3858.41+93859.89-3651.96-3026.27+675137.17+122351.04</f>
        <v>1037628.6800000002</v>
      </c>
      <c r="AJ435" s="30">
        <f>2863.19+11903.65+3858.41+3651.96+3026.27+105097.28+18712.51</f>
        <v>149113.26999999999</v>
      </c>
    </row>
    <row r="436" spans="1:36" s="179" customFormat="1" ht="299.25" x14ac:dyDescent="0.25">
      <c r="A436" s="6">
        <v>433</v>
      </c>
      <c r="B436" s="31">
        <v>152130</v>
      </c>
      <c r="C436" s="11">
        <v>1135</v>
      </c>
      <c r="D436" s="9" t="s">
        <v>1639</v>
      </c>
      <c r="E436" s="24" t="s">
        <v>1801</v>
      </c>
      <c r="F436" s="11" t="s">
        <v>1885</v>
      </c>
      <c r="G436" s="11" t="s">
        <v>916</v>
      </c>
      <c r="H436" s="11" t="s">
        <v>1828</v>
      </c>
      <c r="I436" s="12" t="s">
        <v>1886</v>
      </c>
      <c r="J436" s="25">
        <v>44524</v>
      </c>
      <c r="K436" s="25">
        <v>45009</v>
      </c>
      <c r="L436" s="26">
        <f t="shared" si="209"/>
        <v>85.000000482427481</v>
      </c>
      <c r="M436" s="11">
        <v>1</v>
      </c>
      <c r="N436" s="11" t="s">
        <v>185</v>
      </c>
      <c r="O436" s="11" t="s">
        <v>185</v>
      </c>
      <c r="P436" s="27" t="s">
        <v>174</v>
      </c>
      <c r="Q436" s="11" t="s">
        <v>34</v>
      </c>
      <c r="R436" s="37">
        <f>S436+T436</f>
        <v>352384.57</v>
      </c>
      <c r="S436" s="37">
        <v>352384.57</v>
      </c>
      <c r="T436" s="37">
        <v>0</v>
      </c>
      <c r="U436" s="37">
        <f t="shared" si="211"/>
        <v>50695.71</v>
      </c>
      <c r="V436" s="42">
        <v>50695.71</v>
      </c>
      <c r="W436" s="42">
        <v>0</v>
      </c>
      <c r="X436" s="131">
        <f t="shared" si="212"/>
        <v>11489.8</v>
      </c>
      <c r="Y436" s="133">
        <v>11489.8</v>
      </c>
      <c r="Z436" s="37">
        <v>0</v>
      </c>
      <c r="AA436" s="2">
        <f t="shared" si="213"/>
        <v>0</v>
      </c>
      <c r="AB436" s="37">
        <v>0</v>
      </c>
      <c r="AC436" s="37">
        <v>0</v>
      </c>
      <c r="AD436" s="16">
        <f t="shared" si="200"/>
        <v>414570.08</v>
      </c>
      <c r="AE436" s="37">
        <v>0</v>
      </c>
      <c r="AF436" s="2">
        <f t="shared" si="214"/>
        <v>414570.08</v>
      </c>
      <c r="AG436" s="38" t="s">
        <v>486</v>
      </c>
      <c r="AH436" s="29"/>
      <c r="AI436" s="30">
        <f>3649.49+12874.36+27941.82</f>
        <v>44465.67</v>
      </c>
      <c r="AJ436" s="30">
        <f>558.16+1969.02+3391.32</f>
        <v>5918.5</v>
      </c>
    </row>
    <row r="437" spans="1:36" s="179" customFormat="1" ht="141.75" x14ac:dyDescent="0.25">
      <c r="A437" s="6">
        <v>434</v>
      </c>
      <c r="B437" s="31">
        <v>153593</v>
      </c>
      <c r="C437" s="11">
        <v>1223</v>
      </c>
      <c r="D437" s="9" t="s">
        <v>1638</v>
      </c>
      <c r="E437" s="24" t="s">
        <v>2014</v>
      </c>
      <c r="F437" s="11" t="s">
        <v>2180</v>
      </c>
      <c r="G437" s="11" t="s">
        <v>503</v>
      </c>
      <c r="H437" s="11" t="s">
        <v>151</v>
      </c>
      <c r="I437" s="12" t="s">
        <v>2857</v>
      </c>
      <c r="J437" s="25">
        <v>44680</v>
      </c>
      <c r="K437" s="25">
        <v>45167</v>
      </c>
      <c r="L437" s="26">
        <f t="shared" si="209"/>
        <v>84.999999866294942</v>
      </c>
      <c r="M437" s="11">
        <v>1</v>
      </c>
      <c r="N437" s="11" t="s">
        <v>185</v>
      </c>
      <c r="O437" s="11" t="s">
        <v>185</v>
      </c>
      <c r="P437" s="27" t="s">
        <v>174</v>
      </c>
      <c r="Q437" s="11" t="s">
        <v>34</v>
      </c>
      <c r="R437" s="37">
        <f>S437+T437</f>
        <v>2542910.52</v>
      </c>
      <c r="S437" s="37">
        <v>2542910.52</v>
      </c>
      <c r="T437" s="37">
        <v>0</v>
      </c>
      <c r="U437" s="37">
        <f t="shared" si="211"/>
        <v>388915.73</v>
      </c>
      <c r="V437" s="42">
        <v>388915.73</v>
      </c>
      <c r="W437" s="42">
        <v>0</v>
      </c>
      <c r="X437" s="131">
        <f t="shared" si="212"/>
        <v>59833.19</v>
      </c>
      <c r="Y437" s="133">
        <v>59833.19</v>
      </c>
      <c r="Z437" s="37">
        <v>0</v>
      </c>
      <c r="AA437" s="2">
        <f t="shared" si="213"/>
        <v>0</v>
      </c>
      <c r="AB437" s="37">
        <v>0</v>
      </c>
      <c r="AC437" s="37">
        <v>0</v>
      </c>
      <c r="AD437" s="16">
        <f t="shared" si="200"/>
        <v>2991659.44</v>
      </c>
      <c r="AE437" s="37">
        <v>0</v>
      </c>
      <c r="AF437" s="2">
        <f t="shared" si="214"/>
        <v>2991659.44</v>
      </c>
      <c r="AG437" s="38" t="s">
        <v>486</v>
      </c>
      <c r="AH437" s="29"/>
      <c r="AI437" s="30">
        <v>0</v>
      </c>
      <c r="AJ437" s="30">
        <v>0</v>
      </c>
    </row>
    <row r="438" spans="1:36" s="179" customFormat="1" ht="236.25" x14ac:dyDescent="0.25">
      <c r="A438" s="6">
        <v>435</v>
      </c>
      <c r="B438" s="31">
        <v>155098</v>
      </c>
      <c r="C438" s="11">
        <v>1249</v>
      </c>
      <c r="D438" s="9" t="s">
        <v>1638</v>
      </c>
      <c r="E438" s="24" t="s">
        <v>2014</v>
      </c>
      <c r="F438" s="11" t="s">
        <v>2247</v>
      </c>
      <c r="G438" s="11" t="s">
        <v>916</v>
      </c>
      <c r="H438" s="11" t="s">
        <v>151</v>
      </c>
      <c r="I438" s="12" t="s">
        <v>2858</v>
      </c>
      <c r="J438" s="25">
        <v>44715</v>
      </c>
      <c r="K438" s="25">
        <v>45202</v>
      </c>
      <c r="L438" s="26">
        <f t="shared" si="209"/>
        <v>85.000000181717979</v>
      </c>
      <c r="M438" s="11">
        <v>1</v>
      </c>
      <c r="N438" s="11" t="s">
        <v>185</v>
      </c>
      <c r="O438" s="11" t="s">
        <v>185</v>
      </c>
      <c r="P438" s="27" t="s">
        <v>174</v>
      </c>
      <c r="Q438" s="11" t="s">
        <v>34</v>
      </c>
      <c r="R438" s="37">
        <f>S438+T438</f>
        <v>2338788.86</v>
      </c>
      <c r="S438" s="37">
        <v>2338788.86</v>
      </c>
      <c r="T438" s="37">
        <v>0</v>
      </c>
      <c r="U438" s="37">
        <f t="shared" si="211"/>
        <v>357697.12</v>
      </c>
      <c r="V438" s="42">
        <v>357697.12</v>
      </c>
      <c r="W438" s="42">
        <v>0</v>
      </c>
      <c r="X438" s="131">
        <f t="shared" si="212"/>
        <v>55030.32</v>
      </c>
      <c r="Y438" s="133">
        <v>55030.32</v>
      </c>
      <c r="Z438" s="37">
        <v>0</v>
      </c>
      <c r="AA438" s="2">
        <f t="shared" si="213"/>
        <v>0</v>
      </c>
      <c r="AB438" s="37">
        <v>0</v>
      </c>
      <c r="AC438" s="37">
        <v>0</v>
      </c>
      <c r="AD438" s="16">
        <f t="shared" si="200"/>
        <v>2751516.3</v>
      </c>
      <c r="AE438" s="37">
        <v>0</v>
      </c>
      <c r="AF438" s="2">
        <f t="shared" si="214"/>
        <v>2751516.3</v>
      </c>
      <c r="AG438" s="38" t="s">
        <v>486</v>
      </c>
      <c r="AH438" s="29"/>
      <c r="AI438" s="30">
        <v>0</v>
      </c>
      <c r="AJ438" s="30">
        <v>0</v>
      </c>
    </row>
    <row r="439" spans="1:36" s="179" customFormat="1" ht="409.5" x14ac:dyDescent="0.25">
      <c r="A439" s="6">
        <v>436</v>
      </c>
      <c r="B439" s="31">
        <v>118788</v>
      </c>
      <c r="C439" s="11">
        <v>445</v>
      </c>
      <c r="D439" s="32" t="s">
        <v>1639</v>
      </c>
      <c r="E439" s="32" t="s">
        <v>507</v>
      </c>
      <c r="F439" s="11" t="s">
        <v>735</v>
      </c>
      <c r="G439" s="11" t="s">
        <v>736</v>
      </c>
      <c r="H439" s="8" t="s">
        <v>151</v>
      </c>
      <c r="I439" s="32" t="s">
        <v>737</v>
      </c>
      <c r="J439" s="25">
        <v>43325</v>
      </c>
      <c r="K439" s="25">
        <v>43690</v>
      </c>
      <c r="L439" s="26">
        <f t="shared" ref="L439:L447" si="215">R439/AD439*100</f>
        <v>85.000001253240569</v>
      </c>
      <c r="M439" s="11">
        <v>2</v>
      </c>
      <c r="N439" s="11" t="s">
        <v>1919</v>
      </c>
      <c r="O439" s="11" t="s">
        <v>738</v>
      </c>
      <c r="P439" s="11" t="s">
        <v>174</v>
      </c>
      <c r="Q439" s="11" t="s">
        <v>34</v>
      </c>
      <c r="R439" s="30">
        <f t="shared" ref="R439:R447" si="216">S439+T439</f>
        <v>339120.85</v>
      </c>
      <c r="S439" s="30">
        <v>339120.85</v>
      </c>
      <c r="T439" s="41">
        <v>0</v>
      </c>
      <c r="U439" s="30">
        <f t="shared" ref="U439:U447" si="217">V439+W439</f>
        <v>51865.54</v>
      </c>
      <c r="V439" s="42">
        <v>51865.54</v>
      </c>
      <c r="W439" s="42">
        <v>0</v>
      </c>
      <c r="X439" s="30">
        <f t="shared" ref="X439:X447" si="218">Y439+Z439</f>
        <v>7979.31</v>
      </c>
      <c r="Y439" s="30">
        <v>7979.31</v>
      </c>
      <c r="Z439" s="30">
        <v>0</v>
      </c>
      <c r="AA439" s="2">
        <f t="shared" ref="AA439:AA447" si="219">AB439+AC439</f>
        <v>0</v>
      </c>
      <c r="AB439" s="2">
        <v>0</v>
      </c>
      <c r="AC439" s="2">
        <v>0</v>
      </c>
      <c r="AD439" s="16">
        <f t="shared" si="200"/>
        <v>398965.69999999995</v>
      </c>
      <c r="AE439" s="38"/>
      <c r="AF439" s="2">
        <f t="shared" ref="AF439:AF447" si="220">AD439+AE439</f>
        <v>398965.69999999995</v>
      </c>
      <c r="AG439" s="21" t="s">
        <v>857</v>
      </c>
      <c r="AH439" s="38" t="s">
        <v>151</v>
      </c>
      <c r="AI439" s="30">
        <v>285754.77</v>
      </c>
      <c r="AJ439" s="30">
        <v>43703.66</v>
      </c>
    </row>
    <row r="440" spans="1:36" s="179" customFormat="1" ht="252" x14ac:dyDescent="0.25">
      <c r="A440" s="6">
        <v>437</v>
      </c>
      <c r="B440" s="31">
        <v>125665</v>
      </c>
      <c r="C440" s="11">
        <v>557</v>
      </c>
      <c r="D440" s="9" t="s">
        <v>1638</v>
      </c>
      <c r="E440" s="32" t="s">
        <v>899</v>
      </c>
      <c r="F440" s="11" t="s">
        <v>900</v>
      </c>
      <c r="G440" s="11" t="s">
        <v>1660</v>
      </c>
      <c r="H440" s="8" t="s">
        <v>151</v>
      </c>
      <c r="I440" s="32" t="s">
        <v>2859</v>
      </c>
      <c r="J440" s="25">
        <v>43425</v>
      </c>
      <c r="K440" s="25">
        <v>44916</v>
      </c>
      <c r="L440" s="26">
        <f t="shared" si="215"/>
        <v>84.999999890649349</v>
      </c>
      <c r="M440" s="11">
        <v>2</v>
      </c>
      <c r="N440" s="11" t="s">
        <v>1919</v>
      </c>
      <c r="O440" s="11" t="s">
        <v>738</v>
      </c>
      <c r="P440" s="11" t="s">
        <v>174</v>
      </c>
      <c r="Q440" s="11" t="s">
        <v>34</v>
      </c>
      <c r="R440" s="30">
        <f t="shared" si="216"/>
        <v>3497921.5</v>
      </c>
      <c r="S440" s="30">
        <v>3497921.5</v>
      </c>
      <c r="T440" s="41">
        <v>0</v>
      </c>
      <c r="U440" s="30">
        <f t="shared" si="217"/>
        <v>534976.2300000001</v>
      </c>
      <c r="V440" s="42">
        <v>534976.2300000001</v>
      </c>
      <c r="W440" s="42">
        <v>0</v>
      </c>
      <c r="X440" s="30">
        <f t="shared" si="218"/>
        <v>82304.039999999994</v>
      </c>
      <c r="Y440" s="30">
        <v>82304.039999999994</v>
      </c>
      <c r="Z440" s="30">
        <v>0</v>
      </c>
      <c r="AA440" s="2">
        <f t="shared" si="219"/>
        <v>0</v>
      </c>
      <c r="AB440" s="2">
        <v>0</v>
      </c>
      <c r="AC440" s="2">
        <v>0</v>
      </c>
      <c r="AD440" s="16">
        <f t="shared" si="200"/>
        <v>4115201.77</v>
      </c>
      <c r="AE440" s="38">
        <v>114240</v>
      </c>
      <c r="AF440" s="2">
        <f t="shared" si="220"/>
        <v>4229441.7699999996</v>
      </c>
      <c r="AG440" s="38" t="s">
        <v>486</v>
      </c>
      <c r="AH440" s="38" t="s">
        <v>2408</v>
      </c>
      <c r="AI440" s="30">
        <f>142406.78+91705.18</f>
        <v>234111.96</v>
      </c>
      <c r="AJ440" s="30">
        <f>21779.86+14025.5</f>
        <v>35805.360000000001</v>
      </c>
    </row>
    <row r="441" spans="1:36" s="179" customFormat="1" ht="157.5" x14ac:dyDescent="0.25">
      <c r="A441" s="6">
        <v>438</v>
      </c>
      <c r="B441" s="31">
        <v>136071</v>
      </c>
      <c r="C441" s="11">
        <v>768</v>
      </c>
      <c r="D441" s="9" t="s">
        <v>1638</v>
      </c>
      <c r="E441" s="24" t="s">
        <v>1441</v>
      </c>
      <c r="F441" s="31" t="s">
        <v>1451</v>
      </c>
      <c r="G441" s="11" t="s">
        <v>1660</v>
      </c>
      <c r="H441" s="8" t="s">
        <v>151</v>
      </c>
      <c r="I441" s="12" t="s">
        <v>2860</v>
      </c>
      <c r="J441" s="25">
        <v>43949</v>
      </c>
      <c r="K441" s="25">
        <v>44648</v>
      </c>
      <c r="L441" s="26">
        <f t="shared" si="215"/>
        <v>85</v>
      </c>
      <c r="M441" s="11">
        <v>2</v>
      </c>
      <c r="N441" s="11" t="s">
        <v>1919</v>
      </c>
      <c r="O441" s="11" t="s">
        <v>738</v>
      </c>
      <c r="P441" s="11" t="s">
        <v>174</v>
      </c>
      <c r="Q441" s="11" t="s">
        <v>34</v>
      </c>
      <c r="R441" s="30">
        <f t="shared" si="216"/>
        <v>576959.6</v>
      </c>
      <c r="S441" s="30">
        <v>576959.6</v>
      </c>
      <c r="T441" s="42">
        <v>0</v>
      </c>
      <c r="U441" s="30">
        <f t="shared" si="217"/>
        <v>88240.88</v>
      </c>
      <c r="V441" s="42">
        <v>88240.88</v>
      </c>
      <c r="W441" s="42">
        <v>0</v>
      </c>
      <c r="X441" s="30">
        <f t="shared" si="218"/>
        <v>13575.52</v>
      </c>
      <c r="Y441" s="30">
        <v>13575.52</v>
      </c>
      <c r="Z441" s="30">
        <v>0</v>
      </c>
      <c r="AA441" s="2">
        <f t="shared" si="219"/>
        <v>0</v>
      </c>
      <c r="AB441" s="2">
        <v>0</v>
      </c>
      <c r="AC441" s="2">
        <v>0</v>
      </c>
      <c r="AD441" s="16">
        <f t="shared" si="200"/>
        <v>678776</v>
      </c>
      <c r="AE441" s="38">
        <v>0</v>
      </c>
      <c r="AF441" s="2">
        <f t="shared" si="220"/>
        <v>678776</v>
      </c>
      <c r="AG441" s="38" t="s">
        <v>857</v>
      </c>
      <c r="AH441" s="38" t="s">
        <v>1795</v>
      </c>
      <c r="AI441" s="30">
        <f>112223.9+273641.1+143420.59</f>
        <v>529285.59</v>
      </c>
      <c r="AJ441" s="30">
        <f>17163.66+41850.99+21934.91</f>
        <v>80949.56</v>
      </c>
    </row>
    <row r="442" spans="1:36" s="179" customFormat="1" ht="157.5" x14ac:dyDescent="0.25">
      <c r="A442" s="6">
        <v>439</v>
      </c>
      <c r="B442" s="31">
        <v>136088</v>
      </c>
      <c r="C442" s="11">
        <v>813</v>
      </c>
      <c r="D442" s="9" t="s">
        <v>1638</v>
      </c>
      <c r="E442" s="24" t="s">
        <v>1441</v>
      </c>
      <c r="F442" s="31" t="s">
        <v>1529</v>
      </c>
      <c r="G442" s="11" t="s">
        <v>736</v>
      </c>
      <c r="H442" s="8" t="s">
        <v>151</v>
      </c>
      <c r="I442" s="12" t="s">
        <v>1530</v>
      </c>
      <c r="J442" s="25">
        <v>43998</v>
      </c>
      <c r="K442" s="25">
        <v>44697</v>
      </c>
      <c r="L442" s="26">
        <f t="shared" si="215"/>
        <v>85.00000001266109</v>
      </c>
      <c r="M442" s="11">
        <v>2</v>
      </c>
      <c r="N442" s="11" t="s">
        <v>1919</v>
      </c>
      <c r="O442" s="11" t="s">
        <v>1531</v>
      </c>
      <c r="P442" s="11" t="s">
        <v>174</v>
      </c>
      <c r="Q442" s="11" t="s">
        <v>34</v>
      </c>
      <c r="R442" s="30">
        <f t="shared" si="216"/>
        <v>3356741.18</v>
      </c>
      <c r="S442" s="30">
        <v>3356741.18</v>
      </c>
      <c r="T442" s="42">
        <v>0</v>
      </c>
      <c r="U442" s="30">
        <f t="shared" si="217"/>
        <v>513383.94</v>
      </c>
      <c r="V442" s="42">
        <v>513383.94</v>
      </c>
      <c r="W442" s="42">
        <v>0</v>
      </c>
      <c r="X442" s="30">
        <f t="shared" si="218"/>
        <v>78982.149999999994</v>
      </c>
      <c r="Y442" s="30">
        <v>78982.149999999994</v>
      </c>
      <c r="Z442" s="30">
        <v>0</v>
      </c>
      <c r="AA442" s="2">
        <f t="shared" si="219"/>
        <v>0</v>
      </c>
      <c r="AB442" s="2">
        <v>0</v>
      </c>
      <c r="AC442" s="2">
        <v>0</v>
      </c>
      <c r="AD442" s="16">
        <f t="shared" si="200"/>
        <v>3949107.27</v>
      </c>
      <c r="AE442" s="38">
        <v>0</v>
      </c>
      <c r="AF442" s="2">
        <f t="shared" si="220"/>
        <v>3949107.27</v>
      </c>
      <c r="AG442" s="38" t="s">
        <v>857</v>
      </c>
      <c r="AH442" s="38" t="s">
        <v>1753</v>
      </c>
      <c r="AI442" s="30">
        <f>52842.15+27804.95+103071.85+658319.58+1619716.52+9644.1+27866.69</f>
        <v>2499265.84</v>
      </c>
      <c r="AJ442" s="30">
        <f>8081.74+4252.52+15763.93+100684.17+247721.35+1474.98+4261.96</f>
        <v>382240.65</v>
      </c>
    </row>
    <row r="443" spans="1:36" s="179" customFormat="1" ht="141.75" x14ac:dyDescent="0.25">
      <c r="A443" s="6">
        <v>440</v>
      </c>
      <c r="B443" s="31">
        <v>152174</v>
      </c>
      <c r="C443" s="11">
        <v>1108</v>
      </c>
      <c r="D443" s="9" t="s">
        <v>1639</v>
      </c>
      <c r="E443" s="24" t="s">
        <v>1801</v>
      </c>
      <c r="F443" s="31" t="s">
        <v>1821</v>
      </c>
      <c r="G443" s="11" t="s">
        <v>1660</v>
      </c>
      <c r="H443" s="8" t="s">
        <v>151</v>
      </c>
      <c r="I443" s="12" t="s">
        <v>2861</v>
      </c>
      <c r="J443" s="25">
        <v>44481</v>
      </c>
      <c r="K443" s="25">
        <v>44969</v>
      </c>
      <c r="L443" s="26">
        <f t="shared" si="215"/>
        <v>85</v>
      </c>
      <c r="M443" s="11">
        <v>2</v>
      </c>
      <c r="N443" s="11" t="s">
        <v>1919</v>
      </c>
      <c r="O443" s="11" t="s">
        <v>738</v>
      </c>
      <c r="P443" s="11" t="s">
        <v>174</v>
      </c>
      <c r="Q443" s="11" t="s">
        <v>34</v>
      </c>
      <c r="R443" s="30">
        <f t="shared" si="216"/>
        <v>352639.5</v>
      </c>
      <c r="S443" s="30">
        <v>352639.5</v>
      </c>
      <c r="T443" s="42">
        <v>0</v>
      </c>
      <c r="U443" s="30">
        <f t="shared" si="217"/>
        <v>53933.1</v>
      </c>
      <c r="V443" s="42">
        <v>53933.1</v>
      </c>
      <c r="W443" s="42">
        <v>0</v>
      </c>
      <c r="X443" s="30">
        <f t="shared" si="218"/>
        <v>8297.4</v>
      </c>
      <c r="Y443" s="30">
        <v>8297.4</v>
      </c>
      <c r="Z443" s="30">
        <v>0</v>
      </c>
      <c r="AA443" s="2">
        <f t="shared" si="219"/>
        <v>0</v>
      </c>
      <c r="AB443" s="2">
        <v>0</v>
      </c>
      <c r="AC443" s="2">
        <v>0</v>
      </c>
      <c r="AD443" s="16">
        <f t="shared" si="200"/>
        <v>414870</v>
      </c>
      <c r="AE443" s="38">
        <v>0</v>
      </c>
      <c r="AF443" s="2">
        <f t="shared" si="220"/>
        <v>414870</v>
      </c>
      <c r="AG443" s="38" t="s">
        <v>486</v>
      </c>
      <c r="AH443" s="38"/>
      <c r="AI443" s="30">
        <v>4501.18</v>
      </c>
      <c r="AJ443" s="30">
        <v>688.42</v>
      </c>
    </row>
    <row r="444" spans="1:36" s="179" customFormat="1" ht="204.75" x14ac:dyDescent="0.25">
      <c r="A444" s="6">
        <v>441</v>
      </c>
      <c r="B444" s="31">
        <v>152199</v>
      </c>
      <c r="C444" s="11">
        <v>1142</v>
      </c>
      <c r="D444" s="9" t="s">
        <v>1639</v>
      </c>
      <c r="E444" s="24" t="s">
        <v>1801</v>
      </c>
      <c r="F444" s="31" t="s">
        <v>1951</v>
      </c>
      <c r="G444" s="11" t="s">
        <v>1950</v>
      </c>
      <c r="H444" s="8" t="s">
        <v>151</v>
      </c>
      <c r="I444" s="12" t="s">
        <v>2862</v>
      </c>
      <c r="J444" s="25">
        <v>44551</v>
      </c>
      <c r="K444" s="25">
        <v>44916</v>
      </c>
      <c r="L444" s="26">
        <f t="shared" si="215"/>
        <v>85</v>
      </c>
      <c r="M444" s="11">
        <v>2</v>
      </c>
      <c r="N444" s="11" t="s">
        <v>1919</v>
      </c>
      <c r="O444" s="11" t="s">
        <v>1952</v>
      </c>
      <c r="P444" s="11" t="s">
        <v>174</v>
      </c>
      <c r="Q444" s="11" t="s">
        <v>34</v>
      </c>
      <c r="R444" s="30">
        <f t="shared" si="216"/>
        <v>334870.25</v>
      </c>
      <c r="S444" s="30">
        <v>334870.25</v>
      </c>
      <c r="T444" s="42">
        <v>0</v>
      </c>
      <c r="U444" s="30">
        <f t="shared" si="217"/>
        <v>51215.45</v>
      </c>
      <c r="V444" s="42">
        <v>51215.45</v>
      </c>
      <c r="W444" s="42">
        <v>0</v>
      </c>
      <c r="X444" s="30">
        <f t="shared" si="218"/>
        <v>7879.3</v>
      </c>
      <c r="Y444" s="30">
        <v>7879.3</v>
      </c>
      <c r="Z444" s="30">
        <v>0</v>
      </c>
      <c r="AA444" s="2">
        <f t="shared" si="219"/>
        <v>0</v>
      </c>
      <c r="AB444" s="2">
        <v>0</v>
      </c>
      <c r="AC444" s="2">
        <v>0</v>
      </c>
      <c r="AD444" s="16">
        <f t="shared" si="200"/>
        <v>393965</v>
      </c>
      <c r="AE444" s="38">
        <v>0</v>
      </c>
      <c r="AF444" s="2">
        <f t="shared" si="220"/>
        <v>393965</v>
      </c>
      <c r="AG444" s="38" t="s">
        <v>486</v>
      </c>
      <c r="AH444" s="38"/>
      <c r="AI444" s="30">
        <v>0</v>
      </c>
      <c r="AJ444" s="30">
        <v>0</v>
      </c>
    </row>
    <row r="445" spans="1:36" s="179" customFormat="1" ht="173.25" x14ac:dyDescent="0.25">
      <c r="A445" s="6">
        <v>442</v>
      </c>
      <c r="B445" s="31">
        <v>154708</v>
      </c>
      <c r="C445" s="11">
        <v>1187</v>
      </c>
      <c r="D445" s="9" t="s">
        <v>1638</v>
      </c>
      <c r="E445" s="24" t="s">
        <v>2014</v>
      </c>
      <c r="F445" s="31" t="s">
        <v>2152</v>
      </c>
      <c r="G445" s="11" t="s">
        <v>736</v>
      </c>
      <c r="H445" s="8" t="s">
        <v>151</v>
      </c>
      <c r="I445" s="12" t="s">
        <v>2863</v>
      </c>
      <c r="J445" s="25">
        <v>44670</v>
      </c>
      <c r="K445" s="25">
        <v>45096</v>
      </c>
      <c r="L445" s="26">
        <f t="shared" si="215"/>
        <v>85.000000000000014</v>
      </c>
      <c r="M445" s="11">
        <v>2</v>
      </c>
      <c r="N445" s="11" t="s">
        <v>1919</v>
      </c>
      <c r="O445" s="11" t="s">
        <v>738</v>
      </c>
      <c r="P445" s="11" t="s">
        <v>174</v>
      </c>
      <c r="Q445" s="11" t="s">
        <v>34</v>
      </c>
      <c r="R445" s="30">
        <f t="shared" si="216"/>
        <v>514348.43</v>
      </c>
      <c r="S445" s="30">
        <v>514348.43</v>
      </c>
      <c r="T445" s="42">
        <v>0</v>
      </c>
      <c r="U445" s="30">
        <f t="shared" si="217"/>
        <v>78665.05</v>
      </c>
      <c r="V445" s="42">
        <v>78665.05</v>
      </c>
      <c r="W445" s="42">
        <v>0</v>
      </c>
      <c r="X445" s="30">
        <f t="shared" si="218"/>
        <v>12102.32</v>
      </c>
      <c r="Y445" s="30">
        <v>12102.32</v>
      </c>
      <c r="Z445" s="30">
        <v>0</v>
      </c>
      <c r="AA445" s="2">
        <f t="shared" si="219"/>
        <v>0</v>
      </c>
      <c r="AB445" s="2">
        <v>0</v>
      </c>
      <c r="AC445" s="2">
        <v>0</v>
      </c>
      <c r="AD445" s="16">
        <f t="shared" si="200"/>
        <v>605115.79999999993</v>
      </c>
      <c r="AE445" s="38">
        <v>0</v>
      </c>
      <c r="AF445" s="2">
        <f t="shared" si="220"/>
        <v>605115.79999999993</v>
      </c>
      <c r="AG445" s="38" t="s">
        <v>486</v>
      </c>
      <c r="AH445" s="38"/>
      <c r="AI445" s="30">
        <v>6059.4</v>
      </c>
      <c r="AJ445" s="30">
        <v>926.73</v>
      </c>
    </row>
    <row r="446" spans="1:36" s="179" customFormat="1" ht="157.5" x14ac:dyDescent="0.25">
      <c r="A446" s="6">
        <v>443</v>
      </c>
      <c r="B446" s="31">
        <v>155129</v>
      </c>
      <c r="C446" s="11">
        <v>1228</v>
      </c>
      <c r="D446" s="9" t="s">
        <v>1638</v>
      </c>
      <c r="E446" s="24" t="s">
        <v>2014</v>
      </c>
      <c r="F446" s="31" t="s">
        <v>2172</v>
      </c>
      <c r="G446" s="11" t="s">
        <v>1660</v>
      </c>
      <c r="H446" s="8" t="s">
        <v>151</v>
      </c>
      <c r="I446" s="12" t="s">
        <v>2864</v>
      </c>
      <c r="J446" s="25">
        <v>44678</v>
      </c>
      <c r="K446" s="25">
        <v>45165</v>
      </c>
      <c r="L446" s="26">
        <f t="shared" si="215"/>
        <v>85</v>
      </c>
      <c r="M446" s="11">
        <v>2</v>
      </c>
      <c r="N446" s="11" t="s">
        <v>1919</v>
      </c>
      <c r="O446" s="11" t="s">
        <v>738</v>
      </c>
      <c r="P446" s="11" t="s">
        <v>174</v>
      </c>
      <c r="Q446" s="11" t="s">
        <v>34</v>
      </c>
      <c r="R446" s="30">
        <f t="shared" si="216"/>
        <v>2541292.6</v>
      </c>
      <c r="S446" s="30">
        <v>2541292.6</v>
      </c>
      <c r="T446" s="42">
        <v>0</v>
      </c>
      <c r="U446" s="30">
        <f t="shared" si="217"/>
        <v>388668.28</v>
      </c>
      <c r="V446" s="42">
        <v>388668.28</v>
      </c>
      <c r="W446" s="42">
        <v>0</v>
      </c>
      <c r="X446" s="30">
        <f t="shared" si="218"/>
        <v>59795.12</v>
      </c>
      <c r="Y446" s="30">
        <v>59795.12</v>
      </c>
      <c r="Z446" s="30">
        <v>0</v>
      </c>
      <c r="AA446" s="2">
        <f t="shared" si="219"/>
        <v>0</v>
      </c>
      <c r="AB446" s="2">
        <v>0</v>
      </c>
      <c r="AC446" s="2">
        <v>0</v>
      </c>
      <c r="AD446" s="16">
        <f t="shared" si="200"/>
        <v>2989756</v>
      </c>
      <c r="AE446" s="38">
        <v>0</v>
      </c>
      <c r="AF446" s="2">
        <f t="shared" si="220"/>
        <v>2989756</v>
      </c>
      <c r="AG446" s="38" t="s">
        <v>486</v>
      </c>
      <c r="AH446" s="38"/>
      <c r="AI446" s="30">
        <v>0</v>
      </c>
      <c r="AJ446" s="30">
        <v>0</v>
      </c>
    </row>
    <row r="447" spans="1:36" s="179" customFormat="1" ht="267.75" x14ac:dyDescent="0.25">
      <c r="A447" s="6">
        <v>444</v>
      </c>
      <c r="B447" s="31">
        <v>154833</v>
      </c>
      <c r="C447" s="11">
        <v>1189</v>
      </c>
      <c r="D447" s="9" t="s">
        <v>1638</v>
      </c>
      <c r="E447" s="24" t="s">
        <v>2014</v>
      </c>
      <c r="F447" s="31" t="s">
        <v>2176</v>
      </c>
      <c r="G447" s="11" t="s">
        <v>1950</v>
      </c>
      <c r="H447" s="8" t="s">
        <v>151</v>
      </c>
      <c r="I447" s="12" t="s">
        <v>2865</v>
      </c>
      <c r="J447" s="25">
        <v>44680</v>
      </c>
      <c r="K447" s="25">
        <v>45167</v>
      </c>
      <c r="L447" s="26">
        <f t="shared" si="215"/>
        <v>85.000000088776247</v>
      </c>
      <c r="M447" s="11">
        <v>2</v>
      </c>
      <c r="N447" s="11" t="s">
        <v>1919</v>
      </c>
      <c r="O447" s="11" t="s">
        <v>1952</v>
      </c>
      <c r="P447" s="11" t="s">
        <v>174</v>
      </c>
      <c r="Q447" s="11" t="s">
        <v>34</v>
      </c>
      <c r="R447" s="30">
        <f t="shared" si="216"/>
        <v>3351121.51</v>
      </c>
      <c r="S447" s="30">
        <v>3351121.51</v>
      </c>
      <c r="T447" s="42">
        <v>0</v>
      </c>
      <c r="U447" s="30">
        <f t="shared" si="217"/>
        <v>512524.46</v>
      </c>
      <c r="V447" s="42">
        <v>512524.46</v>
      </c>
      <c r="W447" s="42">
        <v>0</v>
      </c>
      <c r="X447" s="30">
        <f t="shared" si="218"/>
        <v>78849.919999999998</v>
      </c>
      <c r="Y447" s="30">
        <v>78849.919999999998</v>
      </c>
      <c r="Z447" s="30">
        <v>0</v>
      </c>
      <c r="AA447" s="2">
        <f t="shared" si="219"/>
        <v>0</v>
      </c>
      <c r="AB447" s="2">
        <v>0</v>
      </c>
      <c r="AC447" s="2">
        <v>0</v>
      </c>
      <c r="AD447" s="16">
        <f t="shared" si="200"/>
        <v>3942495.8899999997</v>
      </c>
      <c r="AE447" s="38">
        <v>0</v>
      </c>
      <c r="AF447" s="2">
        <f t="shared" si="220"/>
        <v>3942495.8899999997</v>
      </c>
      <c r="AG447" s="38" t="s">
        <v>486</v>
      </c>
      <c r="AH447" s="38"/>
      <c r="AI447" s="30">
        <v>193000</v>
      </c>
      <c r="AJ447" s="30">
        <v>0</v>
      </c>
    </row>
    <row r="448" spans="1:36" s="179" customFormat="1" ht="141.75" x14ac:dyDescent="0.25">
      <c r="A448" s="6">
        <v>445</v>
      </c>
      <c r="B448" s="31">
        <v>118894</v>
      </c>
      <c r="C448" s="11">
        <v>15</v>
      </c>
      <c r="D448" s="11" t="s">
        <v>143</v>
      </c>
      <c r="E448" s="10" t="s">
        <v>107</v>
      </c>
      <c r="F448" s="11" t="s">
        <v>58</v>
      </c>
      <c r="G448" s="27" t="s">
        <v>1737</v>
      </c>
      <c r="H448" s="8" t="s">
        <v>151</v>
      </c>
      <c r="I448" s="46" t="s">
        <v>59</v>
      </c>
      <c r="J448" s="25">
        <v>42717</v>
      </c>
      <c r="K448" s="25">
        <v>43995</v>
      </c>
      <c r="L448" s="26">
        <f t="shared" ref="L448:L456" si="221">R448/AD448*100</f>
        <v>83.983863051796376</v>
      </c>
      <c r="M448" s="11" t="s">
        <v>136</v>
      </c>
      <c r="N448" s="11" t="s">
        <v>261</v>
      </c>
      <c r="O448" s="11" t="s">
        <v>261</v>
      </c>
      <c r="P448" s="27" t="s">
        <v>138</v>
      </c>
      <c r="Q448" s="11" t="s">
        <v>34</v>
      </c>
      <c r="R448" s="2">
        <f t="shared" ref="R448:R456" si="222">S448+T448</f>
        <v>2106832.29</v>
      </c>
      <c r="S448" s="2">
        <v>1698976.68</v>
      </c>
      <c r="T448" s="2">
        <v>407855.61</v>
      </c>
      <c r="U448" s="2">
        <f t="shared" ref="U448:U456" si="223">V448+W448</f>
        <v>0</v>
      </c>
      <c r="V448" s="28">
        <v>0</v>
      </c>
      <c r="W448" s="28">
        <v>0</v>
      </c>
      <c r="X448" s="2">
        <f t="shared" ref="X448:X456" si="224">Y448+Z448</f>
        <v>401783.30999999994</v>
      </c>
      <c r="Y448" s="2">
        <v>299819.40999999997</v>
      </c>
      <c r="Z448" s="2">
        <v>101963.9</v>
      </c>
      <c r="AA448" s="2">
        <f t="shared" ref="AA448:AA456" si="225">AB448+AC448</f>
        <v>0</v>
      </c>
      <c r="AB448" s="2">
        <v>0</v>
      </c>
      <c r="AC448" s="2">
        <v>0</v>
      </c>
      <c r="AD448" s="16">
        <f t="shared" si="200"/>
        <v>2508615.6</v>
      </c>
      <c r="AE448" s="2">
        <v>154711.20000000001</v>
      </c>
      <c r="AF448" s="2">
        <f t="shared" ref="AF448:AF456" si="226">AD448+AE448</f>
        <v>2663326.8000000003</v>
      </c>
      <c r="AG448" s="38" t="s">
        <v>857</v>
      </c>
      <c r="AH448" s="29" t="s">
        <v>1206</v>
      </c>
      <c r="AI448" s="30">
        <f>749071.73+539901.84+5494.22</f>
        <v>1294467.7899999998</v>
      </c>
      <c r="AJ448" s="30">
        <v>0</v>
      </c>
    </row>
    <row r="449" spans="1:109" s="43" customFormat="1" ht="141.75" x14ac:dyDescent="0.25">
      <c r="A449" s="6">
        <v>446</v>
      </c>
      <c r="B449" s="31">
        <v>119196</v>
      </c>
      <c r="C449" s="11">
        <v>20</v>
      </c>
      <c r="D449" s="11" t="s">
        <v>143</v>
      </c>
      <c r="E449" s="10" t="s">
        <v>107</v>
      </c>
      <c r="F449" s="11" t="s">
        <v>65</v>
      </c>
      <c r="G449" s="27" t="s">
        <v>1678</v>
      </c>
      <c r="H449" s="11" t="s">
        <v>168</v>
      </c>
      <c r="I449" s="46" t="s">
        <v>66</v>
      </c>
      <c r="J449" s="25">
        <v>42464</v>
      </c>
      <c r="K449" s="25">
        <v>44351</v>
      </c>
      <c r="L449" s="26">
        <f t="shared" si="221"/>
        <v>83.983862957234891</v>
      </c>
      <c r="M449" s="11" t="s">
        <v>136</v>
      </c>
      <c r="N449" s="11" t="s">
        <v>261</v>
      </c>
      <c r="O449" s="11" t="s">
        <v>261</v>
      </c>
      <c r="P449" s="27" t="s">
        <v>138</v>
      </c>
      <c r="Q449" s="11" t="s">
        <v>34</v>
      </c>
      <c r="R449" s="2">
        <f t="shared" si="222"/>
        <v>14714221.08</v>
      </c>
      <c r="S449" s="2">
        <v>11865737.33</v>
      </c>
      <c r="T449" s="2">
        <v>2848483.75</v>
      </c>
      <c r="U449" s="2">
        <f t="shared" si="223"/>
        <v>0</v>
      </c>
      <c r="V449" s="28">
        <v>0</v>
      </c>
      <c r="W449" s="28">
        <v>0</v>
      </c>
      <c r="X449" s="2">
        <f t="shared" si="224"/>
        <v>2806074.56</v>
      </c>
      <c r="Y449" s="2">
        <v>2093953.62</v>
      </c>
      <c r="Z449" s="2">
        <v>712120.94</v>
      </c>
      <c r="AA449" s="2">
        <f t="shared" si="225"/>
        <v>0</v>
      </c>
      <c r="AB449" s="2">
        <v>0</v>
      </c>
      <c r="AC449" s="2">
        <v>0</v>
      </c>
      <c r="AD449" s="16">
        <f t="shared" si="200"/>
        <v>17520295.640000001</v>
      </c>
      <c r="AE449" s="2">
        <v>0</v>
      </c>
      <c r="AF449" s="2">
        <f t="shared" si="226"/>
        <v>17520295.640000001</v>
      </c>
      <c r="AG449" s="38" t="s">
        <v>857</v>
      </c>
      <c r="AH449" s="29" t="s">
        <v>1724</v>
      </c>
      <c r="AI449" s="118">
        <f>8318831+1813378.18+1752669.98+348361.29+643650.68+1117000.18</f>
        <v>13993891.309999999</v>
      </c>
      <c r="AJ449" s="30">
        <v>0</v>
      </c>
      <c r="AK449" s="179"/>
      <c r="AL449" s="179"/>
      <c r="AM449" s="179"/>
      <c r="AN449" s="179"/>
      <c r="AO449" s="179"/>
      <c r="AP449" s="179"/>
      <c r="AQ449" s="179"/>
      <c r="AR449" s="179"/>
      <c r="AS449" s="179"/>
      <c r="AT449" s="179"/>
      <c r="AU449" s="179"/>
      <c r="AV449" s="179"/>
      <c r="AW449" s="179"/>
      <c r="AX449" s="179"/>
      <c r="AY449" s="179"/>
      <c r="AZ449" s="179"/>
      <c r="BA449" s="179"/>
      <c r="BB449" s="179"/>
      <c r="BC449" s="179"/>
      <c r="BD449" s="179"/>
      <c r="BE449" s="179"/>
      <c r="BF449" s="179"/>
      <c r="BG449" s="179"/>
      <c r="BH449" s="179"/>
      <c r="BI449" s="179"/>
      <c r="BJ449" s="179"/>
      <c r="BK449" s="179"/>
      <c r="BL449" s="179"/>
      <c r="BM449" s="179"/>
      <c r="BN449" s="179"/>
      <c r="BO449" s="179"/>
      <c r="BP449" s="179"/>
      <c r="BQ449" s="179"/>
      <c r="BR449" s="179"/>
      <c r="BS449" s="179"/>
      <c r="BT449" s="179"/>
      <c r="BU449" s="179"/>
      <c r="BV449" s="179"/>
      <c r="BW449" s="179"/>
      <c r="BX449" s="179"/>
      <c r="BY449" s="179"/>
      <c r="BZ449" s="179"/>
      <c r="CA449" s="179"/>
      <c r="CB449" s="179"/>
      <c r="CC449" s="179"/>
      <c r="CD449" s="179"/>
      <c r="CE449" s="179"/>
      <c r="CF449" s="179"/>
      <c r="CG449" s="179"/>
      <c r="CH449" s="179"/>
      <c r="CI449" s="179"/>
      <c r="CJ449" s="179"/>
      <c r="CK449" s="179"/>
      <c r="CL449" s="179"/>
      <c r="CM449" s="179"/>
      <c r="CN449" s="179"/>
      <c r="CO449" s="179"/>
      <c r="CP449" s="179"/>
      <c r="CQ449" s="179"/>
      <c r="CR449" s="179"/>
      <c r="CS449" s="179"/>
      <c r="CT449" s="179"/>
      <c r="CU449" s="179"/>
      <c r="CV449" s="179"/>
      <c r="CW449" s="179"/>
      <c r="CX449" s="179"/>
      <c r="CY449" s="179"/>
      <c r="CZ449" s="179"/>
      <c r="DA449" s="179"/>
      <c r="DB449" s="179"/>
      <c r="DC449" s="179"/>
      <c r="DD449" s="179"/>
      <c r="DE449" s="179"/>
    </row>
    <row r="450" spans="1:109" s="43" customFormat="1" ht="141.75" x14ac:dyDescent="0.25">
      <c r="A450" s="6">
        <v>447</v>
      </c>
      <c r="B450" s="31">
        <v>119622</v>
      </c>
      <c r="C450" s="11">
        <v>45</v>
      </c>
      <c r="D450" s="11" t="s">
        <v>144</v>
      </c>
      <c r="E450" s="10" t="s">
        <v>148</v>
      </c>
      <c r="F450" s="11" t="s">
        <v>105</v>
      </c>
      <c r="G450" s="11" t="s">
        <v>104</v>
      </c>
      <c r="H450" s="8" t="s">
        <v>151</v>
      </c>
      <c r="I450" s="46" t="s">
        <v>106</v>
      </c>
      <c r="J450" s="25">
        <v>42793</v>
      </c>
      <c r="K450" s="25">
        <v>45287</v>
      </c>
      <c r="L450" s="26">
        <f t="shared" si="221"/>
        <v>83.983862948301422</v>
      </c>
      <c r="M450" s="11" t="s">
        <v>136</v>
      </c>
      <c r="N450" s="11" t="s">
        <v>261</v>
      </c>
      <c r="O450" s="11" t="s">
        <v>137</v>
      </c>
      <c r="P450" s="27" t="s">
        <v>138</v>
      </c>
      <c r="Q450" s="11" t="s">
        <v>34</v>
      </c>
      <c r="R450" s="2">
        <f t="shared" si="222"/>
        <v>37233996.5</v>
      </c>
      <c r="S450" s="2">
        <v>30025974.129999999</v>
      </c>
      <c r="T450" s="2">
        <v>7208022.3700000001</v>
      </c>
      <c r="U450" s="2">
        <f t="shared" si="223"/>
        <v>0</v>
      </c>
      <c r="V450" s="28">
        <v>0</v>
      </c>
      <c r="W450" s="28">
        <v>0</v>
      </c>
      <c r="X450" s="2">
        <f t="shared" si="224"/>
        <v>7100706.8499999996</v>
      </c>
      <c r="Y450" s="2">
        <v>5298701.3</v>
      </c>
      <c r="Z450" s="2">
        <v>1802005.55</v>
      </c>
      <c r="AA450" s="2">
        <f t="shared" si="225"/>
        <v>0</v>
      </c>
      <c r="AB450" s="2">
        <v>0</v>
      </c>
      <c r="AC450" s="2">
        <v>0</v>
      </c>
      <c r="AD450" s="16">
        <f t="shared" si="200"/>
        <v>44334703.350000001</v>
      </c>
      <c r="AE450" s="2">
        <v>427346.26</v>
      </c>
      <c r="AF450" s="2">
        <f t="shared" si="226"/>
        <v>44762049.609999999</v>
      </c>
      <c r="AG450" s="38" t="s">
        <v>486</v>
      </c>
      <c r="AH450" s="115" t="s">
        <v>1785</v>
      </c>
      <c r="AI450" s="118">
        <f>21632358.61+914374.27+187341.96</f>
        <v>22734074.84</v>
      </c>
      <c r="AJ450" s="30">
        <v>0</v>
      </c>
      <c r="AK450" s="179"/>
      <c r="AL450" s="179"/>
      <c r="AM450" s="179"/>
      <c r="AN450" s="179"/>
      <c r="AO450" s="179"/>
      <c r="AP450" s="179"/>
      <c r="AQ450" s="179"/>
      <c r="AR450" s="179"/>
      <c r="AS450" s="179"/>
      <c r="AT450" s="179"/>
      <c r="AU450" s="179"/>
      <c r="AV450" s="179"/>
      <c r="AW450" s="179"/>
      <c r="AX450" s="179"/>
      <c r="AY450" s="179"/>
      <c r="AZ450" s="179"/>
      <c r="BA450" s="179"/>
      <c r="BB450" s="179"/>
      <c r="BC450" s="179"/>
      <c r="BD450" s="179"/>
      <c r="BE450" s="179"/>
      <c r="BF450" s="179"/>
      <c r="BG450" s="179"/>
      <c r="BH450" s="179"/>
      <c r="BI450" s="179"/>
      <c r="BJ450" s="179"/>
      <c r="BK450" s="179"/>
      <c r="BL450" s="179"/>
      <c r="BM450" s="179"/>
      <c r="BN450" s="179"/>
      <c r="BO450" s="179"/>
      <c r="BP450" s="179"/>
      <c r="BQ450" s="179"/>
      <c r="BR450" s="179"/>
      <c r="BS450" s="179"/>
      <c r="BT450" s="179"/>
      <c r="BU450" s="179"/>
      <c r="BV450" s="179"/>
      <c r="BW450" s="179"/>
      <c r="BX450" s="179"/>
      <c r="BY450" s="179"/>
      <c r="BZ450" s="179"/>
      <c r="CA450" s="179"/>
      <c r="CB450" s="179"/>
      <c r="CC450" s="179"/>
      <c r="CD450" s="179"/>
      <c r="CE450" s="179"/>
      <c r="CF450" s="179"/>
      <c r="CG450" s="179"/>
      <c r="CH450" s="179"/>
      <c r="CI450" s="179"/>
      <c r="CJ450" s="179"/>
      <c r="CK450" s="179"/>
      <c r="CL450" s="179"/>
      <c r="CM450" s="179"/>
      <c r="CN450" s="179"/>
      <c r="CO450" s="179"/>
      <c r="CP450" s="179"/>
      <c r="CQ450" s="179"/>
      <c r="CR450" s="179"/>
      <c r="CS450" s="179"/>
      <c r="CT450" s="179"/>
      <c r="CU450" s="179"/>
      <c r="CV450" s="179"/>
      <c r="CW450" s="179"/>
      <c r="CX450" s="179"/>
      <c r="CY450" s="179"/>
      <c r="CZ450" s="179"/>
      <c r="DA450" s="179"/>
      <c r="DB450" s="179"/>
      <c r="DC450" s="179"/>
      <c r="DD450" s="179"/>
      <c r="DE450" s="179"/>
    </row>
    <row r="451" spans="1:109" s="43" customFormat="1" ht="157.5" x14ac:dyDescent="0.25">
      <c r="A451" s="6">
        <v>448</v>
      </c>
      <c r="B451" s="31">
        <v>126388</v>
      </c>
      <c r="C451" s="11">
        <v>494</v>
      </c>
      <c r="D451" s="97" t="s">
        <v>1640</v>
      </c>
      <c r="E451" s="32" t="s">
        <v>983</v>
      </c>
      <c r="F451" s="11" t="s">
        <v>1005</v>
      </c>
      <c r="G451" s="11" t="s">
        <v>1006</v>
      </c>
      <c r="H451" s="8" t="s">
        <v>151</v>
      </c>
      <c r="I451" s="46" t="s">
        <v>1007</v>
      </c>
      <c r="J451" s="25">
        <v>43531</v>
      </c>
      <c r="K451" s="25">
        <v>44354</v>
      </c>
      <c r="L451" s="26">
        <f t="shared" si="221"/>
        <v>83.300001414159638</v>
      </c>
      <c r="M451" s="11">
        <v>3</v>
      </c>
      <c r="N451" s="11" t="s">
        <v>1008</v>
      </c>
      <c r="O451" s="11" t="s">
        <v>1008</v>
      </c>
      <c r="P451" s="11" t="s">
        <v>274</v>
      </c>
      <c r="Q451" s="11" t="s">
        <v>34</v>
      </c>
      <c r="R451" s="30">
        <f t="shared" si="222"/>
        <v>2043977.2</v>
      </c>
      <c r="S451" s="2">
        <v>2043977.2</v>
      </c>
      <c r="T451" s="2">
        <v>0</v>
      </c>
      <c r="U451" s="30">
        <f t="shared" si="223"/>
        <v>360701.81</v>
      </c>
      <c r="V451" s="28">
        <v>360701.81</v>
      </c>
      <c r="W451" s="28">
        <v>0</v>
      </c>
      <c r="X451" s="30">
        <f t="shared" si="224"/>
        <v>0</v>
      </c>
      <c r="Y451" s="2">
        <v>0</v>
      </c>
      <c r="Z451" s="2">
        <v>0</v>
      </c>
      <c r="AA451" s="2">
        <f t="shared" si="225"/>
        <v>49075.09</v>
      </c>
      <c r="AB451" s="2">
        <v>49075.09</v>
      </c>
      <c r="AC451" s="2">
        <v>0</v>
      </c>
      <c r="AD451" s="16">
        <f t="shared" si="200"/>
        <v>2453754.0999999996</v>
      </c>
      <c r="AE451" s="2">
        <v>0</v>
      </c>
      <c r="AF451" s="2">
        <f t="shared" si="226"/>
        <v>2453754.0999999996</v>
      </c>
      <c r="AG451" s="38" t="s">
        <v>857</v>
      </c>
      <c r="AH451" s="29" t="s">
        <v>1726</v>
      </c>
      <c r="AI451" s="118">
        <f>977058.3-20264.24+135094.98+54047.52-25686.26+171241.85+74985.72+121676.73-18717.97+270523.91-58965.53-27215.18</f>
        <v>1653779.83</v>
      </c>
      <c r="AJ451" s="30">
        <f>20492.1+14114.96+30257.86+15716.19+49417.45+20264.24+9537.82+25686.26+13232.76+21472.38+18717.97+25718.38+27215.18</f>
        <v>291843.55</v>
      </c>
    </row>
    <row r="452" spans="1:109" s="43" customFormat="1" ht="189" x14ac:dyDescent="0.25">
      <c r="A452" s="6">
        <v>449</v>
      </c>
      <c r="B452" s="31">
        <v>121858</v>
      </c>
      <c r="C452" s="11">
        <v>50</v>
      </c>
      <c r="D452" s="11" t="s">
        <v>143</v>
      </c>
      <c r="E452" s="24" t="s">
        <v>110</v>
      </c>
      <c r="F452" s="11" t="s">
        <v>376</v>
      </c>
      <c r="G452" s="27" t="s">
        <v>1717</v>
      </c>
      <c r="H452" s="8" t="s">
        <v>151</v>
      </c>
      <c r="I452" s="12" t="s">
        <v>377</v>
      </c>
      <c r="J452" s="25">
        <v>43229</v>
      </c>
      <c r="K452" s="25">
        <v>45239</v>
      </c>
      <c r="L452" s="26">
        <f t="shared" si="221"/>
        <v>83.983863026398055</v>
      </c>
      <c r="M452" s="11" t="s">
        <v>272</v>
      </c>
      <c r="N452" s="11" t="s">
        <v>261</v>
      </c>
      <c r="O452" s="11" t="s">
        <v>304</v>
      </c>
      <c r="P452" s="27" t="s">
        <v>138</v>
      </c>
      <c r="Q452" s="11" t="s">
        <v>34</v>
      </c>
      <c r="R452" s="2">
        <f t="shared" si="222"/>
        <v>9622258.8000000007</v>
      </c>
      <c r="S452" s="2">
        <v>7759513.3600000003</v>
      </c>
      <c r="T452" s="2">
        <v>1862745.44</v>
      </c>
      <c r="U452" s="2">
        <f t="shared" si="223"/>
        <v>0</v>
      </c>
      <c r="V452" s="28">
        <v>0</v>
      </c>
      <c r="W452" s="28">
        <v>0</v>
      </c>
      <c r="X452" s="2">
        <f t="shared" si="224"/>
        <v>1835012.22</v>
      </c>
      <c r="Y452" s="1">
        <v>1369325.89</v>
      </c>
      <c r="Z452" s="2">
        <v>465686.33</v>
      </c>
      <c r="AA452" s="2">
        <f t="shared" si="225"/>
        <v>0</v>
      </c>
      <c r="AB452" s="2">
        <v>0</v>
      </c>
      <c r="AC452" s="2">
        <v>0</v>
      </c>
      <c r="AD452" s="16">
        <f t="shared" si="200"/>
        <v>11457271.020000001</v>
      </c>
      <c r="AE452" s="2">
        <v>0</v>
      </c>
      <c r="AF452" s="2">
        <f t="shared" si="226"/>
        <v>11457271.020000001</v>
      </c>
      <c r="AG452" s="38" t="s">
        <v>486</v>
      </c>
      <c r="AH452" s="29" t="s">
        <v>2308</v>
      </c>
      <c r="AI452" s="118">
        <f>758641.61+55509.97+186093.97+162888.38+33585.15+36431.36+580054.7+101538.17+49467.34+688146.13+220422.7</f>
        <v>2872779.48</v>
      </c>
      <c r="AJ452" s="30">
        <v>0</v>
      </c>
      <c r="AK452" s="179"/>
      <c r="AL452" s="179"/>
      <c r="AM452" s="179"/>
      <c r="AN452" s="179"/>
      <c r="AO452" s="179"/>
      <c r="AP452" s="179"/>
      <c r="AQ452" s="179"/>
      <c r="AR452" s="179"/>
      <c r="AS452" s="179"/>
      <c r="AT452" s="179"/>
      <c r="AU452" s="179"/>
      <c r="AV452" s="179"/>
      <c r="AW452" s="179"/>
      <c r="AX452" s="179"/>
      <c r="AY452" s="179"/>
      <c r="AZ452" s="179"/>
      <c r="BA452" s="179"/>
      <c r="BB452" s="179"/>
      <c r="BC452" s="179"/>
      <c r="BD452" s="179"/>
      <c r="BE452" s="179"/>
      <c r="BF452" s="179"/>
      <c r="BG452" s="179"/>
      <c r="BH452" s="179"/>
      <c r="BI452" s="179"/>
      <c r="BJ452" s="179"/>
      <c r="BK452" s="179"/>
      <c r="BL452" s="179"/>
      <c r="BM452" s="179"/>
      <c r="BN452" s="179"/>
      <c r="BO452" s="179"/>
      <c r="BP452" s="179"/>
      <c r="BQ452" s="179"/>
      <c r="BR452" s="179"/>
      <c r="BS452" s="179"/>
      <c r="BT452" s="179"/>
      <c r="BU452" s="179"/>
      <c r="BV452" s="179"/>
      <c r="BW452" s="179"/>
      <c r="BX452" s="179"/>
      <c r="BY452" s="179"/>
      <c r="BZ452" s="179"/>
      <c r="CA452" s="179"/>
      <c r="CB452" s="179"/>
      <c r="CC452" s="179"/>
      <c r="CD452" s="179"/>
      <c r="CE452" s="179"/>
      <c r="CF452" s="179"/>
      <c r="CG452" s="179"/>
      <c r="CH452" s="179"/>
      <c r="CI452" s="179"/>
      <c r="CJ452" s="179"/>
      <c r="CK452" s="179"/>
      <c r="CL452" s="179"/>
      <c r="CM452" s="179"/>
      <c r="CN452" s="179"/>
      <c r="CO452" s="179"/>
      <c r="CP452" s="179"/>
      <c r="CQ452" s="179"/>
      <c r="CR452" s="179"/>
      <c r="CS452" s="179"/>
      <c r="CT452" s="179"/>
      <c r="CU452" s="179"/>
      <c r="CV452" s="179"/>
      <c r="CW452" s="179"/>
      <c r="CX452" s="179"/>
      <c r="CY452" s="179"/>
      <c r="CZ452" s="179"/>
      <c r="DA452" s="179"/>
      <c r="DB452" s="179"/>
      <c r="DC452" s="179"/>
      <c r="DD452" s="179"/>
      <c r="DE452" s="179"/>
    </row>
    <row r="453" spans="1:109" s="179" customFormat="1" ht="173.25" x14ac:dyDescent="0.25">
      <c r="A453" s="6">
        <v>450</v>
      </c>
      <c r="B453" s="31">
        <v>120194</v>
      </c>
      <c r="C453" s="11">
        <v>52</v>
      </c>
      <c r="D453" s="11" t="s">
        <v>143</v>
      </c>
      <c r="E453" s="10" t="s">
        <v>110</v>
      </c>
      <c r="F453" s="11" t="s">
        <v>118</v>
      </c>
      <c r="G453" s="11" t="s">
        <v>117</v>
      </c>
      <c r="H453" s="8" t="s">
        <v>151</v>
      </c>
      <c r="I453" s="46" t="s">
        <v>119</v>
      </c>
      <c r="J453" s="25">
        <v>42963</v>
      </c>
      <c r="K453" s="25">
        <v>44212</v>
      </c>
      <c r="L453" s="26">
        <f t="shared" si="221"/>
        <v>83.983862831024851</v>
      </c>
      <c r="M453" s="11" t="s">
        <v>136</v>
      </c>
      <c r="N453" s="11" t="s">
        <v>261</v>
      </c>
      <c r="O453" s="11" t="s">
        <v>261</v>
      </c>
      <c r="P453" s="27" t="s">
        <v>138</v>
      </c>
      <c r="Q453" s="11" t="s">
        <v>34</v>
      </c>
      <c r="R453" s="2">
        <f t="shared" si="222"/>
        <v>12243037.969999999</v>
      </c>
      <c r="S453" s="2">
        <v>9872943.4499999993</v>
      </c>
      <c r="T453" s="2">
        <v>2370094.52</v>
      </c>
      <c r="U453" s="2">
        <f t="shared" si="223"/>
        <v>0</v>
      </c>
      <c r="V453" s="28">
        <v>0</v>
      </c>
      <c r="W453" s="28">
        <v>0</v>
      </c>
      <c r="X453" s="2">
        <f t="shared" si="224"/>
        <v>2334807.77</v>
      </c>
      <c r="Y453" s="2">
        <v>1742284.14</v>
      </c>
      <c r="Z453" s="2">
        <v>592523.63</v>
      </c>
      <c r="AA453" s="2">
        <f t="shared" si="225"/>
        <v>0</v>
      </c>
      <c r="AB453" s="2">
        <v>0</v>
      </c>
      <c r="AC453" s="2">
        <v>0</v>
      </c>
      <c r="AD453" s="16">
        <f t="shared" ref="AD453:AD516" si="227">R453+U453+X453+AA453</f>
        <v>14577845.739999998</v>
      </c>
      <c r="AE453" s="2">
        <v>0</v>
      </c>
      <c r="AF453" s="2">
        <f t="shared" si="226"/>
        <v>14577845.739999998</v>
      </c>
      <c r="AG453" s="38" t="s">
        <v>857</v>
      </c>
      <c r="AH453" s="22" t="s">
        <v>1204</v>
      </c>
      <c r="AI453" s="118">
        <f>2619250.29+2687296.53+82985.27+2490702.85+40178.04</f>
        <v>7920412.9799999995</v>
      </c>
      <c r="AJ453" s="118">
        <v>0</v>
      </c>
      <c r="AK453" s="185"/>
      <c r="AL453" s="185"/>
      <c r="AM453" s="185"/>
      <c r="AN453" s="185"/>
      <c r="AO453" s="185"/>
      <c r="AP453" s="185"/>
      <c r="AQ453" s="185"/>
      <c r="AR453" s="185"/>
      <c r="AS453" s="185"/>
      <c r="AT453" s="185"/>
      <c r="AU453" s="185"/>
      <c r="AV453" s="185"/>
      <c r="AW453" s="185"/>
      <c r="AX453" s="185"/>
      <c r="AY453" s="185"/>
      <c r="AZ453" s="185"/>
      <c r="BA453" s="185"/>
      <c r="BB453" s="185"/>
      <c r="BC453" s="185"/>
      <c r="BD453" s="185"/>
      <c r="BE453" s="185"/>
      <c r="BF453" s="185"/>
      <c r="BG453" s="185"/>
      <c r="BH453" s="185"/>
      <c r="BI453" s="185"/>
      <c r="BJ453" s="185"/>
      <c r="BK453" s="185"/>
      <c r="BL453" s="185"/>
      <c r="BM453" s="185"/>
      <c r="BN453" s="185"/>
      <c r="BO453" s="185"/>
      <c r="BP453" s="185"/>
      <c r="BQ453" s="185"/>
      <c r="BR453" s="185"/>
      <c r="BS453" s="185"/>
      <c r="BT453" s="185"/>
      <c r="BU453" s="185"/>
      <c r="BV453" s="185"/>
      <c r="BW453" s="185"/>
      <c r="BX453" s="185"/>
      <c r="BY453" s="185"/>
      <c r="BZ453" s="185"/>
      <c r="CA453" s="185"/>
      <c r="CB453" s="185"/>
      <c r="CC453" s="185"/>
      <c r="CD453" s="185"/>
      <c r="CE453" s="185"/>
      <c r="CF453" s="185"/>
      <c r="CG453" s="185"/>
      <c r="CH453" s="185"/>
      <c r="CI453" s="185"/>
      <c r="CJ453" s="185"/>
      <c r="CK453" s="185"/>
      <c r="CL453" s="185"/>
      <c r="CM453" s="185"/>
      <c r="CN453" s="185"/>
      <c r="CO453" s="185"/>
      <c r="CP453" s="185"/>
      <c r="CQ453" s="185"/>
      <c r="CR453" s="185"/>
      <c r="CS453" s="185"/>
      <c r="CT453" s="185"/>
      <c r="CU453" s="185"/>
      <c r="CV453" s="185"/>
      <c r="CW453" s="185"/>
      <c r="CX453" s="185"/>
      <c r="CY453" s="185"/>
      <c r="CZ453" s="185"/>
      <c r="DA453" s="185"/>
      <c r="DB453" s="185"/>
      <c r="DC453" s="185"/>
      <c r="DD453" s="185"/>
      <c r="DE453" s="185"/>
    </row>
    <row r="454" spans="1:109" s="179" customFormat="1" ht="141.75" x14ac:dyDescent="0.25">
      <c r="A454" s="6">
        <v>451</v>
      </c>
      <c r="B454" s="31">
        <v>119689</v>
      </c>
      <c r="C454" s="11">
        <v>53</v>
      </c>
      <c r="D454" s="11" t="s">
        <v>145</v>
      </c>
      <c r="E454" s="10" t="s">
        <v>123</v>
      </c>
      <c r="F454" s="11" t="s">
        <v>95</v>
      </c>
      <c r="G454" s="11" t="s">
        <v>94</v>
      </c>
      <c r="H454" s="8" t="s">
        <v>151</v>
      </c>
      <c r="I454" s="46" t="s">
        <v>96</v>
      </c>
      <c r="J454" s="25">
        <v>42943</v>
      </c>
      <c r="K454" s="25">
        <v>44739</v>
      </c>
      <c r="L454" s="26">
        <f t="shared" si="221"/>
        <v>83.983862837568367</v>
      </c>
      <c r="M454" s="11" t="s">
        <v>136</v>
      </c>
      <c r="N454" s="11" t="s">
        <v>261</v>
      </c>
      <c r="O454" s="11" t="s">
        <v>261</v>
      </c>
      <c r="P454" s="27" t="s">
        <v>138</v>
      </c>
      <c r="Q454" s="11" t="s">
        <v>34</v>
      </c>
      <c r="R454" s="2">
        <f t="shared" si="222"/>
        <v>39276554.340000004</v>
      </c>
      <c r="S454" s="2">
        <v>31673119.100000001</v>
      </c>
      <c r="T454" s="2">
        <v>7603435.2400000002</v>
      </c>
      <c r="U454" s="2">
        <f t="shared" si="223"/>
        <v>0</v>
      </c>
      <c r="V454" s="28">
        <v>0</v>
      </c>
      <c r="W454" s="28">
        <v>0</v>
      </c>
      <c r="X454" s="2">
        <f t="shared" si="224"/>
        <v>7490232.7699999996</v>
      </c>
      <c r="Y454" s="2">
        <v>5589373.96</v>
      </c>
      <c r="Z454" s="2">
        <v>1900858.81</v>
      </c>
      <c r="AA454" s="2">
        <f t="shared" si="225"/>
        <v>0</v>
      </c>
      <c r="AB454" s="2">
        <v>0</v>
      </c>
      <c r="AC454" s="2">
        <v>0</v>
      </c>
      <c r="AD454" s="16">
        <f t="shared" si="227"/>
        <v>46766787.109999999</v>
      </c>
      <c r="AE454" s="2">
        <v>8017329.8399999999</v>
      </c>
      <c r="AF454" s="2">
        <f t="shared" si="226"/>
        <v>54784116.950000003</v>
      </c>
      <c r="AG454" s="38" t="s">
        <v>857</v>
      </c>
      <c r="AH454" s="29" t="s">
        <v>1853</v>
      </c>
      <c r="AI454" s="118">
        <f>893011.08+57943.42+89664.62+27536822.34+524337.27+55114.41+71307.34+1108602.27+882017.59</f>
        <v>31218820.34</v>
      </c>
      <c r="AJ454" s="30">
        <v>0</v>
      </c>
    </row>
    <row r="455" spans="1:109" s="179" customFormat="1" ht="409.5" x14ac:dyDescent="0.25">
      <c r="A455" s="6">
        <v>452</v>
      </c>
      <c r="B455" s="31">
        <v>125819</v>
      </c>
      <c r="C455" s="11">
        <v>497</v>
      </c>
      <c r="D455" s="97" t="s">
        <v>1640</v>
      </c>
      <c r="E455" s="32" t="s">
        <v>983</v>
      </c>
      <c r="F455" s="31" t="s">
        <v>1067</v>
      </c>
      <c r="G455" s="11" t="s">
        <v>1065</v>
      </c>
      <c r="H455" s="8" t="s">
        <v>151</v>
      </c>
      <c r="I455" s="134" t="s">
        <v>2866</v>
      </c>
      <c r="J455" s="25">
        <v>43608</v>
      </c>
      <c r="K455" s="25">
        <v>44918</v>
      </c>
      <c r="L455" s="26">
        <f t="shared" si="221"/>
        <v>83.30000063911281</v>
      </c>
      <c r="M455" s="40" t="s">
        <v>1070</v>
      </c>
      <c r="N455" s="11" t="s">
        <v>1069</v>
      </c>
      <c r="O455" s="11" t="s">
        <v>1069</v>
      </c>
      <c r="P455" s="11" t="s">
        <v>274</v>
      </c>
      <c r="Q455" s="11" t="s">
        <v>34</v>
      </c>
      <c r="R455" s="30">
        <f t="shared" si="222"/>
        <v>1444133.16</v>
      </c>
      <c r="S455" s="93">
        <v>1444133.16</v>
      </c>
      <c r="T455" s="34">
        <v>0</v>
      </c>
      <c r="U455" s="30">
        <f t="shared" si="223"/>
        <v>254847.02</v>
      </c>
      <c r="V455" s="42">
        <v>254847.02</v>
      </c>
      <c r="W455" s="42">
        <v>0</v>
      </c>
      <c r="X455" s="30">
        <f t="shared" si="224"/>
        <v>0</v>
      </c>
      <c r="Y455" s="34">
        <v>0</v>
      </c>
      <c r="Z455" s="34">
        <v>0</v>
      </c>
      <c r="AA455" s="2">
        <f t="shared" si="225"/>
        <v>34673.06</v>
      </c>
      <c r="AB455" s="93">
        <v>34673.06</v>
      </c>
      <c r="AC455" s="34">
        <v>0</v>
      </c>
      <c r="AD455" s="16">
        <f t="shared" si="227"/>
        <v>1733653.24</v>
      </c>
      <c r="AE455" s="35">
        <v>0</v>
      </c>
      <c r="AF455" s="2">
        <f t="shared" si="226"/>
        <v>1733653.24</v>
      </c>
      <c r="AG455" s="38" t="s">
        <v>486</v>
      </c>
      <c r="AH455" s="38" t="s">
        <v>1871</v>
      </c>
      <c r="AI455" s="118">
        <v>876419.52999999991</v>
      </c>
      <c r="AJ455" s="30">
        <v>124068.47000000002</v>
      </c>
    </row>
    <row r="456" spans="1:109" s="179" customFormat="1" ht="409.5" x14ac:dyDescent="0.25">
      <c r="A456" s="6">
        <v>453</v>
      </c>
      <c r="B456" s="31">
        <v>126526</v>
      </c>
      <c r="C456" s="11">
        <v>498</v>
      </c>
      <c r="D456" s="97" t="s">
        <v>1640</v>
      </c>
      <c r="E456" s="32" t="s">
        <v>983</v>
      </c>
      <c r="F456" s="31" t="s">
        <v>1068</v>
      </c>
      <c r="G456" s="11" t="s">
        <v>1066</v>
      </c>
      <c r="H456" s="8" t="s">
        <v>151</v>
      </c>
      <c r="I456" s="134" t="s">
        <v>2867</v>
      </c>
      <c r="J456" s="25">
        <v>43608</v>
      </c>
      <c r="K456" s="25">
        <v>45069</v>
      </c>
      <c r="L456" s="26">
        <f t="shared" si="221"/>
        <v>83.30000063911281</v>
      </c>
      <c r="M456" s="40" t="s">
        <v>1070</v>
      </c>
      <c r="N456" s="11" t="s">
        <v>1069</v>
      </c>
      <c r="O456" s="11" t="s">
        <v>1069</v>
      </c>
      <c r="P456" s="11" t="s">
        <v>274</v>
      </c>
      <c r="Q456" s="11" t="s">
        <v>34</v>
      </c>
      <c r="R456" s="30">
        <f t="shared" si="222"/>
        <v>1444133.16</v>
      </c>
      <c r="S456" s="93">
        <v>1444133.16</v>
      </c>
      <c r="T456" s="34">
        <v>0</v>
      </c>
      <c r="U456" s="30">
        <f t="shared" si="223"/>
        <v>254847.02</v>
      </c>
      <c r="V456" s="42">
        <v>254847.02</v>
      </c>
      <c r="W456" s="42">
        <v>0</v>
      </c>
      <c r="X456" s="30">
        <f t="shared" si="224"/>
        <v>0</v>
      </c>
      <c r="Y456" s="34">
        <v>0</v>
      </c>
      <c r="Z456" s="34">
        <v>0</v>
      </c>
      <c r="AA456" s="2">
        <f t="shared" si="225"/>
        <v>34673.06</v>
      </c>
      <c r="AB456" s="93">
        <v>34673.06</v>
      </c>
      <c r="AC456" s="34">
        <v>0</v>
      </c>
      <c r="AD456" s="16">
        <f t="shared" si="227"/>
        <v>1733653.24</v>
      </c>
      <c r="AE456" s="35">
        <v>0</v>
      </c>
      <c r="AF456" s="2">
        <f t="shared" si="226"/>
        <v>1733653.24</v>
      </c>
      <c r="AG456" s="38" t="s">
        <v>486</v>
      </c>
      <c r="AH456" s="38" t="s">
        <v>2143</v>
      </c>
      <c r="AI456" s="118">
        <v>790001.63</v>
      </c>
      <c r="AJ456" s="30">
        <f>21800.36+70103.02+16914.85</f>
        <v>108818.23000000001</v>
      </c>
    </row>
    <row r="457" spans="1:109" s="179" customFormat="1" ht="173.25" x14ac:dyDescent="0.25">
      <c r="A457" s="6">
        <v>454</v>
      </c>
      <c r="B457" s="31">
        <v>126480</v>
      </c>
      <c r="C457" s="31">
        <v>495</v>
      </c>
      <c r="D457" s="97" t="s">
        <v>1640</v>
      </c>
      <c r="E457" s="32" t="s">
        <v>983</v>
      </c>
      <c r="F457" s="11" t="s">
        <v>1029</v>
      </c>
      <c r="G457" s="11" t="s">
        <v>1030</v>
      </c>
      <c r="H457" s="8" t="s">
        <v>151</v>
      </c>
      <c r="I457" s="134" t="s">
        <v>2868</v>
      </c>
      <c r="J457" s="25">
        <v>43553</v>
      </c>
      <c r="K457" s="25">
        <v>43980</v>
      </c>
      <c r="L457" s="26">
        <f>R457/AD457*100</f>
        <v>83.300002424250337</v>
      </c>
      <c r="M457" s="40">
        <v>6</v>
      </c>
      <c r="N457" s="135" t="s">
        <v>182</v>
      </c>
      <c r="O457" s="135" t="s">
        <v>182</v>
      </c>
      <c r="P457" s="11" t="s">
        <v>274</v>
      </c>
      <c r="Q457" s="11" t="s">
        <v>34</v>
      </c>
      <c r="R457" s="30">
        <f>S457+T457</f>
        <v>876896.26</v>
      </c>
      <c r="S457" s="93">
        <v>876896.26</v>
      </c>
      <c r="T457" s="34">
        <v>0</v>
      </c>
      <c r="U457" s="30">
        <f>V457+W457</f>
        <v>154746.38</v>
      </c>
      <c r="V457" s="42">
        <v>154746.38</v>
      </c>
      <c r="W457" s="42">
        <v>0</v>
      </c>
      <c r="X457" s="30">
        <f>Y457+Z457</f>
        <v>0</v>
      </c>
      <c r="Y457" s="34">
        <v>0</v>
      </c>
      <c r="Z457" s="34">
        <v>0</v>
      </c>
      <c r="AA457" s="2">
        <f>AB457+AC457</f>
        <v>21053.919999999998</v>
      </c>
      <c r="AB457" s="93">
        <v>21053.919999999998</v>
      </c>
      <c r="AC457" s="34">
        <v>0</v>
      </c>
      <c r="AD457" s="16">
        <f t="shared" si="227"/>
        <v>1052696.56</v>
      </c>
      <c r="AE457" s="37">
        <v>10640</v>
      </c>
      <c r="AF457" s="2">
        <f>AD457+AE457</f>
        <v>1063336.56</v>
      </c>
      <c r="AG457" s="38" t="s">
        <v>857</v>
      </c>
      <c r="AH457" s="38" t="s">
        <v>1439</v>
      </c>
      <c r="AI457" s="30">
        <f>758406.35-27875.87</f>
        <v>730530.48</v>
      </c>
      <c r="AJ457" s="30">
        <f>115306.95+13610.14</f>
        <v>128917.09</v>
      </c>
    </row>
    <row r="458" spans="1:109" s="43" customFormat="1" ht="173.25" x14ac:dyDescent="0.25">
      <c r="A458" s="6">
        <v>455</v>
      </c>
      <c r="B458" s="31">
        <v>151021</v>
      </c>
      <c r="C458" s="11">
        <v>957</v>
      </c>
      <c r="D458" s="11" t="s">
        <v>1638</v>
      </c>
      <c r="E458" s="24" t="s">
        <v>2258</v>
      </c>
      <c r="F458" s="11" t="s">
        <v>2260</v>
      </c>
      <c r="G458" s="27" t="s">
        <v>2259</v>
      </c>
      <c r="H458" s="8" t="s">
        <v>151</v>
      </c>
      <c r="I458" s="46" t="s">
        <v>2869</v>
      </c>
      <c r="J458" s="25">
        <v>44727</v>
      </c>
      <c r="K458" s="25">
        <v>45092</v>
      </c>
      <c r="L458" s="26">
        <f t="shared" ref="L458:L595" si="228">R458/AD458*100</f>
        <v>83.300000000000011</v>
      </c>
      <c r="M458" s="11" t="s">
        <v>2265</v>
      </c>
      <c r="N458" s="11" t="s">
        <v>2261</v>
      </c>
      <c r="O458" s="11" t="s">
        <v>2262</v>
      </c>
      <c r="P458" s="11" t="s">
        <v>274</v>
      </c>
      <c r="Q458" s="11" t="s">
        <v>34</v>
      </c>
      <c r="R458" s="2">
        <f>S458+T458</f>
        <v>308185.01</v>
      </c>
      <c r="S458" s="2">
        <v>308185.01</v>
      </c>
      <c r="T458" s="2">
        <v>0</v>
      </c>
      <c r="U458" s="2">
        <f>V458+W458</f>
        <v>54385.59</v>
      </c>
      <c r="V458" s="28">
        <v>54385.59</v>
      </c>
      <c r="W458" s="28">
        <v>0</v>
      </c>
      <c r="X458" s="2">
        <f>Y458+Z458</f>
        <v>0</v>
      </c>
      <c r="Y458" s="2">
        <v>0</v>
      </c>
      <c r="Z458" s="2">
        <v>0</v>
      </c>
      <c r="AA458" s="2">
        <f>AB458+AC458</f>
        <v>7399.4</v>
      </c>
      <c r="AB458" s="2">
        <v>7399.4</v>
      </c>
      <c r="AC458" s="2">
        <v>0</v>
      </c>
      <c r="AD458" s="16">
        <f t="shared" si="227"/>
        <v>369970</v>
      </c>
      <c r="AE458" s="2">
        <v>0</v>
      </c>
      <c r="AF458" s="2">
        <f>AD458+AE458</f>
        <v>369970</v>
      </c>
      <c r="AG458" s="38" t="s">
        <v>486</v>
      </c>
      <c r="AH458" s="29"/>
      <c r="AI458" s="118">
        <v>36997</v>
      </c>
      <c r="AJ458" s="30">
        <v>0</v>
      </c>
      <c r="AK458" s="179"/>
    </row>
    <row r="459" spans="1:109" s="43" customFormat="1" ht="141.75" x14ac:dyDescent="0.25">
      <c r="A459" s="6">
        <v>456</v>
      </c>
      <c r="B459" s="31">
        <v>151312</v>
      </c>
      <c r="C459" s="11">
        <v>973</v>
      </c>
      <c r="D459" s="11" t="s">
        <v>1638</v>
      </c>
      <c r="E459" s="24" t="s">
        <v>2258</v>
      </c>
      <c r="F459" s="11" t="s">
        <v>2264</v>
      </c>
      <c r="G459" s="27" t="s">
        <v>2263</v>
      </c>
      <c r="H459" s="8" t="s">
        <v>151</v>
      </c>
      <c r="I459" s="46" t="s">
        <v>2266</v>
      </c>
      <c r="J459" s="25">
        <v>44728</v>
      </c>
      <c r="K459" s="25">
        <v>45154</v>
      </c>
      <c r="L459" s="26">
        <f t="shared" si="228"/>
        <v>83.300001696186598</v>
      </c>
      <c r="M459" s="11">
        <v>6</v>
      </c>
      <c r="N459" s="11" t="s">
        <v>416</v>
      </c>
      <c r="O459" s="11" t="s">
        <v>678</v>
      </c>
      <c r="P459" s="11" t="s">
        <v>274</v>
      </c>
      <c r="Q459" s="11" t="s">
        <v>34</v>
      </c>
      <c r="R459" s="2">
        <f t="shared" ref="R459:R521" si="229">S459+T459</f>
        <v>353593.18</v>
      </c>
      <c r="S459" s="2">
        <v>353593.18</v>
      </c>
      <c r="T459" s="2">
        <v>0</v>
      </c>
      <c r="U459" s="2">
        <f t="shared" ref="U459:U521" si="230">V459+W459</f>
        <v>62398.78</v>
      </c>
      <c r="V459" s="28">
        <v>62398.78</v>
      </c>
      <c r="W459" s="28">
        <v>0</v>
      </c>
      <c r="X459" s="2">
        <f t="shared" ref="X459:X521" si="231">Y459+Z459</f>
        <v>0</v>
      </c>
      <c r="Y459" s="2">
        <v>0</v>
      </c>
      <c r="Z459" s="2">
        <v>0</v>
      </c>
      <c r="AA459" s="2">
        <f t="shared" ref="AA459:AA521" si="232">AB459+AC459</f>
        <v>8489.64</v>
      </c>
      <c r="AB459" s="2">
        <v>8489.64</v>
      </c>
      <c r="AC459" s="2">
        <v>0</v>
      </c>
      <c r="AD459" s="16">
        <f t="shared" si="227"/>
        <v>424481.6</v>
      </c>
      <c r="AE459" s="2">
        <v>0</v>
      </c>
      <c r="AF459" s="2">
        <f t="shared" ref="AF459:AF521" si="233">AD459+AE459</f>
        <v>424481.6</v>
      </c>
      <c r="AG459" s="38" t="s">
        <v>486</v>
      </c>
      <c r="AH459" s="29"/>
      <c r="AI459" s="118">
        <v>41599</v>
      </c>
      <c r="AJ459" s="30">
        <v>0</v>
      </c>
      <c r="AK459" s="179"/>
    </row>
    <row r="460" spans="1:109" s="43" customFormat="1" ht="157.5" x14ac:dyDescent="0.25">
      <c r="A460" s="6">
        <v>457</v>
      </c>
      <c r="B460" s="31">
        <v>151314</v>
      </c>
      <c r="C460" s="11">
        <v>974</v>
      </c>
      <c r="D460" s="11" t="s">
        <v>1638</v>
      </c>
      <c r="E460" s="24" t="s">
        <v>2258</v>
      </c>
      <c r="F460" s="11" t="s">
        <v>2268</v>
      </c>
      <c r="G460" s="27" t="s">
        <v>2267</v>
      </c>
      <c r="H460" s="8" t="s">
        <v>151</v>
      </c>
      <c r="I460" s="46" t="s">
        <v>2271</v>
      </c>
      <c r="J460" s="25">
        <v>44726</v>
      </c>
      <c r="K460" s="25">
        <v>45152</v>
      </c>
      <c r="L460" s="26">
        <f t="shared" si="228"/>
        <v>83.299999762874137</v>
      </c>
      <c r="M460" s="11">
        <v>5</v>
      </c>
      <c r="N460" s="11" t="s">
        <v>2269</v>
      </c>
      <c r="O460" s="11" t="s">
        <v>2270</v>
      </c>
      <c r="P460" s="11" t="s">
        <v>274</v>
      </c>
      <c r="Q460" s="11" t="s">
        <v>34</v>
      </c>
      <c r="R460" s="2">
        <f t="shared" si="229"/>
        <v>351290.26</v>
      </c>
      <c r="S460" s="2">
        <v>351290.26</v>
      </c>
      <c r="T460" s="2">
        <v>0</v>
      </c>
      <c r="U460" s="2">
        <f t="shared" si="230"/>
        <v>61992.4</v>
      </c>
      <c r="V460" s="28">
        <v>61992.4</v>
      </c>
      <c r="W460" s="28">
        <v>0</v>
      </c>
      <c r="X460" s="2">
        <f t="shared" si="231"/>
        <v>0</v>
      </c>
      <c r="Y460" s="2">
        <v>0</v>
      </c>
      <c r="Z460" s="2">
        <v>0</v>
      </c>
      <c r="AA460" s="2">
        <f t="shared" si="232"/>
        <v>8434.34</v>
      </c>
      <c r="AB460" s="2">
        <v>8434.34</v>
      </c>
      <c r="AC460" s="2">
        <v>0</v>
      </c>
      <c r="AD460" s="16">
        <f t="shared" si="227"/>
        <v>421717.00000000006</v>
      </c>
      <c r="AE460" s="2">
        <v>0</v>
      </c>
      <c r="AF460" s="2">
        <f t="shared" si="233"/>
        <v>421717.00000000006</v>
      </c>
      <c r="AG460" s="38" t="s">
        <v>486</v>
      </c>
      <c r="AH460" s="29"/>
      <c r="AI460" s="118">
        <v>42171.7</v>
      </c>
      <c r="AJ460" s="30">
        <v>0</v>
      </c>
      <c r="AK460" s="179"/>
    </row>
    <row r="461" spans="1:109" s="43" customFormat="1" ht="173.25" x14ac:dyDescent="0.25">
      <c r="A461" s="6">
        <v>458</v>
      </c>
      <c r="B461" s="31">
        <v>151401</v>
      </c>
      <c r="C461" s="11">
        <v>981</v>
      </c>
      <c r="D461" s="11" t="s">
        <v>1638</v>
      </c>
      <c r="E461" s="24" t="s">
        <v>2258</v>
      </c>
      <c r="F461" s="11" t="s">
        <v>2273</v>
      </c>
      <c r="G461" s="27" t="s">
        <v>2272</v>
      </c>
      <c r="H461" s="8" t="s">
        <v>151</v>
      </c>
      <c r="I461" s="46" t="s">
        <v>2870</v>
      </c>
      <c r="J461" s="25">
        <v>44727</v>
      </c>
      <c r="K461" s="25">
        <v>45153</v>
      </c>
      <c r="L461" s="26">
        <f t="shared" si="228"/>
        <v>83.300001771908171</v>
      </c>
      <c r="M461" s="11">
        <v>1</v>
      </c>
      <c r="N461" s="11" t="s">
        <v>361</v>
      </c>
      <c r="O461" s="11" t="s">
        <v>361</v>
      </c>
      <c r="P461" s="11" t="s">
        <v>274</v>
      </c>
      <c r="Q461" s="11" t="s">
        <v>34</v>
      </c>
      <c r="R461" s="2">
        <f t="shared" si="229"/>
        <v>352586</v>
      </c>
      <c r="S461" s="2">
        <v>352586</v>
      </c>
      <c r="T461" s="2">
        <v>0</v>
      </c>
      <c r="U461" s="2">
        <f t="shared" si="230"/>
        <v>62221.05</v>
      </c>
      <c r="V461" s="28">
        <v>62221.05</v>
      </c>
      <c r="W461" s="28">
        <v>0</v>
      </c>
      <c r="X461" s="2">
        <f t="shared" si="231"/>
        <v>0</v>
      </c>
      <c r="Y461" s="2">
        <v>0</v>
      </c>
      <c r="Z461" s="2">
        <v>0</v>
      </c>
      <c r="AA461" s="2">
        <f t="shared" si="232"/>
        <v>8465.4500000000007</v>
      </c>
      <c r="AB461" s="2">
        <v>8465.4500000000007</v>
      </c>
      <c r="AC461" s="2">
        <v>0</v>
      </c>
      <c r="AD461" s="16">
        <f t="shared" si="227"/>
        <v>423272.5</v>
      </c>
      <c r="AE461" s="2">
        <v>0</v>
      </c>
      <c r="AF461" s="2">
        <f t="shared" si="233"/>
        <v>423272.5</v>
      </c>
      <c r="AG461" s="38" t="s">
        <v>486</v>
      </c>
      <c r="AH461" s="29"/>
      <c r="AI461" s="118">
        <v>42327.25</v>
      </c>
      <c r="AJ461" s="30">
        <v>0</v>
      </c>
      <c r="AK461" s="179"/>
    </row>
    <row r="462" spans="1:109" s="43" customFormat="1" ht="315" x14ac:dyDescent="0.25">
      <c r="A462" s="6">
        <v>459</v>
      </c>
      <c r="B462" s="31">
        <v>150983</v>
      </c>
      <c r="C462" s="11">
        <v>982</v>
      </c>
      <c r="D462" s="11" t="s">
        <v>1638</v>
      </c>
      <c r="E462" s="24" t="s">
        <v>2258</v>
      </c>
      <c r="F462" s="11" t="s">
        <v>2275</v>
      </c>
      <c r="G462" s="27" t="s">
        <v>2274</v>
      </c>
      <c r="H462" s="8" t="s">
        <v>151</v>
      </c>
      <c r="I462" s="46" t="s">
        <v>2277</v>
      </c>
      <c r="J462" s="25">
        <v>44726</v>
      </c>
      <c r="K462" s="25">
        <v>45152</v>
      </c>
      <c r="L462" s="26">
        <f t="shared" si="228"/>
        <v>83.300000244784727</v>
      </c>
      <c r="M462" s="11">
        <v>5</v>
      </c>
      <c r="N462" s="11" t="s">
        <v>592</v>
      </c>
      <c r="O462" s="11" t="s">
        <v>2276</v>
      </c>
      <c r="P462" s="11" t="s">
        <v>274</v>
      </c>
      <c r="Q462" s="11" t="s">
        <v>34</v>
      </c>
      <c r="R462" s="2">
        <f t="shared" si="229"/>
        <v>353910.98</v>
      </c>
      <c r="S462" s="2">
        <v>353910.98</v>
      </c>
      <c r="T462" s="2">
        <v>0</v>
      </c>
      <c r="U462" s="2">
        <f t="shared" si="230"/>
        <v>62454.879999999997</v>
      </c>
      <c r="V462" s="28">
        <v>62454.879999999997</v>
      </c>
      <c r="W462" s="28">
        <v>0</v>
      </c>
      <c r="X462" s="2">
        <f t="shared" si="231"/>
        <v>0</v>
      </c>
      <c r="Y462" s="2">
        <v>0</v>
      </c>
      <c r="Z462" s="2">
        <v>0</v>
      </c>
      <c r="AA462" s="2">
        <f t="shared" si="232"/>
        <v>8497.26</v>
      </c>
      <c r="AB462" s="2">
        <v>8497.26</v>
      </c>
      <c r="AC462" s="2">
        <v>0</v>
      </c>
      <c r="AD462" s="16">
        <f t="shared" si="227"/>
        <v>424863.12</v>
      </c>
      <c r="AE462" s="2">
        <v>0</v>
      </c>
      <c r="AF462" s="2">
        <f t="shared" si="233"/>
        <v>424863.12</v>
      </c>
      <c r="AG462" s="38" t="s">
        <v>486</v>
      </c>
      <c r="AH462" s="29"/>
      <c r="AI462" s="118">
        <v>42486.31</v>
      </c>
      <c r="AJ462" s="30">
        <v>0</v>
      </c>
      <c r="AK462" s="179"/>
    </row>
    <row r="463" spans="1:109" s="43" customFormat="1" ht="189" x14ac:dyDescent="0.25">
      <c r="A463" s="6">
        <v>460</v>
      </c>
      <c r="B463" s="31">
        <v>151540</v>
      </c>
      <c r="C463" s="11">
        <v>1008</v>
      </c>
      <c r="D463" s="11" t="s">
        <v>1638</v>
      </c>
      <c r="E463" s="24" t="s">
        <v>2258</v>
      </c>
      <c r="F463" s="11" t="s">
        <v>2279</v>
      </c>
      <c r="G463" s="27" t="s">
        <v>2278</v>
      </c>
      <c r="H463" s="8" t="s">
        <v>151</v>
      </c>
      <c r="I463" s="46" t="s">
        <v>2871</v>
      </c>
      <c r="J463" s="25">
        <v>44728</v>
      </c>
      <c r="K463" s="25">
        <v>45154</v>
      </c>
      <c r="L463" s="26">
        <f t="shared" si="228"/>
        <v>83.29999717088748</v>
      </c>
      <c r="M463" s="11">
        <v>7</v>
      </c>
      <c r="N463" s="11" t="s">
        <v>226</v>
      </c>
      <c r="O463" s="11" t="s">
        <v>226</v>
      </c>
      <c r="P463" s="11" t="s">
        <v>274</v>
      </c>
      <c r="Q463" s="11" t="s">
        <v>34</v>
      </c>
      <c r="R463" s="2">
        <f t="shared" si="229"/>
        <v>325354.67</v>
      </c>
      <c r="S463" s="2">
        <v>325354.67</v>
      </c>
      <c r="T463" s="2">
        <v>0</v>
      </c>
      <c r="U463" s="2">
        <f t="shared" si="230"/>
        <v>57415.54</v>
      </c>
      <c r="V463" s="28">
        <v>57415.54</v>
      </c>
      <c r="W463" s="28">
        <v>0</v>
      </c>
      <c r="X463" s="2">
        <f t="shared" si="231"/>
        <v>0</v>
      </c>
      <c r="Y463" s="2">
        <v>0</v>
      </c>
      <c r="Z463" s="2">
        <v>0</v>
      </c>
      <c r="AA463" s="2">
        <f t="shared" si="232"/>
        <v>7811.64</v>
      </c>
      <c r="AB463" s="2">
        <v>7811.64</v>
      </c>
      <c r="AC463" s="2">
        <v>0</v>
      </c>
      <c r="AD463" s="16">
        <f t="shared" si="227"/>
        <v>390581.85</v>
      </c>
      <c r="AE463" s="2">
        <v>0</v>
      </c>
      <c r="AF463" s="2">
        <f t="shared" si="233"/>
        <v>390581.85</v>
      </c>
      <c r="AG463" s="38" t="s">
        <v>486</v>
      </c>
      <c r="AH463" s="29"/>
      <c r="AI463" s="118">
        <v>0</v>
      </c>
      <c r="AJ463" s="30">
        <v>0</v>
      </c>
      <c r="AK463" s="179"/>
    </row>
    <row r="464" spans="1:109" s="43" customFormat="1" ht="157.5" x14ac:dyDescent="0.25">
      <c r="A464" s="6">
        <v>461</v>
      </c>
      <c r="B464" s="31">
        <v>151560</v>
      </c>
      <c r="C464" s="11">
        <v>1013</v>
      </c>
      <c r="D464" s="11" t="s">
        <v>1638</v>
      </c>
      <c r="E464" s="24" t="s">
        <v>2258</v>
      </c>
      <c r="F464" s="11" t="s">
        <v>2281</v>
      </c>
      <c r="G464" s="27" t="s">
        <v>2280</v>
      </c>
      <c r="H464" s="8" t="s">
        <v>151</v>
      </c>
      <c r="I464" s="46" t="s">
        <v>2872</v>
      </c>
      <c r="J464" s="25">
        <v>44727</v>
      </c>
      <c r="K464" s="25">
        <v>45092</v>
      </c>
      <c r="L464" s="26">
        <f t="shared" si="228"/>
        <v>83.3</v>
      </c>
      <c r="M464" s="11">
        <v>7</v>
      </c>
      <c r="N464" s="11" t="s">
        <v>994</v>
      </c>
      <c r="O464" s="11" t="s">
        <v>995</v>
      </c>
      <c r="P464" s="11" t="s">
        <v>274</v>
      </c>
      <c r="Q464" s="11" t="s">
        <v>34</v>
      </c>
      <c r="R464" s="2">
        <f t="shared" si="229"/>
        <v>353325.28</v>
      </c>
      <c r="S464" s="2">
        <v>353325.28</v>
      </c>
      <c r="T464" s="2">
        <v>0</v>
      </c>
      <c r="U464" s="2">
        <f t="shared" si="230"/>
        <v>62351.519999999997</v>
      </c>
      <c r="V464" s="28">
        <v>62351.519999999997</v>
      </c>
      <c r="W464" s="28">
        <v>0</v>
      </c>
      <c r="X464" s="2">
        <f t="shared" si="231"/>
        <v>0</v>
      </c>
      <c r="Y464" s="2">
        <v>0</v>
      </c>
      <c r="Z464" s="2">
        <v>0</v>
      </c>
      <c r="AA464" s="2">
        <f t="shared" si="232"/>
        <v>8483.2000000000007</v>
      </c>
      <c r="AB464" s="2">
        <v>8483.2000000000007</v>
      </c>
      <c r="AC464" s="2">
        <v>0</v>
      </c>
      <c r="AD464" s="16">
        <f t="shared" si="227"/>
        <v>424160.00000000006</v>
      </c>
      <c r="AE464" s="2">
        <v>0</v>
      </c>
      <c r="AF464" s="2">
        <f t="shared" si="233"/>
        <v>424160.00000000006</v>
      </c>
      <c r="AG464" s="38" t="s">
        <v>486</v>
      </c>
      <c r="AH464" s="29"/>
      <c r="AI464" s="118">
        <v>41500</v>
      </c>
      <c r="AJ464" s="30">
        <v>0</v>
      </c>
      <c r="AK464" s="179"/>
    </row>
    <row r="465" spans="1:37" s="43" customFormat="1" ht="157.5" x14ac:dyDescent="0.25">
      <c r="A465" s="6">
        <v>462</v>
      </c>
      <c r="B465" s="31">
        <v>151433</v>
      </c>
      <c r="C465" s="11">
        <v>1015</v>
      </c>
      <c r="D465" s="11" t="s">
        <v>1638</v>
      </c>
      <c r="E465" s="24" t="s">
        <v>2258</v>
      </c>
      <c r="F465" s="31" t="s">
        <v>2284</v>
      </c>
      <c r="G465" s="27" t="s">
        <v>2283</v>
      </c>
      <c r="H465" s="8" t="s">
        <v>151</v>
      </c>
      <c r="I465" s="46" t="s">
        <v>2873</v>
      </c>
      <c r="J465" s="25">
        <v>44729</v>
      </c>
      <c r="K465" s="25">
        <v>45094</v>
      </c>
      <c r="L465" s="26">
        <f t="shared" si="228"/>
        <v>83.29999952830633</v>
      </c>
      <c r="M465" s="11">
        <v>1</v>
      </c>
      <c r="N465" s="11" t="s">
        <v>407</v>
      </c>
      <c r="O465" s="11" t="s">
        <v>1918</v>
      </c>
      <c r="P465" s="11" t="s">
        <v>274</v>
      </c>
      <c r="Q465" s="11" t="s">
        <v>34</v>
      </c>
      <c r="R465" s="2">
        <f t="shared" si="229"/>
        <v>353195.33</v>
      </c>
      <c r="S465" s="2">
        <v>353195.33</v>
      </c>
      <c r="T465" s="2">
        <v>0</v>
      </c>
      <c r="U465" s="2">
        <f t="shared" si="230"/>
        <v>62328.59</v>
      </c>
      <c r="V465" s="28">
        <v>62328.59</v>
      </c>
      <c r="W465" s="28">
        <v>0</v>
      </c>
      <c r="X465" s="2">
        <f t="shared" si="231"/>
        <v>0</v>
      </c>
      <c r="Y465" s="2">
        <v>0</v>
      </c>
      <c r="Z465" s="2">
        <v>0</v>
      </c>
      <c r="AA465" s="2">
        <f t="shared" si="232"/>
        <v>8480.08</v>
      </c>
      <c r="AB465" s="2">
        <v>8480.08</v>
      </c>
      <c r="AC465" s="2">
        <v>0</v>
      </c>
      <c r="AD465" s="16">
        <f t="shared" si="227"/>
        <v>424004.00000000006</v>
      </c>
      <c r="AE465" s="2">
        <v>0</v>
      </c>
      <c r="AF465" s="2">
        <f t="shared" si="233"/>
        <v>424004.00000000006</v>
      </c>
      <c r="AG465" s="38" t="s">
        <v>486</v>
      </c>
      <c r="AH465" s="29"/>
      <c r="AI465" s="118">
        <v>42000</v>
      </c>
      <c r="AJ465" s="30">
        <v>0</v>
      </c>
      <c r="AK465" s="179"/>
    </row>
    <row r="466" spans="1:37" s="43" customFormat="1" ht="189" x14ac:dyDescent="0.25">
      <c r="A466" s="6">
        <v>463</v>
      </c>
      <c r="B466" s="31">
        <v>151245</v>
      </c>
      <c r="C466" s="11">
        <v>886</v>
      </c>
      <c r="D466" s="11" t="s">
        <v>1638</v>
      </c>
      <c r="E466" s="24" t="s">
        <v>2258</v>
      </c>
      <c r="F466" s="31" t="s">
        <v>2288</v>
      </c>
      <c r="G466" s="27" t="s">
        <v>2287</v>
      </c>
      <c r="H466" s="8" t="s">
        <v>151</v>
      </c>
      <c r="I466" s="46" t="s">
        <v>2874</v>
      </c>
      <c r="J466" s="25">
        <v>44735</v>
      </c>
      <c r="K466" s="25">
        <v>45161</v>
      </c>
      <c r="L466" s="26">
        <f t="shared" si="228"/>
        <v>83.3</v>
      </c>
      <c r="M466" s="11">
        <v>7</v>
      </c>
      <c r="N466" s="11" t="s">
        <v>2289</v>
      </c>
      <c r="O466" s="11" t="s">
        <v>2290</v>
      </c>
      <c r="P466" s="11" t="s">
        <v>274</v>
      </c>
      <c r="Q466" s="11" t="s">
        <v>34</v>
      </c>
      <c r="R466" s="2">
        <f t="shared" si="229"/>
        <v>353608.5</v>
      </c>
      <c r="S466" s="2">
        <v>353608.5</v>
      </c>
      <c r="T466" s="2">
        <v>0</v>
      </c>
      <c r="U466" s="2">
        <f t="shared" si="230"/>
        <v>62401.5</v>
      </c>
      <c r="V466" s="28">
        <v>62401.5</v>
      </c>
      <c r="W466" s="28">
        <v>0</v>
      </c>
      <c r="X466" s="2">
        <f t="shared" si="231"/>
        <v>0</v>
      </c>
      <c r="Y466" s="2">
        <v>0</v>
      </c>
      <c r="Z466" s="2">
        <v>0</v>
      </c>
      <c r="AA466" s="2">
        <f t="shared" si="232"/>
        <v>8490</v>
      </c>
      <c r="AB466" s="2">
        <v>8490</v>
      </c>
      <c r="AC466" s="2">
        <v>0</v>
      </c>
      <c r="AD466" s="16">
        <f t="shared" si="227"/>
        <v>424500</v>
      </c>
      <c r="AE466" s="2">
        <v>0</v>
      </c>
      <c r="AF466" s="2">
        <f t="shared" si="233"/>
        <v>424500</v>
      </c>
      <c r="AG466" s="38" t="s">
        <v>486</v>
      </c>
      <c r="AH466" s="29"/>
      <c r="AI466" s="118">
        <v>42450</v>
      </c>
      <c r="AJ466" s="30">
        <v>0</v>
      </c>
      <c r="AK466" s="179"/>
    </row>
    <row r="467" spans="1:37" s="43" customFormat="1" ht="315" x14ac:dyDescent="0.25">
      <c r="A467" s="6">
        <v>464</v>
      </c>
      <c r="B467" s="31">
        <v>151536</v>
      </c>
      <c r="C467" s="11">
        <v>1005</v>
      </c>
      <c r="D467" s="11" t="s">
        <v>1638</v>
      </c>
      <c r="E467" s="24" t="s">
        <v>2258</v>
      </c>
      <c r="F467" s="31" t="s">
        <v>2292</v>
      </c>
      <c r="G467" s="27" t="s">
        <v>2291</v>
      </c>
      <c r="H467" s="8" t="s">
        <v>151</v>
      </c>
      <c r="I467" s="46" t="s">
        <v>2875</v>
      </c>
      <c r="J467" s="25">
        <v>44732</v>
      </c>
      <c r="K467" s="25">
        <v>45158</v>
      </c>
      <c r="L467" s="26">
        <f t="shared" si="228"/>
        <v>83.299982409036502</v>
      </c>
      <c r="M467" s="11">
        <v>4</v>
      </c>
      <c r="N467" s="11" t="s">
        <v>499</v>
      </c>
      <c r="O467" s="11" t="s">
        <v>2293</v>
      </c>
      <c r="P467" s="11" t="s">
        <v>274</v>
      </c>
      <c r="Q467" s="11" t="s">
        <v>34</v>
      </c>
      <c r="R467" s="2">
        <f t="shared" si="229"/>
        <v>287295.8</v>
      </c>
      <c r="S467" s="2">
        <v>287295.8</v>
      </c>
      <c r="T467" s="2">
        <v>0</v>
      </c>
      <c r="U467" s="2">
        <f t="shared" si="230"/>
        <v>50699.27</v>
      </c>
      <c r="V467" s="28">
        <v>50699.27</v>
      </c>
      <c r="W467" s="28">
        <v>0</v>
      </c>
      <c r="X467" s="2">
        <f t="shared" si="231"/>
        <v>0</v>
      </c>
      <c r="Y467" s="2">
        <v>0</v>
      </c>
      <c r="Z467" s="2">
        <v>0</v>
      </c>
      <c r="AA467" s="2">
        <f t="shared" si="232"/>
        <v>6897.92</v>
      </c>
      <c r="AB467" s="2">
        <v>6897.92</v>
      </c>
      <c r="AC467" s="2">
        <v>0</v>
      </c>
      <c r="AD467" s="16">
        <f t="shared" si="227"/>
        <v>344892.99</v>
      </c>
      <c r="AE467" s="2">
        <v>0</v>
      </c>
      <c r="AF467" s="2">
        <f t="shared" si="233"/>
        <v>344892.99</v>
      </c>
      <c r="AG467" s="38" t="s">
        <v>486</v>
      </c>
      <c r="AH467" s="29"/>
      <c r="AI467" s="118">
        <v>34489.29</v>
      </c>
      <c r="AJ467" s="30">
        <v>0</v>
      </c>
      <c r="AK467" s="179"/>
    </row>
    <row r="468" spans="1:37" s="43" customFormat="1" ht="346.5" x14ac:dyDescent="0.25">
      <c r="A468" s="6">
        <v>465</v>
      </c>
      <c r="B468" s="31">
        <v>151539</v>
      </c>
      <c r="C468" s="11">
        <v>1007</v>
      </c>
      <c r="D468" s="11" t="s">
        <v>1638</v>
      </c>
      <c r="E468" s="24" t="s">
        <v>2258</v>
      </c>
      <c r="F468" s="31" t="s">
        <v>2295</v>
      </c>
      <c r="G468" s="27" t="s">
        <v>2294</v>
      </c>
      <c r="H468" s="8" t="s">
        <v>151</v>
      </c>
      <c r="I468" s="46" t="s">
        <v>2876</v>
      </c>
      <c r="J468" s="25">
        <v>44732</v>
      </c>
      <c r="K468" s="25">
        <v>45158</v>
      </c>
      <c r="L468" s="26">
        <f t="shared" si="228"/>
        <v>83.300000992427783</v>
      </c>
      <c r="M468" s="11">
        <v>5</v>
      </c>
      <c r="N468" s="11" t="s">
        <v>230</v>
      </c>
      <c r="O468" s="11" t="s">
        <v>230</v>
      </c>
      <c r="P468" s="11" t="s">
        <v>274</v>
      </c>
      <c r="Q468" s="11" t="s">
        <v>34</v>
      </c>
      <c r="R468" s="2">
        <f t="shared" si="229"/>
        <v>335742.32</v>
      </c>
      <c r="S468" s="2">
        <v>335742.32</v>
      </c>
      <c r="T468" s="2">
        <v>0</v>
      </c>
      <c r="U468" s="2">
        <f t="shared" si="230"/>
        <v>59248.639999999999</v>
      </c>
      <c r="V468" s="28">
        <v>59248.639999999999</v>
      </c>
      <c r="W468" s="28">
        <v>0</v>
      </c>
      <c r="X468" s="2">
        <f t="shared" si="231"/>
        <v>0</v>
      </c>
      <c r="Y468" s="2">
        <v>0</v>
      </c>
      <c r="Z468" s="2">
        <v>0</v>
      </c>
      <c r="AA468" s="2">
        <f t="shared" si="232"/>
        <v>8061.04</v>
      </c>
      <c r="AB468" s="2">
        <v>8061.04</v>
      </c>
      <c r="AC468" s="2">
        <v>0</v>
      </c>
      <c r="AD468" s="16">
        <f t="shared" si="227"/>
        <v>403052</v>
      </c>
      <c r="AE468" s="2">
        <v>0</v>
      </c>
      <c r="AF468" s="2">
        <f t="shared" si="233"/>
        <v>403052</v>
      </c>
      <c r="AG468" s="38" t="s">
        <v>486</v>
      </c>
      <c r="AH468" s="29"/>
      <c r="AI468" s="118">
        <v>40000</v>
      </c>
      <c r="AJ468" s="30">
        <v>0</v>
      </c>
      <c r="AK468" s="179"/>
    </row>
    <row r="469" spans="1:37" s="43" customFormat="1" ht="141.75" x14ac:dyDescent="0.25">
      <c r="A469" s="6">
        <v>466</v>
      </c>
      <c r="B469" s="31">
        <v>151462</v>
      </c>
      <c r="C469" s="11">
        <v>1018</v>
      </c>
      <c r="D469" s="11" t="s">
        <v>1638</v>
      </c>
      <c r="E469" s="24" t="s">
        <v>2258</v>
      </c>
      <c r="F469" s="31" t="s">
        <v>2297</v>
      </c>
      <c r="G469" s="27" t="s">
        <v>2296</v>
      </c>
      <c r="H469" s="8" t="s">
        <v>151</v>
      </c>
      <c r="I469" s="46" t="s">
        <v>2877</v>
      </c>
      <c r="J469" s="25">
        <v>44733</v>
      </c>
      <c r="K469" s="25">
        <v>45098</v>
      </c>
      <c r="L469" s="26">
        <f t="shared" si="228"/>
        <v>83.300001174338774</v>
      </c>
      <c r="M469" s="11">
        <v>3</v>
      </c>
      <c r="N469" s="11" t="s">
        <v>254</v>
      </c>
      <c r="O469" s="11" t="s">
        <v>2298</v>
      </c>
      <c r="P469" s="11" t="s">
        <v>274</v>
      </c>
      <c r="Q469" s="11" t="s">
        <v>34</v>
      </c>
      <c r="R469" s="2">
        <f t="shared" si="229"/>
        <v>353958.34</v>
      </c>
      <c r="S469" s="2">
        <v>353958.34</v>
      </c>
      <c r="T469" s="2">
        <v>0</v>
      </c>
      <c r="U469" s="2">
        <f t="shared" si="230"/>
        <v>62463.24</v>
      </c>
      <c r="V469" s="28">
        <v>62463.24</v>
      </c>
      <c r="W469" s="28">
        <v>0</v>
      </c>
      <c r="X469" s="2">
        <f t="shared" si="231"/>
        <v>0</v>
      </c>
      <c r="Y469" s="2">
        <v>0</v>
      </c>
      <c r="Z469" s="2">
        <v>0</v>
      </c>
      <c r="AA469" s="2">
        <f t="shared" si="232"/>
        <v>8498.39</v>
      </c>
      <c r="AB469" s="2">
        <v>8498.39</v>
      </c>
      <c r="AC469" s="2">
        <v>0</v>
      </c>
      <c r="AD469" s="16">
        <f t="shared" si="227"/>
        <v>424919.97000000003</v>
      </c>
      <c r="AE469" s="2">
        <v>0</v>
      </c>
      <c r="AF469" s="2">
        <f t="shared" si="233"/>
        <v>424919.97000000003</v>
      </c>
      <c r="AG469" s="38" t="s">
        <v>486</v>
      </c>
      <c r="AH469" s="29"/>
      <c r="AI469" s="118">
        <v>42491</v>
      </c>
      <c r="AJ469" s="30">
        <v>0</v>
      </c>
      <c r="AK469" s="179"/>
    </row>
    <row r="470" spans="1:37" s="43" customFormat="1" ht="283.5" x14ac:dyDescent="0.25">
      <c r="A470" s="6">
        <v>467</v>
      </c>
      <c r="B470" s="31">
        <v>150843</v>
      </c>
      <c r="C470" s="11">
        <v>885</v>
      </c>
      <c r="D470" s="11" t="s">
        <v>1638</v>
      </c>
      <c r="E470" s="24" t="s">
        <v>2258</v>
      </c>
      <c r="F470" s="31" t="s">
        <v>2310</v>
      </c>
      <c r="G470" s="27" t="s">
        <v>2309</v>
      </c>
      <c r="H470" s="8" t="s">
        <v>151</v>
      </c>
      <c r="I470" s="46" t="s">
        <v>2311</v>
      </c>
      <c r="J470" s="25">
        <v>44740</v>
      </c>
      <c r="K470" s="25">
        <v>45166</v>
      </c>
      <c r="L470" s="26">
        <f t="shared" si="228"/>
        <v>83.300001426156797</v>
      </c>
      <c r="M470" s="11">
        <v>6</v>
      </c>
      <c r="N470" s="11" t="s">
        <v>298</v>
      </c>
      <c r="O470" s="11" t="s">
        <v>298</v>
      </c>
      <c r="P470" s="11" t="s">
        <v>274</v>
      </c>
      <c r="Q470" s="11" t="s">
        <v>34</v>
      </c>
      <c r="R470" s="2">
        <f t="shared" si="229"/>
        <v>338770.61</v>
      </c>
      <c r="S470" s="2">
        <v>338770.61</v>
      </c>
      <c r="T470" s="2">
        <v>0</v>
      </c>
      <c r="U470" s="2">
        <f>V470+W470</f>
        <v>59783.040000000001</v>
      </c>
      <c r="V470" s="28">
        <v>59783.040000000001</v>
      </c>
      <c r="W470" s="28">
        <v>0</v>
      </c>
      <c r="X470" s="2">
        <f t="shared" si="231"/>
        <v>0</v>
      </c>
      <c r="Y470" s="2">
        <v>0</v>
      </c>
      <c r="Z470" s="2">
        <v>0</v>
      </c>
      <c r="AA470" s="2">
        <f t="shared" si="232"/>
        <v>8133.75</v>
      </c>
      <c r="AB470" s="2">
        <v>8133.75</v>
      </c>
      <c r="AC470" s="2">
        <v>0</v>
      </c>
      <c r="AD470" s="16">
        <f t="shared" si="227"/>
        <v>406687.39999999997</v>
      </c>
      <c r="AE470" s="2">
        <v>0</v>
      </c>
      <c r="AF470" s="2">
        <f t="shared" si="233"/>
        <v>406687.39999999997</v>
      </c>
      <c r="AG470" s="38" t="s">
        <v>486</v>
      </c>
      <c r="AH470" s="29"/>
      <c r="AI470" s="118">
        <v>40668</v>
      </c>
      <c r="AJ470" s="30">
        <v>0</v>
      </c>
      <c r="AK470" s="179"/>
    </row>
    <row r="471" spans="1:37" s="43" customFormat="1" ht="204.75" x14ac:dyDescent="0.25">
      <c r="A471" s="6">
        <v>468</v>
      </c>
      <c r="B471" s="31">
        <v>150664</v>
      </c>
      <c r="C471" s="11">
        <v>888</v>
      </c>
      <c r="D471" s="11" t="s">
        <v>1638</v>
      </c>
      <c r="E471" s="24" t="s">
        <v>2258</v>
      </c>
      <c r="F471" s="31" t="s">
        <v>2312</v>
      </c>
      <c r="G471" s="27" t="s">
        <v>2347</v>
      </c>
      <c r="H471" s="8" t="s">
        <v>151</v>
      </c>
      <c r="I471" s="46" t="s">
        <v>2315</v>
      </c>
      <c r="J471" s="25">
        <v>44742</v>
      </c>
      <c r="K471" s="25">
        <v>45107</v>
      </c>
      <c r="L471" s="26">
        <f t="shared" si="228"/>
        <v>83.300004936700049</v>
      </c>
      <c r="M471" s="11">
        <v>2</v>
      </c>
      <c r="N471" s="11" t="s">
        <v>2313</v>
      </c>
      <c r="O471" s="11" t="s">
        <v>2314</v>
      </c>
      <c r="P471" s="11" t="s">
        <v>274</v>
      </c>
      <c r="Q471" s="11" t="s">
        <v>34</v>
      </c>
      <c r="R471" s="2">
        <f t="shared" si="229"/>
        <v>318236.49</v>
      </c>
      <c r="S471" s="2">
        <v>318236.49</v>
      </c>
      <c r="T471" s="2">
        <v>0</v>
      </c>
      <c r="U471" s="2">
        <f t="shared" si="230"/>
        <v>56159.360000000001</v>
      </c>
      <c r="V471" s="28">
        <v>56159.360000000001</v>
      </c>
      <c r="W471" s="28">
        <v>0</v>
      </c>
      <c r="X471" s="2">
        <f t="shared" si="231"/>
        <v>0</v>
      </c>
      <c r="Y471" s="2">
        <v>0</v>
      </c>
      <c r="Z471" s="2">
        <v>0</v>
      </c>
      <c r="AA471" s="2">
        <f t="shared" si="232"/>
        <v>7640.73</v>
      </c>
      <c r="AB471" s="2">
        <v>7640.73</v>
      </c>
      <c r="AC471" s="2">
        <v>0</v>
      </c>
      <c r="AD471" s="16">
        <f t="shared" si="227"/>
        <v>382036.57999999996</v>
      </c>
      <c r="AE471" s="2">
        <v>0</v>
      </c>
      <c r="AF471" s="2">
        <f t="shared" si="233"/>
        <v>382036.57999999996</v>
      </c>
      <c r="AG471" s="38" t="s">
        <v>486</v>
      </c>
      <c r="AH471" s="29"/>
      <c r="AI471" s="118">
        <v>38203</v>
      </c>
      <c r="AJ471" s="30">
        <v>0</v>
      </c>
      <c r="AK471" s="179"/>
    </row>
    <row r="472" spans="1:37" s="43" customFormat="1" ht="141.75" x14ac:dyDescent="0.25">
      <c r="A472" s="6">
        <v>469</v>
      </c>
      <c r="B472" s="31">
        <v>150972</v>
      </c>
      <c r="C472" s="11">
        <v>956</v>
      </c>
      <c r="D472" s="11" t="s">
        <v>1638</v>
      </c>
      <c r="E472" s="24" t="s">
        <v>2258</v>
      </c>
      <c r="F472" s="31" t="s">
        <v>2317</v>
      </c>
      <c r="G472" s="27" t="s">
        <v>2316</v>
      </c>
      <c r="H472" s="8" t="s">
        <v>151</v>
      </c>
      <c r="I472" s="46" t="s">
        <v>2318</v>
      </c>
      <c r="J472" s="25">
        <v>44742</v>
      </c>
      <c r="K472" s="25">
        <v>45168</v>
      </c>
      <c r="L472" s="26">
        <f t="shared" si="228"/>
        <v>83.299998352743515</v>
      </c>
      <c r="M472" s="11">
        <v>3</v>
      </c>
      <c r="N472" s="11" t="s">
        <v>330</v>
      </c>
      <c r="O472" s="11" t="s">
        <v>330</v>
      </c>
      <c r="P472" s="11" t="s">
        <v>274</v>
      </c>
      <c r="Q472" s="11" t="s">
        <v>34</v>
      </c>
      <c r="R472" s="2">
        <f t="shared" si="229"/>
        <v>353982.51</v>
      </c>
      <c r="S472" s="2">
        <v>353982.51</v>
      </c>
      <c r="T472" s="2">
        <v>0</v>
      </c>
      <c r="U472" s="2">
        <f t="shared" si="230"/>
        <v>62467.51</v>
      </c>
      <c r="V472" s="28">
        <v>62467.51</v>
      </c>
      <c r="W472" s="28">
        <v>0</v>
      </c>
      <c r="X472" s="2">
        <f t="shared" si="231"/>
        <v>0</v>
      </c>
      <c r="Y472" s="2">
        <v>0</v>
      </c>
      <c r="Z472" s="2">
        <v>0</v>
      </c>
      <c r="AA472" s="2">
        <f t="shared" si="232"/>
        <v>8498.98</v>
      </c>
      <c r="AB472" s="2">
        <v>8498.98</v>
      </c>
      <c r="AC472" s="2">
        <v>0</v>
      </c>
      <c r="AD472" s="16">
        <f t="shared" si="227"/>
        <v>424949</v>
      </c>
      <c r="AE472" s="2">
        <v>0</v>
      </c>
      <c r="AF472" s="2">
        <f t="shared" si="233"/>
        <v>424949</v>
      </c>
      <c r="AG472" s="38" t="s">
        <v>486</v>
      </c>
      <c r="AH472" s="29"/>
      <c r="AI472" s="118">
        <v>42494</v>
      </c>
      <c r="AJ472" s="30">
        <v>0</v>
      </c>
      <c r="AK472" s="179"/>
    </row>
    <row r="473" spans="1:37" s="43" customFormat="1" ht="157.5" x14ac:dyDescent="0.25">
      <c r="A473" s="6">
        <v>470</v>
      </c>
      <c r="B473" s="31">
        <v>151254</v>
      </c>
      <c r="C473" s="11">
        <v>968</v>
      </c>
      <c r="D473" s="11" t="s">
        <v>1638</v>
      </c>
      <c r="E473" s="24" t="s">
        <v>2258</v>
      </c>
      <c r="F473" s="31" t="s">
        <v>2320</v>
      </c>
      <c r="G473" s="27" t="s">
        <v>2319</v>
      </c>
      <c r="H473" s="11" t="s">
        <v>2321</v>
      </c>
      <c r="I473" s="46" t="s">
        <v>2322</v>
      </c>
      <c r="J473" s="25">
        <v>44742</v>
      </c>
      <c r="K473" s="25">
        <v>45107</v>
      </c>
      <c r="L473" s="26">
        <f t="shared" si="228"/>
        <v>83.3</v>
      </c>
      <c r="M473" s="11">
        <v>7</v>
      </c>
      <c r="N473" s="11" t="s">
        <v>226</v>
      </c>
      <c r="O473" s="11" t="s">
        <v>226</v>
      </c>
      <c r="P473" s="11" t="s">
        <v>274</v>
      </c>
      <c r="Q473" s="11" t="s">
        <v>34</v>
      </c>
      <c r="R473" s="2">
        <f t="shared" si="229"/>
        <v>329593.11</v>
      </c>
      <c r="S473" s="2">
        <v>329593.11</v>
      </c>
      <c r="T473" s="2">
        <v>0</v>
      </c>
      <c r="U473" s="2">
        <f t="shared" si="230"/>
        <v>58163.49</v>
      </c>
      <c r="V473" s="28">
        <v>58163.49</v>
      </c>
      <c r="W473" s="28">
        <v>0</v>
      </c>
      <c r="X473" s="2">
        <f t="shared" si="231"/>
        <v>0</v>
      </c>
      <c r="Y473" s="2">
        <v>0</v>
      </c>
      <c r="Z473" s="2">
        <v>0</v>
      </c>
      <c r="AA473" s="2">
        <f t="shared" si="232"/>
        <v>7913.4</v>
      </c>
      <c r="AB473" s="2">
        <v>7913.4</v>
      </c>
      <c r="AC473" s="2">
        <v>0</v>
      </c>
      <c r="AD473" s="16">
        <f t="shared" si="227"/>
        <v>395670</v>
      </c>
      <c r="AE473" s="2">
        <v>0</v>
      </c>
      <c r="AF473" s="2">
        <f t="shared" si="233"/>
        <v>395670</v>
      </c>
      <c r="AG473" s="38" t="s">
        <v>486</v>
      </c>
      <c r="AH473" s="29"/>
      <c r="AI473" s="118">
        <v>38775.660000000003</v>
      </c>
      <c r="AJ473" s="30">
        <v>0</v>
      </c>
      <c r="AK473" s="179"/>
    </row>
    <row r="474" spans="1:37" s="43" customFormat="1" ht="236.25" x14ac:dyDescent="0.25">
      <c r="A474" s="6">
        <v>471</v>
      </c>
      <c r="B474" s="31">
        <v>151285</v>
      </c>
      <c r="C474" s="11">
        <v>972</v>
      </c>
      <c r="D474" s="11" t="s">
        <v>1638</v>
      </c>
      <c r="E474" s="24" t="s">
        <v>2258</v>
      </c>
      <c r="F474" s="31" t="s">
        <v>2324</v>
      </c>
      <c r="G474" s="27" t="s">
        <v>2323</v>
      </c>
      <c r="H474" s="11" t="s">
        <v>2325</v>
      </c>
      <c r="I474" s="46" t="s">
        <v>2878</v>
      </c>
      <c r="J474" s="25">
        <v>44739</v>
      </c>
      <c r="K474" s="25">
        <v>45165</v>
      </c>
      <c r="L474" s="26">
        <f t="shared" si="228"/>
        <v>83.299999921476058</v>
      </c>
      <c r="M474" s="11" t="s">
        <v>2326</v>
      </c>
      <c r="N474" s="11" t="s">
        <v>2327</v>
      </c>
      <c r="O474" s="11" t="s">
        <v>2327</v>
      </c>
      <c r="P474" s="11" t="s">
        <v>274</v>
      </c>
      <c r="Q474" s="11" t="s">
        <v>34</v>
      </c>
      <c r="R474" s="2">
        <f t="shared" si="229"/>
        <v>350071.59</v>
      </c>
      <c r="S474" s="2">
        <v>350071.59</v>
      </c>
      <c r="T474" s="2">
        <v>0</v>
      </c>
      <c r="U474" s="2">
        <f t="shared" si="230"/>
        <v>61777.34</v>
      </c>
      <c r="V474" s="28">
        <v>61777.34</v>
      </c>
      <c r="W474" s="28">
        <v>0</v>
      </c>
      <c r="X474" s="2">
        <f t="shared" si="231"/>
        <v>0</v>
      </c>
      <c r="Y474" s="2">
        <v>0</v>
      </c>
      <c r="Z474" s="2">
        <v>0</v>
      </c>
      <c r="AA474" s="2">
        <f t="shared" si="232"/>
        <v>8405.08</v>
      </c>
      <c r="AB474" s="2">
        <v>8405.08</v>
      </c>
      <c r="AC474" s="2">
        <v>0</v>
      </c>
      <c r="AD474" s="16">
        <f t="shared" si="227"/>
        <v>420254.01000000007</v>
      </c>
      <c r="AE474" s="2">
        <v>0</v>
      </c>
      <c r="AF474" s="2">
        <f t="shared" si="233"/>
        <v>420254.01000000007</v>
      </c>
      <c r="AG474" s="38" t="s">
        <v>486</v>
      </c>
      <c r="AH474" s="29"/>
      <c r="AI474" s="118">
        <v>42025</v>
      </c>
      <c r="AJ474" s="30">
        <v>0</v>
      </c>
      <c r="AK474" s="179"/>
    </row>
    <row r="475" spans="1:37" s="43" customFormat="1" ht="330.75" x14ac:dyDescent="0.25">
      <c r="A475" s="6">
        <v>472</v>
      </c>
      <c r="B475" s="31">
        <v>151142</v>
      </c>
      <c r="C475" s="11">
        <v>990</v>
      </c>
      <c r="D475" s="11" t="s">
        <v>1638</v>
      </c>
      <c r="E475" s="24" t="s">
        <v>2258</v>
      </c>
      <c r="F475" s="31" t="s">
        <v>2329</v>
      </c>
      <c r="G475" s="27" t="s">
        <v>2328</v>
      </c>
      <c r="H475" s="8" t="s">
        <v>151</v>
      </c>
      <c r="I475" s="46" t="s">
        <v>2879</v>
      </c>
      <c r="J475" s="25">
        <v>44740</v>
      </c>
      <c r="K475" s="25">
        <v>45166</v>
      </c>
      <c r="L475" s="26">
        <f t="shared" si="228"/>
        <v>83.29998623922404</v>
      </c>
      <c r="M475" s="11">
        <v>4</v>
      </c>
      <c r="N475" s="11" t="s">
        <v>499</v>
      </c>
      <c r="O475" s="11" t="s">
        <v>2330</v>
      </c>
      <c r="P475" s="11" t="s">
        <v>274</v>
      </c>
      <c r="Q475" s="11" t="s">
        <v>34</v>
      </c>
      <c r="R475" s="2">
        <f t="shared" si="229"/>
        <v>302187.56</v>
      </c>
      <c r="S475" s="2">
        <v>302187.56</v>
      </c>
      <c r="T475" s="2">
        <v>0</v>
      </c>
      <c r="U475" s="2">
        <f t="shared" si="230"/>
        <v>53327.24</v>
      </c>
      <c r="V475" s="28">
        <v>53327.24</v>
      </c>
      <c r="W475" s="28">
        <v>0</v>
      </c>
      <c r="X475" s="2">
        <f t="shared" si="231"/>
        <v>0</v>
      </c>
      <c r="Y475" s="2">
        <v>0</v>
      </c>
      <c r="Z475" s="2">
        <v>0</v>
      </c>
      <c r="AA475" s="2">
        <f t="shared" si="232"/>
        <v>7255.44</v>
      </c>
      <c r="AB475" s="2">
        <v>7255.44</v>
      </c>
      <c r="AC475" s="2">
        <v>0</v>
      </c>
      <c r="AD475" s="16">
        <f t="shared" si="227"/>
        <v>362770.24</v>
      </c>
      <c r="AE475" s="2">
        <v>0</v>
      </c>
      <c r="AF475" s="2">
        <f t="shared" si="233"/>
        <v>362770.24</v>
      </c>
      <c r="AG475" s="38" t="s">
        <v>486</v>
      </c>
      <c r="AH475" s="29"/>
      <c r="AI475" s="118">
        <v>32600</v>
      </c>
      <c r="AJ475" s="30">
        <v>0</v>
      </c>
      <c r="AK475" s="179"/>
    </row>
    <row r="476" spans="1:37" s="43" customFormat="1" ht="173.25" x14ac:dyDescent="0.25">
      <c r="A476" s="6">
        <v>473</v>
      </c>
      <c r="B476" s="31">
        <v>151537</v>
      </c>
      <c r="C476" s="11">
        <v>1006</v>
      </c>
      <c r="D476" s="11" t="s">
        <v>1638</v>
      </c>
      <c r="E476" s="24" t="s">
        <v>2258</v>
      </c>
      <c r="F476" s="31" t="s">
        <v>2332</v>
      </c>
      <c r="G476" s="27" t="s">
        <v>2331</v>
      </c>
      <c r="H476" s="8" t="s">
        <v>151</v>
      </c>
      <c r="I476" s="46" t="s">
        <v>2333</v>
      </c>
      <c r="J476" s="25">
        <v>44739</v>
      </c>
      <c r="K476" s="25">
        <v>45104</v>
      </c>
      <c r="L476" s="26">
        <f t="shared" si="228"/>
        <v>83.300000589362014</v>
      </c>
      <c r="M476" s="11">
        <v>7</v>
      </c>
      <c r="N476" s="11" t="s">
        <v>994</v>
      </c>
      <c r="O476" s="11" t="s">
        <v>994</v>
      </c>
      <c r="P476" s="11" t="s">
        <v>274</v>
      </c>
      <c r="Q476" s="11" t="s">
        <v>34</v>
      </c>
      <c r="R476" s="2">
        <f t="shared" si="229"/>
        <v>353348.19</v>
      </c>
      <c r="S476" s="2">
        <v>353348.19</v>
      </c>
      <c r="T476" s="2">
        <v>0</v>
      </c>
      <c r="U476" s="2">
        <f t="shared" si="230"/>
        <v>62355.56</v>
      </c>
      <c r="V476" s="28">
        <v>62355.56</v>
      </c>
      <c r="W476" s="28">
        <v>0</v>
      </c>
      <c r="X476" s="2">
        <f t="shared" si="231"/>
        <v>0</v>
      </c>
      <c r="Y476" s="2">
        <v>0</v>
      </c>
      <c r="Z476" s="2">
        <v>0</v>
      </c>
      <c r="AA476" s="2">
        <f t="shared" si="232"/>
        <v>8483.75</v>
      </c>
      <c r="AB476" s="2">
        <v>8483.75</v>
      </c>
      <c r="AC476" s="2">
        <v>0</v>
      </c>
      <c r="AD476" s="16">
        <f t="shared" si="227"/>
        <v>424187.5</v>
      </c>
      <c r="AE476" s="2">
        <v>0</v>
      </c>
      <c r="AF476" s="2">
        <f t="shared" si="233"/>
        <v>424187.5</v>
      </c>
      <c r="AG476" s="38" t="s">
        <v>486</v>
      </c>
      <c r="AH476" s="29"/>
      <c r="AI476" s="118">
        <v>42000</v>
      </c>
      <c r="AJ476" s="30">
        <v>0</v>
      </c>
      <c r="AK476" s="179"/>
    </row>
    <row r="477" spans="1:37" s="43" customFormat="1" ht="283.5" x14ac:dyDescent="0.25">
      <c r="A477" s="6">
        <v>474</v>
      </c>
      <c r="B477" s="31">
        <v>151541</v>
      </c>
      <c r="C477" s="11">
        <v>1009</v>
      </c>
      <c r="D477" s="11" t="s">
        <v>1638</v>
      </c>
      <c r="E477" s="24" t="s">
        <v>2258</v>
      </c>
      <c r="F477" s="31" t="s">
        <v>2336</v>
      </c>
      <c r="G477" s="27" t="s">
        <v>2334</v>
      </c>
      <c r="H477" s="8" t="s">
        <v>151</v>
      </c>
      <c r="I477" s="46" t="s">
        <v>2880</v>
      </c>
      <c r="J477" s="25">
        <v>44742</v>
      </c>
      <c r="K477" s="25">
        <v>45107</v>
      </c>
      <c r="L477" s="26">
        <f t="shared" si="228"/>
        <v>83.299995691837864</v>
      </c>
      <c r="M477" s="11">
        <v>3</v>
      </c>
      <c r="N477" s="11" t="s">
        <v>200</v>
      </c>
      <c r="O477" s="11" t="s">
        <v>2335</v>
      </c>
      <c r="P477" s="11" t="s">
        <v>274</v>
      </c>
      <c r="Q477" s="11" t="s">
        <v>34</v>
      </c>
      <c r="R477" s="2">
        <f t="shared" si="229"/>
        <v>353837.64</v>
      </c>
      <c r="S477" s="2">
        <v>353837.64</v>
      </c>
      <c r="T477" s="2">
        <v>0</v>
      </c>
      <c r="U477" s="2">
        <f t="shared" si="230"/>
        <v>62441.96</v>
      </c>
      <c r="V477" s="28">
        <v>62441.96</v>
      </c>
      <c r="W477" s="28">
        <v>0</v>
      </c>
      <c r="X477" s="2">
        <f t="shared" si="231"/>
        <v>0</v>
      </c>
      <c r="Y477" s="2">
        <v>0</v>
      </c>
      <c r="Z477" s="2">
        <v>0</v>
      </c>
      <c r="AA477" s="2">
        <f t="shared" si="232"/>
        <v>8495.5</v>
      </c>
      <c r="AB477" s="2">
        <v>8495.5</v>
      </c>
      <c r="AC477" s="2">
        <v>0</v>
      </c>
      <c r="AD477" s="16">
        <f t="shared" si="227"/>
        <v>424775.10000000003</v>
      </c>
      <c r="AE477" s="2">
        <v>0</v>
      </c>
      <c r="AF477" s="2">
        <f t="shared" si="233"/>
        <v>424775.10000000003</v>
      </c>
      <c r="AG477" s="38" t="s">
        <v>486</v>
      </c>
      <c r="AH477" s="29"/>
      <c r="AI477" s="118">
        <v>42477</v>
      </c>
      <c r="AJ477" s="30">
        <v>0</v>
      </c>
      <c r="AK477" s="179"/>
    </row>
    <row r="478" spans="1:37" s="43" customFormat="1" ht="204.75" x14ac:dyDescent="0.25">
      <c r="A478" s="6">
        <v>475</v>
      </c>
      <c r="B478" s="31">
        <v>151558</v>
      </c>
      <c r="C478" s="11">
        <v>1012</v>
      </c>
      <c r="D478" s="11" t="s">
        <v>1638</v>
      </c>
      <c r="E478" s="24" t="s">
        <v>2258</v>
      </c>
      <c r="F478" s="31" t="s">
        <v>2338</v>
      </c>
      <c r="G478" s="27" t="s">
        <v>2337</v>
      </c>
      <c r="H478" s="8" t="s">
        <v>151</v>
      </c>
      <c r="I478" s="46" t="s">
        <v>2881</v>
      </c>
      <c r="J478" s="25">
        <v>44742</v>
      </c>
      <c r="K478" s="25">
        <v>45107</v>
      </c>
      <c r="L478" s="26">
        <f t="shared" si="228"/>
        <v>83.300000235320155</v>
      </c>
      <c r="M478" s="11">
        <v>3</v>
      </c>
      <c r="N478" s="11" t="s">
        <v>254</v>
      </c>
      <c r="O478" s="11" t="s">
        <v>865</v>
      </c>
      <c r="P478" s="11" t="s">
        <v>274</v>
      </c>
      <c r="Q478" s="11" t="s">
        <v>34</v>
      </c>
      <c r="R478" s="2">
        <f t="shared" si="229"/>
        <v>353985.85</v>
      </c>
      <c r="S478" s="2">
        <v>353985.85</v>
      </c>
      <c r="T478" s="2">
        <v>0</v>
      </c>
      <c r="U478" s="2">
        <f t="shared" si="230"/>
        <v>62468.09</v>
      </c>
      <c r="V478" s="28">
        <v>62468.09</v>
      </c>
      <c r="W478" s="28">
        <v>0</v>
      </c>
      <c r="X478" s="2">
        <f t="shared" si="231"/>
        <v>0</v>
      </c>
      <c r="Y478" s="2">
        <v>0</v>
      </c>
      <c r="Z478" s="2">
        <v>0</v>
      </c>
      <c r="AA478" s="2">
        <f t="shared" si="232"/>
        <v>8499.06</v>
      </c>
      <c r="AB478" s="2">
        <v>8499.06</v>
      </c>
      <c r="AC478" s="2">
        <v>0</v>
      </c>
      <c r="AD478" s="16">
        <f t="shared" si="227"/>
        <v>424952.99999999994</v>
      </c>
      <c r="AE478" s="2">
        <v>0</v>
      </c>
      <c r="AF478" s="2">
        <f t="shared" si="233"/>
        <v>424952.99999999994</v>
      </c>
      <c r="AG478" s="38" t="s">
        <v>486</v>
      </c>
      <c r="AH478" s="29"/>
      <c r="AI478" s="118">
        <v>42495</v>
      </c>
      <c r="AJ478" s="30">
        <v>0</v>
      </c>
      <c r="AK478" s="179"/>
    </row>
    <row r="479" spans="1:37" s="43" customFormat="1" ht="362.25" x14ac:dyDescent="0.25">
      <c r="A479" s="6">
        <v>476</v>
      </c>
      <c r="B479" s="31">
        <v>151288</v>
      </c>
      <c r="C479" s="11">
        <v>1048</v>
      </c>
      <c r="D479" s="11" t="s">
        <v>1638</v>
      </c>
      <c r="E479" s="24" t="s">
        <v>2258</v>
      </c>
      <c r="F479" s="31" t="s">
        <v>2340</v>
      </c>
      <c r="G479" s="27" t="s">
        <v>2339</v>
      </c>
      <c r="H479" s="11" t="s">
        <v>2341</v>
      </c>
      <c r="I479" s="46" t="s">
        <v>2882</v>
      </c>
      <c r="J479" s="25">
        <v>44739</v>
      </c>
      <c r="K479" s="25">
        <v>45165</v>
      </c>
      <c r="L479" s="26">
        <f t="shared" si="228"/>
        <v>83.299999764693155</v>
      </c>
      <c r="M479" s="11">
        <v>4</v>
      </c>
      <c r="N479" s="11" t="s">
        <v>268</v>
      </c>
      <c r="O479" s="11" t="s">
        <v>2342</v>
      </c>
      <c r="P479" s="11" t="s">
        <v>274</v>
      </c>
      <c r="Q479" s="11" t="s">
        <v>34</v>
      </c>
      <c r="R479" s="2">
        <f t="shared" si="229"/>
        <v>354005.84</v>
      </c>
      <c r="S479" s="2">
        <v>354005.84</v>
      </c>
      <c r="T479" s="2">
        <v>0</v>
      </c>
      <c r="U479" s="2">
        <f t="shared" si="230"/>
        <v>62471.62</v>
      </c>
      <c r="V479" s="28">
        <v>62471.62</v>
      </c>
      <c r="W479" s="28">
        <v>0</v>
      </c>
      <c r="X479" s="2">
        <f t="shared" si="231"/>
        <v>0</v>
      </c>
      <c r="Y479" s="2">
        <v>0</v>
      </c>
      <c r="Z479" s="2">
        <v>0</v>
      </c>
      <c r="AA479" s="2">
        <f t="shared" si="232"/>
        <v>8499.5400000000009</v>
      </c>
      <c r="AB479" s="2">
        <v>8499.5400000000009</v>
      </c>
      <c r="AC479" s="2">
        <v>0</v>
      </c>
      <c r="AD479" s="16">
        <f t="shared" si="227"/>
        <v>424977</v>
      </c>
      <c r="AE479" s="2">
        <v>0</v>
      </c>
      <c r="AF479" s="2">
        <f t="shared" si="233"/>
        <v>424977</v>
      </c>
      <c r="AG479" s="38" t="s">
        <v>486</v>
      </c>
      <c r="AH479" s="29"/>
      <c r="AI479" s="118">
        <v>42000</v>
      </c>
      <c r="AJ479" s="30">
        <v>0</v>
      </c>
      <c r="AK479" s="179"/>
    </row>
    <row r="480" spans="1:37" s="43" customFormat="1" ht="141.75" x14ac:dyDescent="0.25">
      <c r="A480" s="6">
        <v>477</v>
      </c>
      <c r="B480" s="31">
        <v>150283</v>
      </c>
      <c r="C480" s="11">
        <v>899</v>
      </c>
      <c r="D480" s="11" t="s">
        <v>1638</v>
      </c>
      <c r="E480" s="24" t="s">
        <v>2258</v>
      </c>
      <c r="F480" s="31" t="s">
        <v>2344</v>
      </c>
      <c r="G480" s="27" t="s">
        <v>2343</v>
      </c>
      <c r="H480" s="8" t="s">
        <v>151</v>
      </c>
      <c r="I480" s="46" t="s">
        <v>2883</v>
      </c>
      <c r="J480" s="25">
        <v>44743</v>
      </c>
      <c r="K480" s="25">
        <v>45170</v>
      </c>
      <c r="L480" s="26">
        <f t="shared" si="228"/>
        <v>83.300003015250923</v>
      </c>
      <c r="M480" s="11">
        <v>3</v>
      </c>
      <c r="N480" s="11" t="s">
        <v>189</v>
      </c>
      <c r="O480" s="11" t="s">
        <v>708</v>
      </c>
      <c r="P480" s="11" t="s">
        <v>274</v>
      </c>
      <c r="Q480" s="11" t="s">
        <v>34</v>
      </c>
      <c r="R480" s="2">
        <f t="shared" si="229"/>
        <v>280129.93</v>
      </c>
      <c r="S480" s="2">
        <v>280129.93</v>
      </c>
      <c r="T480" s="2">
        <v>0</v>
      </c>
      <c r="U480" s="2">
        <f t="shared" si="230"/>
        <v>49434.68</v>
      </c>
      <c r="V480" s="28">
        <v>49434.68</v>
      </c>
      <c r="W480" s="28">
        <v>0</v>
      </c>
      <c r="X480" s="2">
        <f t="shared" si="231"/>
        <v>0</v>
      </c>
      <c r="Y480" s="2">
        <v>0</v>
      </c>
      <c r="Z480" s="2">
        <v>0</v>
      </c>
      <c r="AA480" s="2">
        <f t="shared" si="232"/>
        <v>6725.81</v>
      </c>
      <c r="AB480" s="2">
        <v>6725.81</v>
      </c>
      <c r="AC480" s="2">
        <v>0</v>
      </c>
      <c r="AD480" s="16">
        <f t="shared" si="227"/>
        <v>336290.42</v>
      </c>
      <c r="AE480" s="2">
        <v>0</v>
      </c>
      <c r="AF480" s="2">
        <f t="shared" si="233"/>
        <v>336290.42</v>
      </c>
      <c r="AG480" s="38" t="s">
        <v>486</v>
      </c>
      <c r="AH480" s="29"/>
      <c r="AI480" s="118">
        <v>33629.040000000001</v>
      </c>
      <c r="AJ480" s="30">
        <v>0</v>
      </c>
      <c r="AK480" s="179"/>
    </row>
    <row r="481" spans="1:37" s="43" customFormat="1" ht="173.25" x14ac:dyDescent="0.25">
      <c r="A481" s="6">
        <v>478</v>
      </c>
      <c r="B481" s="31">
        <v>151338</v>
      </c>
      <c r="C481" s="11">
        <v>912</v>
      </c>
      <c r="D481" s="11" t="s">
        <v>1638</v>
      </c>
      <c r="E481" s="24" t="s">
        <v>2258</v>
      </c>
      <c r="F481" s="31" t="s">
        <v>2352</v>
      </c>
      <c r="G481" s="27" t="s">
        <v>2351</v>
      </c>
      <c r="H481" s="8" t="s">
        <v>151</v>
      </c>
      <c r="I481" s="46" t="s">
        <v>2884</v>
      </c>
      <c r="J481" s="25">
        <v>44749</v>
      </c>
      <c r="K481" s="25">
        <v>45176</v>
      </c>
      <c r="L481" s="26">
        <f t="shared" si="228"/>
        <v>83.299999474718931</v>
      </c>
      <c r="M481" s="11">
        <v>2</v>
      </c>
      <c r="N481" s="11" t="s">
        <v>280</v>
      </c>
      <c r="O481" s="11" t="s">
        <v>2353</v>
      </c>
      <c r="P481" s="11" t="s">
        <v>274</v>
      </c>
      <c r="Q481" s="11" t="s">
        <v>34</v>
      </c>
      <c r="R481" s="2">
        <f t="shared" si="229"/>
        <v>348879.89</v>
      </c>
      <c r="S481" s="2">
        <v>348879.89</v>
      </c>
      <c r="T481" s="2">
        <v>0</v>
      </c>
      <c r="U481" s="2">
        <f t="shared" si="230"/>
        <v>61567.05</v>
      </c>
      <c r="V481" s="28">
        <v>61567.05</v>
      </c>
      <c r="W481" s="28">
        <v>0</v>
      </c>
      <c r="X481" s="2">
        <f t="shared" si="231"/>
        <v>0</v>
      </c>
      <c r="Y481" s="2">
        <v>0</v>
      </c>
      <c r="Z481" s="2">
        <v>0</v>
      </c>
      <c r="AA481" s="2">
        <f t="shared" si="232"/>
        <v>8376.4599999999991</v>
      </c>
      <c r="AB481" s="2">
        <v>8376.4599999999991</v>
      </c>
      <c r="AC481" s="2">
        <v>0</v>
      </c>
      <c r="AD481" s="16">
        <f t="shared" si="227"/>
        <v>418823.4</v>
      </c>
      <c r="AE481" s="2">
        <v>0</v>
      </c>
      <c r="AF481" s="2">
        <f t="shared" si="233"/>
        <v>418823.4</v>
      </c>
      <c r="AG481" s="38" t="s">
        <v>486</v>
      </c>
      <c r="AH481" s="29"/>
      <c r="AI481" s="118">
        <v>41044.69</v>
      </c>
      <c r="AJ481" s="30">
        <v>0</v>
      </c>
      <c r="AK481" s="179"/>
    </row>
    <row r="482" spans="1:37" s="43" customFormat="1" ht="236.25" x14ac:dyDescent="0.25">
      <c r="A482" s="6">
        <v>479</v>
      </c>
      <c r="B482" s="31">
        <v>150967</v>
      </c>
      <c r="C482" s="11">
        <v>955</v>
      </c>
      <c r="D482" s="11" t="s">
        <v>1638</v>
      </c>
      <c r="E482" s="24" t="s">
        <v>2258</v>
      </c>
      <c r="F482" s="31" t="s">
        <v>2358</v>
      </c>
      <c r="G482" s="27" t="s">
        <v>2357</v>
      </c>
      <c r="H482" s="8" t="s">
        <v>151</v>
      </c>
      <c r="I482" s="46" t="s">
        <v>2362</v>
      </c>
      <c r="J482" s="25">
        <v>44746</v>
      </c>
      <c r="K482" s="25">
        <v>45111</v>
      </c>
      <c r="L482" s="26">
        <f t="shared" si="228"/>
        <v>83.299998362409966</v>
      </c>
      <c r="M482" s="11" t="s">
        <v>2359</v>
      </c>
      <c r="N482" s="11" t="s">
        <v>2360</v>
      </c>
      <c r="O482" s="11" t="s">
        <v>2361</v>
      </c>
      <c r="P482" s="11" t="s">
        <v>274</v>
      </c>
      <c r="Q482" s="11" t="s">
        <v>34</v>
      </c>
      <c r="R482" s="2">
        <f t="shared" si="229"/>
        <v>353528.65</v>
      </c>
      <c r="S482" s="2">
        <v>353528.65</v>
      </c>
      <c r="T482" s="2">
        <v>0</v>
      </c>
      <c r="U482" s="2">
        <f t="shared" si="230"/>
        <v>62387.41</v>
      </c>
      <c r="V482" s="28">
        <v>62387.41</v>
      </c>
      <c r="W482" s="28">
        <v>0</v>
      </c>
      <c r="X482" s="2">
        <f t="shared" si="231"/>
        <v>0</v>
      </c>
      <c r="Y482" s="2">
        <v>0</v>
      </c>
      <c r="Z482" s="2">
        <v>0</v>
      </c>
      <c r="AA482" s="2">
        <f t="shared" si="232"/>
        <v>8488.09</v>
      </c>
      <c r="AB482" s="2">
        <v>8488.09</v>
      </c>
      <c r="AC482" s="2">
        <v>0</v>
      </c>
      <c r="AD482" s="16">
        <f t="shared" si="227"/>
        <v>424404.15000000008</v>
      </c>
      <c r="AE482" s="2">
        <v>0</v>
      </c>
      <c r="AF482" s="2">
        <f t="shared" si="233"/>
        <v>424404.15000000008</v>
      </c>
      <c r="AG482" s="38" t="s">
        <v>486</v>
      </c>
      <c r="AH482" s="29"/>
      <c r="AI482" s="118">
        <v>42440.41</v>
      </c>
      <c r="AJ482" s="30">
        <v>0</v>
      </c>
      <c r="AK482" s="179"/>
    </row>
    <row r="483" spans="1:37" s="43" customFormat="1" ht="236.25" x14ac:dyDescent="0.25">
      <c r="A483" s="6">
        <v>480</v>
      </c>
      <c r="B483" s="31">
        <v>150850</v>
      </c>
      <c r="C483" s="11">
        <v>966</v>
      </c>
      <c r="D483" s="11" t="s">
        <v>1638</v>
      </c>
      <c r="E483" s="24" t="s">
        <v>2258</v>
      </c>
      <c r="F483" s="31" t="s">
        <v>2364</v>
      </c>
      <c r="G483" s="27" t="s">
        <v>2363</v>
      </c>
      <c r="H483" s="8" t="s">
        <v>151</v>
      </c>
      <c r="I483" s="46" t="s">
        <v>2365</v>
      </c>
      <c r="J483" s="25">
        <v>44746</v>
      </c>
      <c r="K483" s="25">
        <v>45173</v>
      </c>
      <c r="L483" s="26">
        <f t="shared" si="228"/>
        <v>83.3</v>
      </c>
      <c r="M483" s="11">
        <v>7</v>
      </c>
      <c r="N483" s="11" t="s">
        <v>416</v>
      </c>
      <c r="O483" s="11" t="s">
        <v>678</v>
      </c>
      <c r="P483" s="11" t="s">
        <v>274</v>
      </c>
      <c r="Q483" s="11" t="s">
        <v>34</v>
      </c>
      <c r="R483" s="2">
        <f t="shared" si="229"/>
        <v>329901.32</v>
      </c>
      <c r="S483" s="2">
        <v>329901.32</v>
      </c>
      <c r="T483" s="2">
        <v>0</v>
      </c>
      <c r="U483" s="2">
        <f t="shared" si="230"/>
        <v>58217.88</v>
      </c>
      <c r="V483" s="28">
        <v>58217.88</v>
      </c>
      <c r="W483" s="28">
        <v>0</v>
      </c>
      <c r="X483" s="2">
        <f t="shared" si="231"/>
        <v>0</v>
      </c>
      <c r="Y483" s="2">
        <v>0</v>
      </c>
      <c r="Z483" s="2">
        <v>0</v>
      </c>
      <c r="AA483" s="2">
        <f t="shared" si="232"/>
        <v>7920.8</v>
      </c>
      <c r="AB483" s="2">
        <v>7920.8</v>
      </c>
      <c r="AC483" s="2">
        <v>0</v>
      </c>
      <c r="AD483" s="16">
        <f t="shared" si="227"/>
        <v>396040</v>
      </c>
      <c r="AE483" s="2">
        <v>62662</v>
      </c>
      <c r="AF483" s="2">
        <f t="shared" si="233"/>
        <v>458702</v>
      </c>
      <c r="AG483" s="38" t="s">
        <v>486</v>
      </c>
      <c r="AH483" s="29"/>
      <c r="AI483" s="118">
        <v>0</v>
      </c>
      <c r="AJ483" s="30">
        <v>0</v>
      </c>
      <c r="AK483" s="179"/>
    </row>
    <row r="484" spans="1:37" s="43" customFormat="1" ht="157.5" x14ac:dyDescent="0.25">
      <c r="A484" s="6">
        <v>481</v>
      </c>
      <c r="B484" s="31">
        <v>151233</v>
      </c>
      <c r="C484" s="11">
        <v>1045</v>
      </c>
      <c r="D484" s="11" t="s">
        <v>1638</v>
      </c>
      <c r="E484" s="24" t="s">
        <v>2258</v>
      </c>
      <c r="F484" s="31" t="s">
        <v>2367</v>
      </c>
      <c r="G484" s="27" t="s">
        <v>2366</v>
      </c>
      <c r="H484" s="8" t="s">
        <v>151</v>
      </c>
      <c r="I484" s="46" t="s">
        <v>2368</v>
      </c>
      <c r="J484" s="25">
        <v>44748</v>
      </c>
      <c r="K484" s="25">
        <v>45175</v>
      </c>
      <c r="L484" s="26">
        <f t="shared" si="228"/>
        <v>83.300002526446505</v>
      </c>
      <c r="M484" s="11">
        <v>7</v>
      </c>
      <c r="N484" s="11" t="s">
        <v>752</v>
      </c>
      <c r="O484" s="11" t="s">
        <v>2369</v>
      </c>
      <c r="P484" s="11" t="s">
        <v>274</v>
      </c>
      <c r="Q484" s="11" t="s">
        <v>34</v>
      </c>
      <c r="R484" s="2">
        <f t="shared" si="229"/>
        <v>353781.1</v>
      </c>
      <c r="S484" s="2">
        <v>353781.1</v>
      </c>
      <c r="T484" s="2">
        <v>0</v>
      </c>
      <c r="U484" s="2">
        <f t="shared" si="230"/>
        <v>62431.95</v>
      </c>
      <c r="V484" s="28">
        <v>62431.95</v>
      </c>
      <c r="W484" s="28">
        <v>0</v>
      </c>
      <c r="X484" s="2">
        <f t="shared" si="231"/>
        <v>0</v>
      </c>
      <c r="Y484" s="2">
        <v>0</v>
      </c>
      <c r="Z484" s="2">
        <v>0</v>
      </c>
      <c r="AA484" s="2">
        <f t="shared" si="232"/>
        <v>8494.14</v>
      </c>
      <c r="AB484" s="2">
        <v>8494.14</v>
      </c>
      <c r="AC484" s="2">
        <v>0</v>
      </c>
      <c r="AD484" s="16">
        <f t="shared" si="227"/>
        <v>424707.19</v>
      </c>
      <c r="AE484" s="2">
        <v>0</v>
      </c>
      <c r="AF484" s="2">
        <f t="shared" si="233"/>
        <v>424707.19</v>
      </c>
      <c r="AG484" s="38" t="s">
        <v>486</v>
      </c>
      <c r="AH484" s="29"/>
      <c r="AI484" s="118">
        <v>42470.71</v>
      </c>
      <c r="AJ484" s="30">
        <v>0</v>
      </c>
      <c r="AK484" s="179"/>
    </row>
    <row r="485" spans="1:37" s="43" customFormat="1" ht="141.75" x14ac:dyDescent="0.25">
      <c r="A485" s="6">
        <v>482</v>
      </c>
      <c r="B485" s="31">
        <v>151108</v>
      </c>
      <c r="C485" s="11">
        <v>988</v>
      </c>
      <c r="D485" s="11" t="s">
        <v>1638</v>
      </c>
      <c r="E485" s="24" t="s">
        <v>2258</v>
      </c>
      <c r="F485" s="31" t="s">
        <v>2382</v>
      </c>
      <c r="G485" s="27" t="s">
        <v>2380</v>
      </c>
      <c r="H485" s="8" t="s">
        <v>151</v>
      </c>
      <c r="I485" s="46" t="s">
        <v>2885</v>
      </c>
      <c r="J485" s="25">
        <v>44753</v>
      </c>
      <c r="K485" s="25">
        <v>44874</v>
      </c>
      <c r="L485" s="26">
        <f t="shared" si="228"/>
        <v>83.30000026502492</v>
      </c>
      <c r="M485" s="11">
        <v>7</v>
      </c>
      <c r="N485" s="11" t="s">
        <v>660</v>
      </c>
      <c r="O485" s="11" t="s">
        <v>660</v>
      </c>
      <c r="P485" s="11" t="s">
        <v>274</v>
      </c>
      <c r="Q485" s="11" t="s">
        <v>34</v>
      </c>
      <c r="R485" s="2">
        <f t="shared" si="229"/>
        <v>314310.06</v>
      </c>
      <c r="S485" s="2">
        <v>314310.06</v>
      </c>
      <c r="T485" s="2">
        <v>0</v>
      </c>
      <c r="U485" s="2">
        <f t="shared" si="230"/>
        <v>55466.48</v>
      </c>
      <c r="V485" s="28">
        <v>55466.48</v>
      </c>
      <c r="W485" s="28">
        <v>0</v>
      </c>
      <c r="X485" s="2">
        <f t="shared" si="231"/>
        <v>0</v>
      </c>
      <c r="Y485" s="2">
        <v>0</v>
      </c>
      <c r="Z485" s="2">
        <v>0</v>
      </c>
      <c r="AA485" s="2">
        <f t="shared" si="232"/>
        <v>7546.46</v>
      </c>
      <c r="AB485" s="2">
        <v>7546.46</v>
      </c>
      <c r="AC485" s="2">
        <v>0</v>
      </c>
      <c r="AD485" s="16">
        <f t="shared" si="227"/>
        <v>377323</v>
      </c>
      <c r="AE485" s="2">
        <v>0</v>
      </c>
      <c r="AF485" s="2">
        <f t="shared" si="233"/>
        <v>377323</v>
      </c>
      <c r="AG485" s="38" t="s">
        <v>486</v>
      </c>
      <c r="AH485" s="29"/>
      <c r="AI485" s="118">
        <v>37732.300000000003</v>
      </c>
      <c r="AJ485" s="30">
        <v>0</v>
      </c>
      <c r="AK485" s="179"/>
    </row>
    <row r="486" spans="1:37" s="43" customFormat="1" ht="152.25" customHeight="1" x14ac:dyDescent="0.25">
      <c r="A486" s="6">
        <v>483</v>
      </c>
      <c r="B486" s="31">
        <v>151210</v>
      </c>
      <c r="C486" s="11">
        <v>995</v>
      </c>
      <c r="D486" s="11" t="s">
        <v>1638</v>
      </c>
      <c r="E486" s="24" t="s">
        <v>2258</v>
      </c>
      <c r="F486" s="31" t="s">
        <v>2383</v>
      </c>
      <c r="G486" s="27" t="s">
        <v>699</v>
      </c>
      <c r="H486" s="11" t="s">
        <v>2384</v>
      </c>
      <c r="I486" s="46" t="s">
        <v>2388</v>
      </c>
      <c r="J486" s="25">
        <v>44753</v>
      </c>
      <c r="K486" s="25">
        <v>44874</v>
      </c>
      <c r="L486" s="26">
        <f t="shared" si="228"/>
        <v>83.299999599491557</v>
      </c>
      <c r="M486" s="11" t="s">
        <v>2385</v>
      </c>
      <c r="N486" s="11" t="s">
        <v>2386</v>
      </c>
      <c r="O486" s="11" t="s">
        <v>2386</v>
      </c>
      <c r="P486" s="11" t="s">
        <v>274</v>
      </c>
      <c r="Q486" s="11" t="s">
        <v>34</v>
      </c>
      <c r="R486" s="2">
        <f t="shared" si="229"/>
        <v>347336</v>
      </c>
      <c r="S486" s="2">
        <v>347336</v>
      </c>
      <c r="T486" s="2">
        <v>0</v>
      </c>
      <c r="U486" s="2">
        <f t="shared" si="230"/>
        <v>61294.59</v>
      </c>
      <c r="V486" s="28">
        <v>61294.59</v>
      </c>
      <c r="W486" s="28">
        <v>0</v>
      </c>
      <c r="X486" s="2">
        <f t="shared" si="231"/>
        <v>0</v>
      </c>
      <c r="Y486" s="2">
        <v>0</v>
      </c>
      <c r="Z486" s="2">
        <v>0</v>
      </c>
      <c r="AA486" s="2">
        <f t="shared" si="232"/>
        <v>8339.4</v>
      </c>
      <c r="AB486" s="2">
        <v>8339.4</v>
      </c>
      <c r="AC486" s="2">
        <v>0</v>
      </c>
      <c r="AD486" s="16">
        <f t="shared" si="227"/>
        <v>416969.99</v>
      </c>
      <c r="AE486" s="2">
        <v>0</v>
      </c>
      <c r="AF486" s="2">
        <f t="shared" si="233"/>
        <v>416969.99</v>
      </c>
      <c r="AG486" s="38" t="s">
        <v>486</v>
      </c>
      <c r="AH486" s="29"/>
      <c r="AI486" s="118">
        <v>41696.99</v>
      </c>
      <c r="AJ486" s="30">
        <v>0</v>
      </c>
      <c r="AK486" s="179"/>
    </row>
    <row r="487" spans="1:37" s="43" customFormat="1" ht="152.25" customHeight="1" x14ac:dyDescent="0.25">
      <c r="A487" s="6">
        <v>484</v>
      </c>
      <c r="B487" s="31">
        <v>151412</v>
      </c>
      <c r="C487" s="11">
        <v>1041</v>
      </c>
      <c r="D487" s="11" t="s">
        <v>1638</v>
      </c>
      <c r="E487" s="24" t="s">
        <v>2258</v>
      </c>
      <c r="F487" s="31" t="s">
        <v>2387</v>
      </c>
      <c r="G487" s="27" t="s">
        <v>2370</v>
      </c>
      <c r="H487" s="8" t="s">
        <v>151</v>
      </c>
      <c r="I487" s="46" t="s">
        <v>2389</v>
      </c>
      <c r="J487" s="25">
        <v>44753</v>
      </c>
      <c r="K487" s="25">
        <v>45118</v>
      </c>
      <c r="L487" s="26">
        <f t="shared" si="228"/>
        <v>83.30000300477721</v>
      </c>
      <c r="M487" s="11">
        <v>3</v>
      </c>
      <c r="N487" s="11" t="s">
        <v>254</v>
      </c>
      <c r="O487" s="11" t="s">
        <v>254</v>
      </c>
      <c r="P487" s="11" t="s">
        <v>274</v>
      </c>
      <c r="Q487" s="11" t="s">
        <v>34</v>
      </c>
      <c r="R487" s="2">
        <f t="shared" si="229"/>
        <v>349858.23</v>
      </c>
      <c r="S487" s="2">
        <v>349858.23</v>
      </c>
      <c r="T487" s="2">
        <v>0</v>
      </c>
      <c r="U487" s="2">
        <f t="shared" si="230"/>
        <v>61739.66</v>
      </c>
      <c r="V487" s="28">
        <v>61739.66</v>
      </c>
      <c r="W487" s="28">
        <v>0</v>
      </c>
      <c r="X487" s="2">
        <f t="shared" si="231"/>
        <v>0</v>
      </c>
      <c r="Y487" s="2">
        <v>0</v>
      </c>
      <c r="Z487" s="2">
        <v>0</v>
      </c>
      <c r="AA487" s="2">
        <f t="shared" si="232"/>
        <v>8399.9699999999993</v>
      </c>
      <c r="AB487" s="2">
        <v>8399.9699999999993</v>
      </c>
      <c r="AC487" s="2">
        <v>0</v>
      </c>
      <c r="AD487" s="16">
        <f t="shared" si="227"/>
        <v>419997.86</v>
      </c>
      <c r="AE487" s="2">
        <v>0</v>
      </c>
      <c r="AF487" s="2">
        <f t="shared" si="233"/>
        <v>419997.86</v>
      </c>
      <c r="AG487" s="38" t="s">
        <v>486</v>
      </c>
      <c r="AH487" s="29"/>
      <c r="AI487" s="118">
        <v>41990</v>
      </c>
      <c r="AJ487" s="30">
        <v>0</v>
      </c>
      <c r="AK487" s="179"/>
    </row>
    <row r="488" spans="1:37" s="43" customFormat="1" ht="152.25" customHeight="1" x14ac:dyDescent="0.25">
      <c r="A488" s="6">
        <v>485</v>
      </c>
      <c r="B488" s="31">
        <v>151235</v>
      </c>
      <c r="C488" s="11">
        <v>1046</v>
      </c>
      <c r="D488" s="11" t="s">
        <v>1638</v>
      </c>
      <c r="E488" s="24" t="s">
        <v>2258</v>
      </c>
      <c r="F488" s="31" t="s">
        <v>2391</v>
      </c>
      <c r="G488" s="27" t="s">
        <v>2390</v>
      </c>
      <c r="H488" s="11" t="s">
        <v>2392</v>
      </c>
      <c r="I488" s="46" t="s">
        <v>2886</v>
      </c>
      <c r="J488" s="25">
        <v>44753</v>
      </c>
      <c r="K488" s="25">
        <v>44874</v>
      </c>
      <c r="L488" s="26">
        <f t="shared" si="228"/>
        <v>83.300000470803155</v>
      </c>
      <c r="M488" s="11">
        <v>4</v>
      </c>
      <c r="N488" s="11" t="s">
        <v>248</v>
      </c>
      <c r="O488" s="11" t="s">
        <v>248</v>
      </c>
      <c r="P488" s="11" t="s">
        <v>274</v>
      </c>
      <c r="Q488" s="11" t="s">
        <v>34</v>
      </c>
      <c r="R488" s="2">
        <f t="shared" si="229"/>
        <v>353863.4</v>
      </c>
      <c r="S488" s="2">
        <v>353863.4</v>
      </c>
      <c r="T488" s="2">
        <v>0</v>
      </c>
      <c r="U488" s="2">
        <f t="shared" si="230"/>
        <v>62446.48</v>
      </c>
      <c r="V488" s="28">
        <v>62446.48</v>
      </c>
      <c r="W488" s="28">
        <v>0</v>
      </c>
      <c r="X488" s="2">
        <f t="shared" si="231"/>
        <v>0</v>
      </c>
      <c r="Y488" s="2">
        <v>0</v>
      </c>
      <c r="Z488" s="2">
        <v>0</v>
      </c>
      <c r="AA488" s="2">
        <f t="shared" si="232"/>
        <v>8496.1200000000008</v>
      </c>
      <c r="AB488" s="2">
        <v>8496.1200000000008</v>
      </c>
      <c r="AC488" s="2">
        <v>0</v>
      </c>
      <c r="AD488" s="16">
        <f t="shared" si="227"/>
        <v>424806</v>
      </c>
      <c r="AE488" s="2">
        <v>0</v>
      </c>
      <c r="AF488" s="2">
        <f t="shared" si="233"/>
        <v>424806</v>
      </c>
      <c r="AG488" s="38" t="s">
        <v>486</v>
      </c>
      <c r="AH488" s="29"/>
      <c r="AI488" s="118">
        <v>42479.95</v>
      </c>
      <c r="AJ488" s="30">
        <v>0</v>
      </c>
      <c r="AK488" s="179"/>
    </row>
    <row r="489" spans="1:37" s="43" customFormat="1" ht="152.25" customHeight="1" x14ac:dyDescent="0.25">
      <c r="A489" s="6">
        <v>486</v>
      </c>
      <c r="B489" s="31">
        <v>151454</v>
      </c>
      <c r="C489" s="11">
        <v>1054</v>
      </c>
      <c r="D489" s="11" t="s">
        <v>1638</v>
      </c>
      <c r="E489" s="24" t="s">
        <v>2258</v>
      </c>
      <c r="F489" s="31" t="s">
        <v>2393</v>
      </c>
      <c r="G489" s="27" t="s">
        <v>1266</v>
      </c>
      <c r="H489" s="8" t="s">
        <v>151</v>
      </c>
      <c r="I489" s="46" t="s">
        <v>2394</v>
      </c>
      <c r="J489" s="25">
        <v>44753</v>
      </c>
      <c r="K489" s="25">
        <v>45118</v>
      </c>
      <c r="L489" s="26">
        <f t="shared" si="228"/>
        <v>83.300001366926054</v>
      </c>
      <c r="M489" s="11">
        <v>7</v>
      </c>
      <c r="N489" s="11" t="s">
        <v>226</v>
      </c>
      <c r="O489" s="11" t="s">
        <v>226</v>
      </c>
      <c r="P489" s="11" t="s">
        <v>274</v>
      </c>
      <c r="Q489" s="11" t="s">
        <v>34</v>
      </c>
      <c r="R489" s="2">
        <f t="shared" si="229"/>
        <v>316886.2</v>
      </c>
      <c r="S489" s="2">
        <v>316886.2</v>
      </c>
      <c r="T489" s="2">
        <v>0</v>
      </c>
      <c r="U489" s="2">
        <f t="shared" si="230"/>
        <v>55921.09</v>
      </c>
      <c r="V489" s="28">
        <v>55921.09</v>
      </c>
      <c r="W489" s="28">
        <v>0</v>
      </c>
      <c r="X489" s="2">
        <f t="shared" si="231"/>
        <v>0</v>
      </c>
      <c r="Y489" s="2">
        <v>0</v>
      </c>
      <c r="Z489" s="2">
        <v>0</v>
      </c>
      <c r="AA489" s="2">
        <f t="shared" si="232"/>
        <v>7608.31</v>
      </c>
      <c r="AB489" s="2">
        <v>7608.31</v>
      </c>
      <c r="AC489" s="2">
        <v>0</v>
      </c>
      <c r="AD489" s="16">
        <f t="shared" si="227"/>
        <v>380415.60000000003</v>
      </c>
      <c r="AE489" s="2">
        <v>0</v>
      </c>
      <c r="AF489" s="2">
        <f t="shared" si="233"/>
        <v>380415.60000000003</v>
      </c>
      <c r="AG489" s="38" t="s">
        <v>486</v>
      </c>
      <c r="AH489" s="29"/>
      <c r="AI489" s="118">
        <v>0</v>
      </c>
      <c r="AJ489" s="30">
        <v>0</v>
      </c>
      <c r="AK489" s="179"/>
    </row>
    <row r="490" spans="1:37" s="43" customFormat="1" ht="152.25" customHeight="1" x14ac:dyDescent="0.25">
      <c r="A490" s="6">
        <v>487</v>
      </c>
      <c r="B490" s="31">
        <v>151354</v>
      </c>
      <c r="C490" s="11">
        <v>875</v>
      </c>
      <c r="D490" s="11" t="s">
        <v>1638</v>
      </c>
      <c r="E490" s="24" t="s">
        <v>2258</v>
      </c>
      <c r="F490" s="31" t="s">
        <v>2396</v>
      </c>
      <c r="G490" s="27" t="s">
        <v>2395</v>
      </c>
      <c r="H490" s="8" t="s">
        <v>151</v>
      </c>
      <c r="I490" s="46" t="s">
        <v>2887</v>
      </c>
      <c r="J490" s="25">
        <v>44755</v>
      </c>
      <c r="K490" s="25">
        <v>45182</v>
      </c>
      <c r="L490" s="26">
        <f t="shared" si="228"/>
        <v>83.30000168597104</v>
      </c>
      <c r="M490" s="11">
        <v>1</v>
      </c>
      <c r="N490" s="11" t="s">
        <v>290</v>
      </c>
      <c r="O490" s="11" t="s">
        <v>2397</v>
      </c>
      <c r="P490" s="11" t="s">
        <v>274</v>
      </c>
      <c r="Q490" s="11" t="s">
        <v>34</v>
      </c>
      <c r="R490" s="2">
        <f t="shared" si="229"/>
        <v>345854.11</v>
      </c>
      <c r="S490" s="2">
        <v>345854.11</v>
      </c>
      <c r="T490" s="2">
        <v>0</v>
      </c>
      <c r="U490" s="2">
        <f t="shared" si="230"/>
        <v>61033.07</v>
      </c>
      <c r="V490" s="28">
        <v>61033.07</v>
      </c>
      <c r="W490" s="28">
        <v>0</v>
      </c>
      <c r="X490" s="2">
        <f t="shared" si="231"/>
        <v>0</v>
      </c>
      <c r="Y490" s="2">
        <v>0</v>
      </c>
      <c r="Z490" s="2">
        <v>0</v>
      </c>
      <c r="AA490" s="2">
        <f t="shared" si="232"/>
        <v>8303.82</v>
      </c>
      <c r="AB490" s="2">
        <v>8303.82</v>
      </c>
      <c r="AC490" s="2">
        <v>0</v>
      </c>
      <c r="AD490" s="16">
        <f t="shared" si="227"/>
        <v>415191</v>
      </c>
      <c r="AE490" s="2">
        <v>0</v>
      </c>
      <c r="AF490" s="2">
        <f t="shared" si="233"/>
        <v>415191</v>
      </c>
      <c r="AG490" s="38" t="s">
        <v>486</v>
      </c>
      <c r="AH490" s="29"/>
      <c r="AI490" s="118">
        <v>41519</v>
      </c>
      <c r="AJ490" s="30">
        <v>0</v>
      </c>
      <c r="AK490" s="179"/>
    </row>
    <row r="491" spans="1:37" s="43" customFormat="1" ht="152.25" customHeight="1" x14ac:dyDescent="0.25">
      <c r="A491" s="6">
        <v>488</v>
      </c>
      <c r="B491" s="31">
        <v>151315</v>
      </c>
      <c r="C491" s="11">
        <v>907</v>
      </c>
      <c r="D491" s="11" t="s">
        <v>1638</v>
      </c>
      <c r="E491" s="24" t="s">
        <v>2258</v>
      </c>
      <c r="F491" s="31" t="s">
        <v>2399</v>
      </c>
      <c r="G491" s="27" t="s">
        <v>2398</v>
      </c>
      <c r="H491" s="8" t="s">
        <v>151</v>
      </c>
      <c r="I491" s="46" t="s">
        <v>2888</v>
      </c>
      <c r="J491" s="25">
        <v>44755</v>
      </c>
      <c r="K491" s="25">
        <v>45090</v>
      </c>
      <c r="L491" s="26">
        <f t="shared" si="228"/>
        <v>83.299999314431147</v>
      </c>
      <c r="M491" s="11">
        <v>7</v>
      </c>
      <c r="N491" s="11" t="s">
        <v>660</v>
      </c>
      <c r="O491" s="11" t="s">
        <v>660</v>
      </c>
      <c r="P491" s="11" t="s">
        <v>274</v>
      </c>
      <c r="Q491" s="11" t="s">
        <v>34</v>
      </c>
      <c r="R491" s="2">
        <f t="shared" si="229"/>
        <v>334138.58</v>
      </c>
      <c r="S491" s="2">
        <v>334138.58</v>
      </c>
      <c r="T491" s="2">
        <v>0</v>
      </c>
      <c r="U491" s="2">
        <f t="shared" si="230"/>
        <v>58965.64</v>
      </c>
      <c r="V491" s="28">
        <v>58965.64</v>
      </c>
      <c r="W491" s="28">
        <v>0</v>
      </c>
      <c r="X491" s="2">
        <f t="shared" si="231"/>
        <v>0</v>
      </c>
      <c r="Y491" s="2">
        <v>0</v>
      </c>
      <c r="Z491" s="2">
        <v>0</v>
      </c>
      <c r="AA491" s="2">
        <f t="shared" si="232"/>
        <v>8022.53</v>
      </c>
      <c r="AB491" s="2">
        <v>8022.53</v>
      </c>
      <c r="AC491" s="2">
        <v>0</v>
      </c>
      <c r="AD491" s="16">
        <f t="shared" si="227"/>
        <v>401126.75000000006</v>
      </c>
      <c r="AE491" s="2">
        <v>0</v>
      </c>
      <c r="AF491" s="2">
        <f t="shared" si="233"/>
        <v>401126.75000000006</v>
      </c>
      <c r="AG491" s="38" t="s">
        <v>486</v>
      </c>
      <c r="AH491" s="29"/>
      <c r="AI491" s="118">
        <v>0</v>
      </c>
      <c r="AJ491" s="30">
        <v>0</v>
      </c>
      <c r="AK491" s="179"/>
    </row>
    <row r="492" spans="1:37" s="43" customFormat="1" ht="152.25" customHeight="1" x14ac:dyDescent="0.25">
      <c r="A492" s="6">
        <v>489</v>
      </c>
      <c r="B492" s="31">
        <v>150331</v>
      </c>
      <c r="C492" s="11">
        <v>925</v>
      </c>
      <c r="D492" s="11" t="s">
        <v>1638</v>
      </c>
      <c r="E492" s="24" t="s">
        <v>2258</v>
      </c>
      <c r="F492" s="31" t="s">
        <v>2401</v>
      </c>
      <c r="G492" s="27" t="s">
        <v>2400</v>
      </c>
      <c r="H492" s="8" t="s">
        <v>151</v>
      </c>
      <c r="I492" s="46" t="s">
        <v>2889</v>
      </c>
      <c r="J492" s="25">
        <v>44755</v>
      </c>
      <c r="K492" s="25">
        <v>45120</v>
      </c>
      <c r="L492" s="26">
        <f t="shared" si="228"/>
        <v>83.300000595029118</v>
      </c>
      <c r="M492" s="11">
        <v>5</v>
      </c>
      <c r="N492" s="11" t="s">
        <v>592</v>
      </c>
      <c r="O492" s="11" t="s">
        <v>2402</v>
      </c>
      <c r="P492" s="11" t="s">
        <v>274</v>
      </c>
      <c r="Q492" s="11" t="s">
        <v>34</v>
      </c>
      <c r="R492" s="2">
        <f t="shared" si="229"/>
        <v>349982.87</v>
      </c>
      <c r="S492" s="2">
        <v>349982.87</v>
      </c>
      <c r="T492" s="2">
        <v>0</v>
      </c>
      <c r="U492" s="2">
        <f t="shared" si="230"/>
        <v>61761.68</v>
      </c>
      <c r="V492" s="28">
        <v>61761.68</v>
      </c>
      <c r="W492" s="28">
        <v>0</v>
      </c>
      <c r="X492" s="2">
        <f t="shared" si="231"/>
        <v>0</v>
      </c>
      <c r="Y492" s="2">
        <v>0</v>
      </c>
      <c r="Z492" s="2">
        <v>0</v>
      </c>
      <c r="AA492" s="2">
        <f t="shared" si="232"/>
        <v>8402.9500000000007</v>
      </c>
      <c r="AB492" s="2">
        <v>8402.9500000000007</v>
      </c>
      <c r="AC492" s="2">
        <v>0</v>
      </c>
      <c r="AD492" s="16">
        <f t="shared" si="227"/>
        <v>420147.5</v>
      </c>
      <c r="AE492" s="2">
        <v>0</v>
      </c>
      <c r="AF492" s="2">
        <f t="shared" si="233"/>
        <v>420147.5</v>
      </c>
      <c r="AG492" s="38" t="s">
        <v>486</v>
      </c>
      <c r="AH492" s="29"/>
      <c r="AI492" s="118">
        <v>42014.75</v>
      </c>
      <c r="AJ492" s="30">
        <v>0</v>
      </c>
      <c r="AK492" s="179"/>
    </row>
    <row r="493" spans="1:37" s="43" customFormat="1" ht="152.25" customHeight="1" x14ac:dyDescent="0.25">
      <c r="A493" s="6">
        <v>490</v>
      </c>
      <c r="B493" s="31">
        <v>151301</v>
      </c>
      <c r="C493" s="11">
        <v>887</v>
      </c>
      <c r="D493" s="11" t="s">
        <v>1638</v>
      </c>
      <c r="E493" s="24" t="s">
        <v>2258</v>
      </c>
      <c r="F493" s="31" t="s">
        <v>2404</v>
      </c>
      <c r="G493" s="27" t="s">
        <v>2403</v>
      </c>
      <c r="H493" s="8" t="s">
        <v>151</v>
      </c>
      <c r="I493" s="46" t="s">
        <v>2890</v>
      </c>
      <c r="J493" s="25">
        <v>44755</v>
      </c>
      <c r="K493" s="25">
        <v>45182</v>
      </c>
      <c r="L493" s="26">
        <f t="shared" si="228"/>
        <v>83.300000484383489</v>
      </c>
      <c r="M493" s="11">
        <v>5</v>
      </c>
      <c r="N493" s="11" t="s">
        <v>285</v>
      </c>
      <c r="O493" s="11" t="s">
        <v>2405</v>
      </c>
      <c r="P493" s="11" t="s">
        <v>274</v>
      </c>
      <c r="Q493" s="11" t="s">
        <v>34</v>
      </c>
      <c r="R493" s="2">
        <f t="shared" si="229"/>
        <v>343942.37</v>
      </c>
      <c r="S493" s="2">
        <v>343942.37</v>
      </c>
      <c r="T493" s="2">
        <v>0</v>
      </c>
      <c r="U493" s="2">
        <f t="shared" si="230"/>
        <v>60695.72</v>
      </c>
      <c r="V493" s="28">
        <v>60695.72</v>
      </c>
      <c r="W493" s="28">
        <v>0</v>
      </c>
      <c r="X493" s="2">
        <f t="shared" si="231"/>
        <v>0</v>
      </c>
      <c r="Y493" s="2">
        <v>0</v>
      </c>
      <c r="Z493" s="2">
        <v>0</v>
      </c>
      <c r="AA493" s="2">
        <f t="shared" si="232"/>
        <v>8257.91</v>
      </c>
      <c r="AB493" s="2">
        <v>8257.91</v>
      </c>
      <c r="AC493" s="2">
        <v>0</v>
      </c>
      <c r="AD493" s="16">
        <f t="shared" si="227"/>
        <v>412895.99999999994</v>
      </c>
      <c r="AE493" s="2">
        <v>0</v>
      </c>
      <c r="AF493" s="2">
        <f t="shared" si="233"/>
        <v>412895.99999999994</v>
      </c>
      <c r="AG493" s="38" t="s">
        <v>486</v>
      </c>
      <c r="AH493" s="29"/>
      <c r="AI493" s="118">
        <v>41000</v>
      </c>
      <c r="AJ493" s="30">
        <v>0</v>
      </c>
      <c r="AK493" s="179"/>
    </row>
    <row r="494" spans="1:37" s="43" customFormat="1" ht="152.25" customHeight="1" x14ac:dyDescent="0.25">
      <c r="A494" s="6">
        <v>491</v>
      </c>
      <c r="B494" s="31">
        <v>151295</v>
      </c>
      <c r="C494" s="11">
        <v>1051</v>
      </c>
      <c r="D494" s="11" t="s">
        <v>1638</v>
      </c>
      <c r="E494" s="24" t="s">
        <v>2258</v>
      </c>
      <c r="F494" s="31" t="s">
        <v>2407</v>
      </c>
      <c r="G494" s="27" t="s">
        <v>2406</v>
      </c>
      <c r="H494" s="8" t="s">
        <v>151</v>
      </c>
      <c r="I494" s="46" t="s">
        <v>2891</v>
      </c>
      <c r="J494" s="25">
        <v>44755</v>
      </c>
      <c r="K494" s="25">
        <v>45120</v>
      </c>
      <c r="L494" s="26">
        <f t="shared" si="228"/>
        <v>83.300002448799688</v>
      </c>
      <c r="M494" s="11">
        <v>3</v>
      </c>
      <c r="N494" s="11" t="s">
        <v>200</v>
      </c>
      <c r="O494" s="11" t="s">
        <v>1507</v>
      </c>
      <c r="P494" s="11" t="s">
        <v>274</v>
      </c>
      <c r="Q494" s="11" t="s">
        <v>34</v>
      </c>
      <c r="R494" s="2">
        <f t="shared" si="229"/>
        <v>346970</v>
      </c>
      <c r="S494" s="2">
        <v>346970</v>
      </c>
      <c r="T494" s="2">
        <v>0</v>
      </c>
      <c r="U494" s="2">
        <f t="shared" si="230"/>
        <v>61229.99</v>
      </c>
      <c r="V494" s="28">
        <v>61229.99</v>
      </c>
      <c r="W494" s="28">
        <v>0</v>
      </c>
      <c r="X494" s="2">
        <f t="shared" si="231"/>
        <v>0</v>
      </c>
      <c r="Y494" s="2">
        <v>0</v>
      </c>
      <c r="Z494" s="2">
        <v>0</v>
      </c>
      <c r="AA494" s="2">
        <f t="shared" si="232"/>
        <v>8330.61</v>
      </c>
      <c r="AB494" s="2">
        <v>8330.61</v>
      </c>
      <c r="AC494" s="2">
        <v>0</v>
      </c>
      <c r="AD494" s="16">
        <f t="shared" si="227"/>
        <v>416530.6</v>
      </c>
      <c r="AE494" s="2">
        <v>0</v>
      </c>
      <c r="AF494" s="2">
        <f t="shared" si="233"/>
        <v>416530.6</v>
      </c>
      <c r="AG494" s="38" t="s">
        <v>486</v>
      </c>
      <c r="AH494" s="29"/>
      <c r="AI494" s="118">
        <v>41653.06</v>
      </c>
      <c r="AJ494" s="30">
        <v>0</v>
      </c>
      <c r="AK494" s="179"/>
    </row>
    <row r="495" spans="1:37" s="43" customFormat="1" ht="152.25" customHeight="1" x14ac:dyDescent="0.25">
      <c r="A495" s="6">
        <v>492</v>
      </c>
      <c r="B495" s="31">
        <v>151518</v>
      </c>
      <c r="C495" s="11">
        <v>919</v>
      </c>
      <c r="D495" s="11" t="s">
        <v>1638</v>
      </c>
      <c r="E495" s="24" t="s">
        <v>2258</v>
      </c>
      <c r="F495" s="31" t="s">
        <v>2410</v>
      </c>
      <c r="G495" s="27" t="s">
        <v>2409</v>
      </c>
      <c r="H495" s="8" t="s">
        <v>151</v>
      </c>
      <c r="I495" s="46" t="s">
        <v>2892</v>
      </c>
      <c r="J495" s="25">
        <v>44756</v>
      </c>
      <c r="K495" s="25">
        <v>45183</v>
      </c>
      <c r="L495" s="26">
        <f t="shared" si="228"/>
        <v>83.299999109753415</v>
      </c>
      <c r="M495" s="11">
        <v>1</v>
      </c>
      <c r="N495" s="11" t="s">
        <v>361</v>
      </c>
      <c r="O495" s="11" t="s">
        <v>2411</v>
      </c>
      <c r="P495" s="11" t="s">
        <v>274</v>
      </c>
      <c r="Q495" s="11" t="s">
        <v>34</v>
      </c>
      <c r="R495" s="2">
        <f t="shared" si="229"/>
        <v>327493.53000000003</v>
      </c>
      <c r="S495" s="2">
        <v>327493.53000000003</v>
      </c>
      <c r="T495" s="2">
        <v>0</v>
      </c>
      <c r="U495" s="2">
        <f t="shared" si="230"/>
        <v>57792.98</v>
      </c>
      <c r="V495" s="28">
        <v>57792.98</v>
      </c>
      <c r="W495" s="28">
        <v>0</v>
      </c>
      <c r="X495" s="2">
        <f t="shared" si="231"/>
        <v>0</v>
      </c>
      <c r="Y495" s="2">
        <v>0</v>
      </c>
      <c r="Z495" s="2">
        <v>0</v>
      </c>
      <c r="AA495" s="2">
        <f t="shared" si="232"/>
        <v>7862.99</v>
      </c>
      <c r="AB495" s="2">
        <v>7862.99</v>
      </c>
      <c r="AC495" s="2">
        <v>0</v>
      </c>
      <c r="AD495" s="16">
        <f t="shared" si="227"/>
        <v>393149.5</v>
      </c>
      <c r="AE495" s="2">
        <v>0</v>
      </c>
      <c r="AF495" s="2">
        <f t="shared" si="233"/>
        <v>393149.5</v>
      </c>
      <c r="AG495" s="38" t="s">
        <v>486</v>
      </c>
      <c r="AH495" s="29"/>
      <c r="AI495" s="118">
        <v>0</v>
      </c>
      <c r="AJ495" s="30">
        <v>0</v>
      </c>
      <c r="AK495" s="179"/>
    </row>
    <row r="496" spans="1:37" s="43" customFormat="1" ht="152.25" customHeight="1" x14ac:dyDescent="0.25">
      <c r="A496" s="6">
        <v>493</v>
      </c>
      <c r="B496" s="31">
        <v>151300</v>
      </c>
      <c r="C496" s="11">
        <v>879</v>
      </c>
      <c r="D496" s="11" t="s">
        <v>1638</v>
      </c>
      <c r="E496" s="24" t="s">
        <v>2258</v>
      </c>
      <c r="F496" s="31" t="s">
        <v>2413</v>
      </c>
      <c r="G496" s="27" t="s">
        <v>2412</v>
      </c>
      <c r="H496" s="8" t="s">
        <v>151</v>
      </c>
      <c r="I496" s="46" t="s">
        <v>2414</v>
      </c>
      <c r="J496" s="25">
        <v>44756</v>
      </c>
      <c r="K496" s="25">
        <v>45183</v>
      </c>
      <c r="L496" s="26">
        <f t="shared" si="228"/>
        <v>83.30000190778712</v>
      </c>
      <c r="M496" s="11">
        <v>6</v>
      </c>
      <c r="N496" s="11" t="s">
        <v>763</v>
      </c>
      <c r="O496" s="11" t="s">
        <v>763</v>
      </c>
      <c r="P496" s="11" t="s">
        <v>274</v>
      </c>
      <c r="Q496" s="11" t="s">
        <v>34</v>
      </c>
      <c r="R496" s="2">
        <f t="shared" si="229"/>
        <v>349305.23</v>
      </c>
      <c r="S496" s="2">
        <v>349305.23</v>
      </c>
      <c r="T496" s="2">
        <v>0</v>
      </c>
      <c r="U496" s="2">
        <f t="shared" si="230"/>
        <v>61642.09</v>
      </c>
      <c r="V496" s="28">
        <v>61642.09</v>
      </c>
      <c r="W496" s="28">
        <v>0</v>
      </c>
      <c r="X496" s="2">
        <f t="shared" si="231"/>
        <v>0</v>
      </c>
      <c r="Y496" s="2">
        <v>0</v>
      </c>
      <c r="Z496" s="2">
        <v>0</v>
      </c>
      <c r="AA496" s="2">
        <f t="shared" si="232"/>
        <v>8386.68</v>
      </c>
      <c r="AB496" s="2">
        <v>8386.68</v>
      </c>
      <c r="AC496" s="2">
        <v>0</v>
      </c>
      <c r="AD496" s="16">
        <f t="shared" si="227"/>
        <v>419333.99999999994</v>
      </c>
      <c r="AE496" s="2">
        <v>0</v>
      </c>
      <c r="AF496" s="2">
        <f t="shared" si="233"/>
        <v>419333.99999999994</v>
      </c>
      <c r="AG496" s="38" t="s">
        <v>486</v>
      </c>
      <c r="AH496" s="29"/>
      <c r="AI496" s="118">
        <v>41933</v>
      </c>
      <c r="AJ496" s="30">
        <v>0</v>
      </c>
      <c r="AK496" s="179"/>
    </row>
    <row r="497" spans="1:37" s="43" customFormat="1" ht="152.25" customHeight="1" x14ac:dyDescent="0.25">
      <c r="A497" s="6">
        <v>494</v>
      </c>
      <c r="B497" s="31">
        <v>150631</v>
      </c>
      <c r="C497" s="11">
        <v>881</v>
      </c>
      <c r="D497" s="11" t="s">
        <v>1638</v>
      </c>
      <c r="E497" s="24" t="s">
        <v>2258</v>
      </c>
      <c r="F497" s="31" t="s">
        <v>2416</v>
      </c>
      <c r="G497" s="27" t="s">
        <v>2415</v>
      </c>
      <c r="H497" s="8" t="s">
        <v>151</v>
      </c>
      <c r="I497" s="46" t="s">
        <v>2417</v>
      </c>
      <c r="J497" s="25">
        <v>44756</v>
      </c>
      <c r="K497" s="25">
        <v>45183</v>
      </c>
      <c r="L497" s="26">
        <f t="shared" si="228"/>
        <v>83.300001945932266</v>
      </c>
      <c r="M497" s="11">
        <v>2</v>
      </c>
      <c r="N497" s="11" t="s">
        <v>485</v>
      </c>
      <c r="O497" s="11" t="s">
        <v>2418</v>
      </c>
      <c r="P497" s="11" t="s">
        <v>274</v>
      </c>
      <c r="Q497" s="11" t="s">
        <v>34</v>
      </c>
      <c r="R497" s="2">
        <f t="shared" si="229"/>
        <v>342457.97</v>
      </c>
      <c r="S497" s="2">
        <v>342457.97</v>
      </c>
      <c r="T497" s="2">
        <v>0</v>
      </c>
      <c r="U497" s="2">
        <f t="shared" si="230"/>
        <v>60433.75</v>
      </c>
      <c r="V497" s="28">
        <v>60433.75</v>
      </c>
      <c r="W497" s="28">
        <v>0</v>
      </c>
      <c r="X497" s="2">
        <f t="shared" si="231"/>
        <v>0</v>
      </c>
      <c r="Y497" s="2">
        <v>0</v>
      </c>
      <c r="Z497" s="2">
        <v>0</v>
      </c>
      <c r="AA497" s="2">
        <f t="shared" si="232"/>
        <v>8222.2800000000007</v>
      </c>
      <c r="AB497" s="2">
        <v>8222.2800000000007</v>
      </c>
      <c r="AC497" s="2">
        <v>0</v>
      </c>
      <c r="AD497" s="16">
        <f t="shared" si="227"/>
        <v>411114</v>
      </c>
      <c r="AE497" s="2">
        <v>0</v>
      </c>
      <c r="AF497" s="2">
        <f t="shared" si="233"/>
        <v>411114</v>
      </c>
      <c r="AG497" s="38" t="s">
        <v>486</v>
      </c>
      <c r="AH497" s="29"/>
      <c r="AI497" s="118">
        <v>41111</v>
      </c>
      <c r="AJ497" s="30">
        <v>0</v>
      </c>
      <c r="AK497" s="179"/>
    </row>
    <row r="498" spans="1:37" s="43" customFormat="1" ht="152.25" customHeight="1" x14ac:dyDescent="0.25">
      <c r="A498" s="6">
        <v>495</v>
      </c>
      <c r="B498" s="31">
        <v>151131</v>
      </c>
      <c r="C498" s="11">
        <v>902</v>
      </c>
      <c r="D498" s="11" t="s">
        <v>1638</v>
      </c>
      <c r="E498" s="24" t="s">
        <v>2258</v>
      </c>
      <c r="F498" s="31" t="s">
        <v>2420</v>
      </c>
      <c r="G498" s="27" t="s">
        <v>2419</v>
      </c>
      <c r="H498" s="8" t="s">
        <v>151</v>
      </c>
      <c r="I498" s="46" t="s">
        <v>2893</v>
      </c>
      <c r="J498" s="25">
        <v>44756</v>
      </c>
      <c r="K498" s="25">
        <v>45121</v>
      </c>
      <c r="L498" s="26">
        <f t="shared" si="228"/>
        <v>83.299997175832658</v>
      </c>
      <c r="M498" s="11">
        <v>4</v>
      </c>
      <c r="N498" s="11" t="s">
        <v>499</v>
      </c>
      <c r="O498" s="11" t="s">
        <v>499</v>
      </c>
      <c r="P498" s="11" t="s">
        <v>274</v>
      </c>
      <c r="Q498" s="11" t="s">
        <v>34</v>
      </c>
      <c r="R498" s="2">
        <f t="shared" si="229"/>
        <v>353945.02</v>
      </c>
      <c r="S498" s="2">
        <v>353945.02</v>
      </c>
      <c r="T498" s="2">
        <v>0</v>
      </c>
      <c r="U498" s="2">
        <f t="shared" si="230"/>
        <v>62460.9</v>
      </c>
      <c r="V498" s="28">
        <v>62460.9</v>
      </c>
      <c r="W498" s="28">
        <v>0</v>
      </c>
      <c r="X498" s="2">
        <f t="shared" si="231"/>
        <v>0</v>
      </c>
      <c r="Y498" s="2">
        <v>0</v>
      </c>
      <c r="Z498" s="2">
        <v>0</v>
      </c>
      <c r="AA498" s="2">
        <f t="shared" si="232"/>
        <v>8498.08</v>
      </c>
      <c r="AB498" s="2">
        <v>8498.08</v>
      </c>
      <c r="AC498" s="2">
        <v>0</v>
      </c>
      <c r="AD498" s="16">
        <f t="shared" si="227"/>
        <v>424904.00000000006</v>
      </c>
      <c r="AE498" s="2">
        <v>0</v>
      </c>
      <c r="AF498" s="2">
        <f t="shared" si="233"/>
        <v>424904.00000000006</v>
      </c>
      <c r="AG498" s="38" t="s">
        <v>486</v>
      </c>
      <c r="AH498" s="29"/>
      <c r="AI498" s="118">
        <v>42490.400000000001</v>
      </c>
      <c r="AJ498" s="30">
        <v>0</v>
      </c>
      <c r="AK498" s="179"/>
    </row>
    <row r="499" spans="1:37" s="43" customFormat="1" ht="152.25" customHeight="1" x14ac:dyDescent="0.25">
      <c r="A499" s="6">
        <v>496</v>
      </c>
      <c r="B499" s="31">
        <v>151133</v>
      </c>
      <c r="C499" s="11">
        <v>904</v>
      </c>
      <c r="D499" s="11" t="s">
        <v>1638</v>
      </c>
      <c r="E499" s="24" t="s">
        <v>2258</v>
      </c>
      <c r="F499" s="31" t="s">
        <v>2422</v>
      </c>
      <c r="G499" s="27" t="s">
        <v>2421</v>
      </c>
      <c r="H499" s="8" t="s">
        <v>151</v>
      </c>
      <c r="I499" s="46" t="s">
        <v>2893</v>
      </c>
      <c r="J499" s="25">
        <v>44756</v>
      </c>
      <c r="K499" s="25">
        <v>45121</v>
      </c>
      <c r="L499" s="26">
        <f t="shared" si="228"/>
        <v>83.299997175832658</v>
      </c>
      <c r="M499" s="11">
        <v>6</v>
      </c>
      <c r="N499" s="11" t="s">
        <v>582</v>
      </c>
      <c r="O499" s="11" t="s">
        <v>582</v>
      </c>
      <c r="P499" s="11" t="s">
        <v>274</v>
      </c>
      <c r="Q499" s="11" t="s">
        <v>34</v>
      </c>
      <c r="R499" s="2">
        <f t="shared" si="229"/>
        <v>353945.02</v>
      </c>
      <c r="S499" s="2">
        <v>353945.02</v>
      </c>
      <c r="T499" s="2">
        <v>0</v>
      </c>
      <c r="U499" s="2">
        <f t="shared" si="230"/>
        <v>62460.9</v>
      </c>
      <c r="V499" s="28">
        <v>62460.9</v>
      </c>
      <c r="W499" s="28">
        <v>0</v>
      </c>
      <c r="X499" s="2">
        <f t="shared" si="231"/>
        <v>0</v>
      </c>
      <c r="Y499" s="2">
        <v>0</v>
      </c>
      <c r="Z499" s="2">
        <v>0</v>
      </c>
      <c r="AA499" s="2">
        <f t="shared" si="232"/>
        <v>8498.08</v>
      </c>
      <c r="AB499" s="2">
        <v>8498.08</v>
      </c>
      <c r="AC499" s="2">
        <v>0</v>
      </c>
      <c r="AD499" s="16">
        <f t="shared" si="227"/>
        <v>424904.00000000006</v>
      </c>
      <c r="AE499" s="2">
        <v>0</v>
      </c>
      <c r="AF499" s="2">
        <f t="shared" si="233"/>
        <v>424904.00000000006</v>
      </c>
      <c r="AG499" s="38" t="s">
        <v>486</v>
      </c>
      <c r="AH499" s="29"/>
      <c r="AI499" s="118">
        <v>42490.400000000001</v>
      </c>
      <c r="AJ499" s="30">
        <v>0</v>
      </c>
      <c r="AK499" s="179"/>
    </row>
    <row r="500" spans="1:37" s="43" customFormat="1" ht="152.25" customHeight="1" x14ac:dyDescent="0.25">
      <c r="A500" s="6">
        <v>497</v>
      </c>
      <c r="B500" s="31">
        <v>151135</v>
      </c>
      <c r="C500" s="11">
        <v>905</v>
      </c>
      <c r="D500" s="11" t="s">
        <v>1638</v>
      </c>
      <c r="E500" s="24" t="s">
        <v>2258</v>
      </c>
      <c r="F500" s="31" t="s">
        <v>2424</v>
      </c>
      <c r="G500" s="27" t="s">
        <v>2423</v>
      </c>
      <c r="H500" s="8" t="s">
        <v>151</v>
      </c>
      <c r="I500" s="46" t="s">
        <v>2894</v>
      </c>
      <c r="J500" s="25">
        <v>44756</v>
      </c>
      <c r="K500" s="25">
        <v>45121</v>
      </c>
      <c r="L500" s="26">
        <f t="shared" si="228"/>
        <v>83.299997175832658</v>
      </c>
      <c r="M500" s="11">
        <v>4</v>
      </c>
      <c r="N500" s="11" t="s">
        <v>499</v>
      </c>
      <c r="O500" s="11" t="s">
        <v>499</v>
      </c>
      <c r="P500" s="11" t="s">
        <v>274</v>
      </c>
      <c r="Q500" s="11" t="s">
        <v>34</v>
      </c>
      <c r="R500" s="2">
        <f t="shared" si="229"/>
        <v>353945.02</v>
      </c>
      <c r="S500" s="2">
        <v>353945.02</v>
      </c>
      <c r="T500" s="2">
        <v>0</v>
      </c>
      <c r="U500" s="2">
        <f t="shared" si="230"/>
        <v>62460.9</v>
      </c>
      <c r="V500" s="28">
        <v>62460.9</v>
      </c>
      <c r="W500" s="28">
        <v>0</v>
      </c>
      <c r="X500" s="2">
        <f t="shared" si="231"/>
        <v>0</v>
      </c>
      <c r="Y500" s="2">
        <v>0</v>
      </c>
      <c r="Z500" s="2">
        <v>0</v>
      </c>
      <c r="AA500" s="2">
        <f t="shared" si="232"/>
        <v>8498.08</v>
      </c>
      <c r="AB500" s="2">
        <v>8498.08</v>
      </c>
      <c r="AC500" s="2">
        <v>0</v>
      </c>
      <c r="AD500" s="16">
        <f t="shared" si="227"/>
        <v>424904.00000000006</v>
      </c>
      <c r="AE500" s="2">
        <v>0</v>
      </c>
      <c r="AF500" s="2">
        <f t="shared" si="233"/>
        <v>424904.00000000006</v>
      </c>
      <c r="AG500" s="38" t="s">
        <v>486</v>
      </c>
      <c r="AH500" s="29"/>
      <c r="AI500" s="118">
        <v>42490.400000000001</v>
      </c>
      <c r="AJ500" s="30">
        <v>0</v>
      </c>
      <c r="AK500" s="179"/>
    </row>
    <row r="501" spans="1:37" s="43" customFormat="1" ht="152.25" customHeight="1" x14ac:dyDescent="0.25">
      <c r="A501" s="6">
        <v>498</v>
      </c>
      <c r="B501" s="31">
        <v>151227</v>
      </c>
      <c r="C501" s="11">
        <v>906</v>
      </c>
      <c r="D501" s="11" t="s">
        <v>1638</v>
      </c>
      <c r="E501" s="24" t="s">
        <v>2258</v>
      </c>
      <c r="F501" s="31" t="s">
        <v>2426</v>
      </c>
      <c r="G501" s="27" t="s">
        <v>2425</v>
      </c>
      <c r="H501" s="8" t="s">
        <v>151</v>
      </c>
      <c r="I501" s="46" t="s">
        <v>2895</v>
      </c>
      <c r="J501" s="25">
        <v>44756</v>
      </c>
      <c r="K501" s="25">
        <v>45183</v>
      </c>
      <c r="L501" s="26">
        <f t="shared" si="228"/>
        <v>83.300000941903392</v>
      </c>
      <c r="M501" s="11" t="s">
        <v>2427</v>
      </c>
      <c r="N501" s="11" t="s">
        <v>2428</v>
      </c>
      <c r="O501" s="11" t="s">
        <v>2428</v>
      </c>
      <c r="P501" s="11" t="s">
        <v>274</v>
      </c>
      <c r="Q501" s="11" t="s">
        <v>34</v>
      </c>
      <c r="R501" s="2">
        <f t="shared" si="229"/>
        <v>353751.78</v>
      </c>
      <c r="S501" s="2">
        <v>353751.78</v>
      </c>
      <c r="T501" s="2">
        <v>0</v>
      </c>
      <c r="U501" s="2">
        <f t="shared" si="230"/>
        <v>62426.78</v>
      </c>
      <c r="V501" s="28">
        <v>62426.78</v>
      </c>
      <c r="W501" s="28">
        <v>0</v>
      </c>
      <c r="X501" s="2">
        <f t="shared" si="231"/>
        <v>0</v>
      </c>
      <c r="Y501" s="2">
        <v>0</v>
      </c>
      <c r="Z501" s="2">
        <v>0</v>
      </c>
      <c r="AA501" s="2">
        <f t="shared" si="232"/>
        <v>8493.44</v>
      </c>
      <c r="AB501" s="2">
        <v>8493.44</v>
      </c>
      <c r="AC501" s="2">
        <v>0</v>
      </c>
      <c r="AD501" s="16">
        <f t="shared" si="227"/>
        <v>424672.00000000006</v>
      </c>
      <c r="AE501" s="2">
        <v>0</v>
      </c>
      <c r="AF501" s="2">
        <f t="shared" si="233"/>
        <v>424672.00000000006</v>
      </c>
      <c r="AG501" s="38" t="s">
        <v>486</v>
      </c>
      <c r="AH501" s="29"/>
      <c r="AI501" s="118">
        <v>0</v>
      </c>
      <c r="AJ501" s="30">
        <v>0</v>
      </c>
      <c r="AK501" s="179"/>
    </row>
    <row r="502" spans="1:37" s="43" customFormat="1" ht="152.25" customHeight="1" x14ac:dyDescent="0.25">
      <c r="A502" s="6">
        <v>499</v>
      </c>
      <c r="B502" s="31">
        <v>150956</v>
      </c>
      <c r="C502" s="11">
        <v>889</v>
      </c>
      <c r="D502" s="11" t="s">
        <v>1638</v>
      </c>
      <c r="E502" s="24" t="s">
        <v>2258</v>
      </c>
      <c r="F502" s="31" t="s">
        <v>2430</v>
      </c>
      <c r="G502" s="27" t="s">
        <v>2429</v>
      </c>
      <c r="H502" s="8" t="s">
        <v>151</v>
      </c>
      <c r="I502" s="46" t="s">
        <v>2431</v>
      </c>
      <c r="J502" s="25">
        <v>44761</v>
      </c>
      <c r="K502" s="25">
        <v>45188</v>
      </c>
      <c r="L502" s="26">
        <f t="shared" si="228"/>
        <v>83.299998802551357</v>
      </c>
      <c r="M502" s="11">
        <v>3</v>
      </c>
      <c r="N502" s="11" t="s">
        <v>189</v>
      </c>
      <c r="O502" s="11" t="s">
        <v>189</v>
      </c>
      <c r="P502" s="11" t="s">
        <v>274</v>
      </c>
      <c r="Q502" s="11" t="s">
        <v>34</v>
      </c>
      <c r="R502" s="2">
        <f t="shared" si="229"/>
        <v>350605.43</v>
      </c>
      <c r="S502" s="2">
        <v>350605.43</v>
      </c>
      <c r="T502" s="2">
        <v>0</v>
      </c>
      <c r="U502" s="2">
        <f t="shared" si="230"/>
        <v>61871.56</v>
      </c>
      <c r="V502" s="28">
        <v>61871.56</v>
      </c>
      <c r="W502" s="28">
        <v>0</v>
      </c>
      <c r="X502" s="2">
        <f t="shared" si="231"/>
        <v>0</v>
      </c>
      <c r="Y502" s="2">
        <v>0</v>
      </c>
      <c r="Z502" s="2">
        <v>0</v>
      </c>
      <c r="AA502" s="2">
        <f t="shared" si="232"/>
        <v>8417.89</v>
      </c>
      <c r="AB502" s="2">
        <v>8417.89</v>
      </c>
      <c r="AC502" s="2">
        <v>0</v>
      </c>
      <c r="AD502" s="16">
        <f t="shared" si="227"/>
        <v>420894.88</v>
      </c>
      <c r="AE502" s="2">
        <v>0</v>
      </c>
      <c r="AF502" s="2">
        <f t="shared" si="233"/>
        <v>420894.88</v>
      </c>
      <c r="AG502" s="38" t="s">
        <v>486</v>
      </c>
      <c r="AH502" s="29"/>
      <c r="AI502" s="118">
        <v>42089</v>
      </c>
      <c r="AJ502" s="30">
        <v>0</v>
      </c>
      <c r="AK502" s="179"/>
    </row>
    <row r="503" spans="1:37" s="43" customFormat="1" ht="152.25" customHeight="1" x14ac:dyDescent="0.25">
      <c r="A503" s="6">
        <v>500</v>
      </c>
      <c r="B503" s="31">
        <v>151080</v>
      </c>
      <c r="C503" s="11">
        <v>900</v>
      </c>
      <c r="D503" s="11" t="s">
        <v>1638</v>
      </c>
      <c r="E503" s="24" t="s">
        <v>2258</v>
      </c>
      <c r="F503" s="31" t="s">
        <v>2437</v>
      </c>
      <c r="G503" s="27" t="s">
        <v>2436</v>
      </c>
      <c r="H503" s="8" t="s">
        <v>151</v>
      </c>
      <c r="I503" s="46" t="s">
        <v>2438</v>
      </c>
      <c r="J503" s="25">
        <v>44761</v>
      </c>
      <c r="K503" s="25">
        <v>45126</v>
      </c>
      <c r="L503" s="26">
        <f t="shared" si="228"/>
        <v>83.300000706083381</v>
      </c>
      <c r="M503" s="11">
        <v>1</v>
      </c>
      <c r="N503" s="11" t="s">
        <v>361</v>
      </c>
      <c r="O503" s="11" t="s">
        <v>2439</v>
      </c>
      <c r="P503" s="11" t="s">
        <v>274</v>
      </c>
      <c r="Q503" s="11" t="s">
        <v>34</v>
      </c>
      <c r="R503" s="2">
        <f t="shared" si="229"/>
        <v>353924.21</v>
      </c>
      <c r="S503" s="2">
        <v>353924.21</v>
      </c>
      <c r="T503" s="2">
        <v>0</v>
      </c>
      <c r="U503" s="2">
        <f t="shared" si="230"/>
        <v>62457.21</v>
      </c>
      <c r="V503" s="28">
        <v>62457.21</v>
      </c>
      <c r="W503" s="28">
        <v>0</v>
      </c>
      <c r="X503" s="2">
        <f t="shared" si="231"/>
        <v>0</v>
      </c>
      <c r="Y503" s="2">
        <v>0</v>
      </c>
      <c r="Z503" s="2">
        <v>0</v>
      </c>
      <c r="AA503" s="2">
        <f t="shared" si="232"/>
        <v>8497.58</v>
      </c>
      <c r="AB503" s="2">
        <v>8497.58</v>
      </c>
      <c r="AC503" s="2">
        <v>0</v>
      </c>
      <c r="AD503" s="16">
        <f t="shared" si="227"/>
        <v>424879.00000000006</v>
      </c>
      <c r="AE503" s="2">
        <v>0</v>
      </c>
      <c r="AF503" s="2">
        <f t="shared" si="233"/>
        <v>424879.00000000006</v>
      </c>
      <c r="AG503" s="38" t="s">
        <v>486</v>
      </c>
      <c r="AH503" s="29"/>
      <c r="AI503" s="118">
        <v>42487.9</v>
      </c>
      <c r="AJ503" s="30">
        <v>0</v>
      </c>
      <c r="AK503" s="179"/>
    </row>
    <row r="504" spans="1:37" s="43" customFormat="1" ht="152.25" customHeight="1" x14ac:dyDescent="0.25">
      <c r="A504" s="6">
        <v>501</v>
      </c>
      <c r="B504" s="31">
        <v>151326</v>
      </c>
      <c r="C504" s="11">
        <v>908</v>
      </c>
      <c r="D504" s="11" t="s">
        <v>1638</v>
      </c>
      <c r="E504" s="24" t="s">
        <v>2258</v>
      </c>
      <c r="F504" s="31" t="s">
        <v>2441</v>
      </c>
      <c r="G504" s="27" t="s">
        <v>2440</v>
      </c>
      <c r="H504" s="8" t="s">
        <v>151</v>
      </c>
      <c r="I504" s="46" t="s">
        <v>2896</v>
      </c>
      <c r="J504" s="25">
        <v>44761</v>
      </c>
      <c r="K504" s="25">
        <v>45188</v>
      </c>
      <c r="L504" s="26">
        <f t="shared" si="228"/>
        <v>83.300003641619597</v>
      </c>
      <c r="M504" s="11">
        <v>7</v>
      </c>
      <c r="N504" s="11" t="s">
        <v>226</v>
      </c>
      <c r="O504" s="11" t="s">
        <v>2442</v>
      </c>
      <c r="P504" s="11" t="s">
        <v>274</v>
      </c>
      <c r="Q504" s="11" t="s">
        <v>34</v>
      </c>
      <c r="R504" s="2">
        <f t="shared" si="229"/>
        <v>353638.82</v>
      </c>
      <c r="S504" s="2">
        <v>353638.82</v>
      </c>
      <c r="T504" s="2">
        <v>0</v>
      </c>
      <c r="U504" s="2">
        <f t="shared" si="230"/>
        <v>62406.82</v>
      </c>
      <c r="V504" s="28">
        <v>62406.82</v>
      </c>
      <c r="W504" s="28">
        <v>0</v>
      </c>
      <c r="X504" s="2">
        <f t="shared" si="231"/>
        <v>0</v>
      </c>
      <c r="Y504" s="2">
        <v>0</v>
      </c>
      <c r="Z504" s="2">
        <v>0</v>
      </c>
      <c r="AA504" s="2">
        <f t="shared" si="232"/>
        <v>8490.74</v>
      </c>
      <c r="AB504" s="2">
        <v>8490.74</v>
      </c>
      <c r="AC504" s="2">
        <v>0</v>
      </c>
      <c r="AD504" s="16">
        <f t="shared" si="227"/>
        <v>424536.38</v>
      </c>
      <c r="AE504" s="2">
        <v>0</v>
      </c>
      <c r="AF504" s="2">
        <f t="shared" si="233"/>
        <v>424536.38</v>
      </c>
      <c r="AG504" s="38" t="s">
        <v>486</v>
      </c>
      <c r="AH504" s="29"/>
      <c r="AI504" s="118">
        <v>42453.63</v>
      </c>
      <c r="AJ504" s="30">
        <v>0</v>
      </c>
      <c r="AK504" s="179"/>
    </row>
    <row r="505" spans="1:37" s="43" customFormat="1" ht="152.25" customHeight="1" x14ac:dyDescent="0.25">
      <c r="A505" s="6">
        <v>502</v>
      </c>
      <c r="B505" s="31">
        <v>151444</v>
      </c>
      <c r="C505" s="11">
        <v>914</v>
      </c>
      <c r="D505" s="11" t="s">
        <v>1638</v>
      </c>
      <c r="E505" s="24" t="s">
        <v>2258</v>
      </c>
      <c r="F505" s="31" t="s">
        <v>2444</v>
      </c>
      <c r="G505" s="27" t="s">
        <v>2443</v>
      </c>
      <c r="H505" s="8" t="s">
        <v>151</v>
      </c>
      <c r="I505" s="46" t="s">
        <v>2897</v>
      </c>
      <c r="J505" s="25">
        <v>44761</v>
      </c>
      <c r="K505" s="25">
        <v>45157</v>
      </c>
      <c r="L505" s="26">
        <f t="shared" si="228"/>
        <v>83.299997992131509</v>
      </c>
      <c r="M505" s="11">
        <v>2</v>
      </c>
      <c r="N505" s="11" t="s">
        <v>1919</v>
      </c>
      <c r="O505" s="11" t="s">
        <v>1919</v>
      </c>
      <c r="P505" s="11" t="s">
        <v>274</v>
      </c>
      <c r="Q505" s="11" t="s">
        <v>34</v>
      </c>
      <c r="R505" s="2">
        <f t="shared" si="229"/>
        <v>352637.63</v>
      </c>
      <c r="S505" s="2">
        <v>352637.63</v>
      </c>
      <c r="T505" s="2">
        <v>0</v>
      </c>
      <c r="U505" s="2">
        <f t="shared" si="230"/>
        <v>62230.18</v>
      </c>
      <c r="V505" s="28">
        <v>62230.18</v>
      </c>
      <c r="W505" s="28">
        <v>0</v>
      </c>
      <c r="X505" s="2">
        <f t="shared" si="231"/>
        <v>0</v>
      </c>
      <c r="Y505" s="2">
        <v>0</v>
      </c>
      <c r="Z505" s="2">
        <v>0</v>
      </c>
      <c r="AA505" s="2">
        <f t="shared" si="232"/>
        <v>8466.69</v>
      </c>
      <c r="AB505" s="2">
        <v>8466.69</v>
      </c>
      <c r="AC505" s="2">
        <v>0</v>
      </c>
      <c r="AD505" s="16">
        <f t="shared" si="227"/>
        <v>423334.5</v>
      </c>
      <c r="AE505" s="2">
        <v>0</v>
      </c>
      <c r="AF505" s="2">
        <f t="shared" si="233"/>
        <v>423334.5</v>
      </c>
      <c r="AG505" s="38" t="s">
        <v>486</v>
      </c>
      <c r="AH505" s="29"/>
      <c r="AI505" s="118">
        <v>41486.78</v>
      </c>
      <c r="AJ505" s="30">
        <v>0</v>
      </c>
      <c r="AK505" s="179"/>
    </row>
    <row r="506" spans="1:37" s="43" customFormat="1" ht="152.25" customHeight="1" x14ac:dyDescent="0.25">
      <c r="A506" s="6">
        <v>503</v>
      </c>
      <c r="B506" s="31">
        <v>151266</v>
      </c>
      <c r="C506" s="11">
        <v>970</v>
      </c>
      <c r="D506" s="11" t="s">
        <v>1638</v>
      </c>
      <c r="E506" s="24" t="s">
        <v>2258</v>
      </c>
      <c r="F506" s="31" t="s">
        <v>2446</v>
      </c>
      <c r="G506" s="27" t="s">
        <v>2445</v>
      </c>
      <c r="H506" s="8" t="s">
        <v>2447</v>
      </c>
      <c r="I506" s="46" t="s">
        <v>2898</v>
      </c>
      <c r="J506" s="25">
        <v>44762</v>
      </c>
      <c r="K506" s="25">
        <v>45189</v>
      </c>
      <c r="L506" s="26">
        <f t="shared" si="228"/>
        <v>83.299998586978532</v>
      </c>
      <c r="M506" s="11" t="s">
        <v>2448</v>
      </c>
      <c r="N506" s="11" t="s">
        <v>2449</v>
      </c>
      <c r="O506" s="11" t="s">
        <v>2450</v>
      </c>
      <c r="P506" s="11" t="s">
        <v>274</v>
      </c>
      <c r="Q506" s="11" t="s">
        <v>34</v>
      </c>
      <c r="R506" s="2">
        <f t="shared" si="229"/>
        <v>353710.12</v>
      </c>
      <c r="S506" s="2">
        <v>353710.12</v>
      </c>
      <c r="T506" s="2">
        <v>0</v>
      </c>
      <c r="U506" s="2">
        <f t="shared" si="230"/>
        <v>62419.44</v>
      </c>
      <c r="V506" s="28">
        <v>62419.44</v>
      </c>
      <c r="W506" s="28">
        <v>0</v>
      </c>
      <c r="X506" s="2">
        <f t="shared" si="231"/>
        <v>0</v>
      </c>
      <c r="Y506" s="2">
        <v>0</v>
      </c>
      <c r="Z506" s="2">
        <v>0</v>
      </c>
      <c r="AA506" s="2">
        <f t="shared" si="232"/>
        <v>8492.44</v>
      </c>
      <c r="AB506" s="2">
        <v>8492.44</v>
      </c>
      <c r="AC506" s="2">
        <v>0</v>
      </c>
      <c r="AD506" s="16">
        <f t="shared" si="227"/>
        <v>424622</v>
      </c>
      <c r="AE506" s="2">
        <v>0</v>
      </c>
      <c r="AF506" s="2">
        <f t="shared" si="233"/>
        <v>424622</v>
      </c>
      <c r="AG506" s="38" t="s">
        <v>486</v>
      </c>
      <c r="AH506" s="29"/>
      <c r="AI506" s="118">
        <v>0</v>
      </c>
      <c r="AJ506" s="30">
        <v>0</v>
      </c>
      <c r="AK506" s="179"/>
    </row>
    <row r="507" spans="1:37" s="43" customFormat="1" ht="152.25" customHeight="1" x14ac:dyDescent="0.25">
      <c r="A507" s="6">
        <v>504</v>
      </c>
      <c r="B507" s="31">
        <v>151105</v>
      </c>
      <c r="C507" s="11">
        <v>985</v>
      </c>
      <c r="D507" s="11" t="s">
        <v>1638</v>
      </c>
      <c r="E507" s="24" t="s">
        <v>2258</v>
      </c>
      <c r="F507" s="31" t="s">
        <v>2452</v>
      </c>
      <c r="G507" s="27" t="s">
        <v>2451</v>
      </c>
      <c r="H507" s="8" t="s">
        <v>151</v>
      </c>
      <c r="I507" s="46" t="s">
        <v>2453</v>
      </c>
      <c r="J507" s="25">
        <v>44762</v>
      </c>
      <c r="K507" s="25">
        <v>45158</v>
      </c>
      <c r="L507" s="26">
        <f t="shared" si="228"/>
        <v>83.300002208523523</v>
      </c>
      <c r="M507" s="11">
        <v>7</v>
      </c>
      <c r="N507" s="11" t="s">
        <v>226</v>
      </c>
      <c r="O507" s="11" t="s">
        <v>226</v>
      </c>
      <c r="P507" s="11" t="s">
        <v>274</v>
      </c>
      <c r="Q507" s="11" t="s">
        <v>34</v>
      </c>
      <c r="R507" s="2">
        <f t="shared" si="229"/>
        <v>353790.22</v>
      </c>
      <c r="S507" s="2">
        <v>353790.22</v>
      </c>
      <c r="T507" s="2">
        <v>0</v>
      </c>
      <c r="U507" s="2">
        <f t="shared" si="230"/>
        <v>62433.56</v>
      </c>
      <c r="V507" s="28">
        <v>62433.56</v>
      </c>
      <c r="W507" s="28">
        <v>0</v>
      </c>
      <c r="X507" s="2">
        <f t="shared" si="231"/>
        <v>0</v>
      </c>
      <c r="Y507" s="2">
        <v>0</v>
      </c>
      <c r="Z507" s="2">
        <v>0</v>
      </c>
      <c r="AA507" s="2">
        <f t="shared" si="232"/>
        <v>8494.36</v>
      </c>
      <c r="AB507" s="2">
        <v>8494.36</v>
      </c>
      <c r="AC507" s="2">
        <v>0</v>
      </c>
      <c r="AD507" s="16">
        <f t="shared" si="227"/>
        <v>424718.13999999996</v>
      </c>
      <c r="AE507" s="2">
        <v>0</v>
      </c>
      <c r="AF507" s="2">
        <f t="shared" si="233"/>
        <v>424718.13999999996</v>
      </c>
      <c r="AG507" s="38" t="s">
        <v>486</v>
      </c>
      <c r="AH507" s="29"/>
      <c r="AI507" s="118">
        <v>42471.18</v>
      </c>
      <c r="AJ507" s="30">
        <v>0</v>
      </c>
      <c r="AK507" s="179"/>
    </row>
    <row r="508" spans="1:37" s="43" customFormat="1" ht="152.25" customHeight="1" x14ac:dyDescent="0.25">
      <c r="A508" s="6">
        <v>505</v>
      </c>
      <c r="B508" s="31">
        <v>151531</v>
      </c>
      <c r="C508" s="11">
        <v>1003</v>
      </c>
      <c r="D508" s="11" t="s">
        <v>1638</v>
      </c>
      <c r="E508" s="24" t="s">
        <v>2258</v>
      </c>
      <c r="F508" s="31" t="s">
        <v>2455</v>
      </c>
      <c r="G508" s="27" t="s">
        <v>2454</v>
      </c>
      <c r="H508" s="8" t="s">
        <v>151</v>
      </c>
      <c r="I508" s="46" t="s">
        <v>2899</v>
      </c>
      <c r="J508" s="25">
        <v>44762</v>
      </c>
      <c r="K508" s="25">
        <v>45189</v>
      </c>
      <c r="L508" s="26">
        <f t="shared" si="228"/>
        <v>83.299997851486978</v>
      </c>
      <c r="M508" s="11">
        <v>3</v>
      </c>
      <c r="N508" s="11" t="s">
        <v>1469</v>
      </c>
      <c r="O508" s="11" t="s">
        <v>2456</v>
      </c>
      <c r="P508" s="11" t="s">
        <v>274</v>
      </c>
      <c r="Q508" s="11" t="s">
        <v>34</v>
      </c>
      <c r="R508" s="2">
        <f t="shared" si="229"/>
        <v>322962.43</v>
      </c>
      <c r="S508" s="2">
        <v>322962.43</v>
      </c>
      <c r="T508" s="2">
        <v>0</v>
      </c>
      <c r="U508" s="2">
        <f t="shared" si="230"/>
        <v>56993.37</v>
      </c>
      <c r="V508" s="28">
        <v>56993.37</v>
      </c>
      <c r="W508" s="28">
        <v>0</v>
      </c>
      <c r="X508" s="2">
        <f t="shared" si="231"/>
        <v>0</v>
      </c>
      <c r="Y508" s="2">
        <v>0</v>
      </c>
      <c r="Z508" s="2">
        <v>0</v>
      </c>
      <c r="AA508" s="2">
        <f t="shared" si="232"/>
        <v>7754.21</v>
      </c>
      <c r="AB508" s="2">
        <v>7754.21</v>
      </c>
      <c r="AC508" s="2">
        <v>0</v>
      </c>
      <c r="AD508" s="16">
        <f t="shared" si="227"/>
        <v>387710.01</v>
      </c>
      <c r="AE508" s="2">
        <v>0</v>
      </c>
      <c r="AF508" s="2">
        <f t="shared" si="233"/>
        <v>387710.01</v>
      </c>
      <c r="AG508" s="38" t="s">
        <v>486</v>
      </c>
      <c r="AH508" s="29"/>
      <c r="AI508" s="118">
        <v>38771</v>
      </c>
      <c r="AJ508" s="30">
        <v>0</v>
      </c>
      <c r="AK508" s="179"/>
    </row>
    <row r="509" spans="1:37" s="43" customFormat="1" ht="152.25" customHeight="1" x14ac:dyDescent="0.25">
      <c r="A509" s="6">
        <v>506</v>
      </c>
      <c r="B509" s="31">
        <v>151157</v>
      </c>
      <c r="C509" s="11">
        <v>1034</v>
      </c>
      <c r="D509" s="11" t="s">
        <v>1638</v>
      </c>
      <c r="E509" s="24" t="s">
        <v>2258</v>
      </c>
      <c r="F509" s="31" t="s">
        <v>2458</v>
      </c>
      <c r="G509" s="27" t="s">
        <v>2457</v>
      </c>
      <c r="H509" s="8" t="s">
        <v>151</v>
      </c>
      <c r="I509" s="46" t="s">
        <v>2459</v>
      </c>
      <c r="J509" s="25">
        <v>44761</v>
      </c>
      <c r="K509" s="25">
        <v>45188</v>
      </c>
      <c r="L509" s="26">
        <f t="shared" si="228"/>
        <v>83.300002589270449</v>
      </c>
      <c r="M509" s="11">
        <v>4</v>
      </c>
      <c r="N509" s="11" t="s">
        <v>231</v>
      </c>
      <c r="O509" s="11" t="s">
        <v>2460</v>
      </c>
      <c r="P509" s="11" t="s">
        <v>274</v>
      </c>
      <c r="Q509" s="11" t="s">
        <v>34</v>
      </c>
      <c r="R509" s="2">
        <f t="shared" si="229"/>
        <v>210078.1</v>
      </c>
      <c r="S509" s="2">
        <v>210078.1</v>
      </c>
      <c r="T509" s="2">
        <v>0</v>
      </c>
      <c r="U509" s="2">
        <f t="shared" si="230"/>
        <v>37072.6</v>
      </c>
      <c r="V509" s="28">
        <v>37072.6</v>
      </c>
      <c r="W509" s="28">
        <v>0</v>
      </c>
      <c r="X509" s="2">
        <f t="shared" si="231"/>
        <v>0</v>
      </c>
      <c r="Y509" s="2">
        <v>0</v>
      </c>
      <c r="Z509" s="2">
        <v>0</v>
      </c>
      <c r="AA509" s="2">
        <f t="shared" si="232"/>
        <v>5043.8900000000003</v>
      </c>
      <c r="AB509" s="2">
        <v>5043.8900000000003</v>
      </c>
      <c r="AC509" s="2">
        <v>0</v>
      </c>
      <c r="AD509" s="16">
        <f t="shared" si="227"/>
        <v>252194.59000000003</v>
      </c>
      <c r="AE509" s="2">
        <v>0</v>
      </c>
      <c r="AF509" s="2">
        <f t="shared" si="233"/>
        <v>252194.59000000003</v>
      </c>
      <c r="AG509" s="38" t="s">
        <v>486</v>
      </c>
      <c r="AH509" s="29"/>
      <c r="AI509" s="118">
        <v>20000</v>
      </c>
      <c r="AJ509" s="30">
        <v>0</v>
      </c>
      <c r="AK509" s="179"/>
    </row>
    <row r="510" spans="1:37" s="43" customFormat="1" ht="152.25" customHeight="1" x14ac:dyDescent="0.25">
      <c r="A510" s="6">
        <v>507</v>
      </c>
      <c r="B510" s="31">
        <v>151125</v>
      </c>
      <c r="C510" s="11">
        <v>891</v>
      </c>
      <c r="D510" s="11" t="s">
        <v>1638</v>
      </c>
      <c r="E510" s="24" t="s">
        <v>2258</v>
      </c>
      <c r="F510" s="31" t="s">
        <v>2467</v>
      </c>
      <c r="G510" s="27" t="s">
        <v>2466</v>
      </c>
      <c r="H510" s="8" t="s">
        <v>151</v>
      </c>
      <c r="I510" s="46" t="s">
        <v>2900</v>
      </c>
      <c r="J510" s="25">
        <v>44763</v>
      </c>
      <c r="K510" s="25">
        <v>45190</v>
      </c>
      <c r="L510" s="26">
        <f t="shared" si="228"/>
        <v>83.300001077338706</v>
      </c>
      <c r="M510" s="11">
        <v>3</v>
      </c>
      <c r="N510" s="11" t="s">
        <v>254</v>
      </c>
      <c r="O510" s="11" t="s">
        <v>865</v>
      </c>
      <c r="P510" s="11" t="s">
        <v>274</v>
      </c>
      <c r="Q510" s="11" t="s">
        <v>34</v>
      </c>
      <c r="R510" s="2">
        <f t="shared" si="229"/>
        <v>257476.13</v>
      </c>
      <c r="S510" s="2">
        <v>257476.13</v>
      </c>
      <c r="T510" s="2">
        <v>0</v>
      </c>
      <c r="U510" s="2">
        <f t="shared" si="230"/>
        <v>45436.959999999999</v>
      </c>
      <c r="V510" s="28">
        <v>45436.959999999999</v>
      </c>
      <c r="W510" s="28">
        <v>0</v>
      </c>
      <c r="X510" s="2">
        <f t="shared" si="231"/>
        <v>0</v>
      </c>
      <c r="Y510" s="2">
        <v>0</v>
      </c>
      <c r="Z510" s="2">
        <v>0</v>
      </c>
      <c r="AA510" s="2">
        <f t="shared" si="232"/>
        <v>6181.9</v>
      </c>
      <c r="AB510" s="2">
        <v>6181.9</v>
      </c>
      <c r="AC510" s="2">
        <v>0</v>
      </c>
      <c r="AD510" s="16">
        <f t="shared" si="227"/>
        <v>309094.99000000005</v>
      </c>
      <c r="AE510" s="2">
        <v>0</v>
      </c>
      <c r="AF510" s="2">
        <f t="shared" si="233"/>
        <v>309094.99000000005</v>
      </c>
      <c r="AG510" s="38" t="s">
        <v>486</v>
      </c>
      <c r="AH510" s="29"/>
      <c r="AI510" s="118">
        <v>30291.31</v>
      </c>
      <c r="AJ510" s="30">
        <v>0</v>
      </c>
      <c r="AK510" s="179"/>
    </row>
    <row r="511" spans="1:37" s="43" customFormat="1" ht="152.25" customHeight="1" x14ac:dyDescent="0.25">
      <c r="A511" s="6">
        <v>508</v>
      </c>
      <c r="B511" s="31">
        <v>151132</v>
      </c>
      <c r="C511" s="11">
        <v>903</v>
      </c>
      <c r="D511" s="11" t="s">
        <v>1638</v>
      </c>
      <c r="E511" s="24" t="s">
        <v>2258</v>
      </c>
      <c r="F511" s="31" t="s">
        <v>2469</v>
      </c>
      <c r="G511" s="27" t="s">
        <v>2468</v>
      </c>
      <c r="H511" s="8" t="s">
        <v>151</v>
      </c>
      <c r="I511" s="46" t="s">
        <v>2901</v>
      </c>
      <c r="J511" s="25">
        <v>44764</v>
      </c>
      <c r="K511" s="25">
        <v>45129</v>
      </c>
      <c r="L511" s="26">
        <f t="shared" si="228"/>
        <v>83.299997175832658</v>
      </c>
      <c r="M511" s="11">
        <v>6</v>
      </c>
      <c r="N511" s="11" t="s">
        <v>582</v>
      </c>
      <c r="O511" s="11" t="s">
        <v>582</v>
      </c>
      <c r="P511" s="11" t="s">
        <v>274</v>
      </c>
      <c r="Q511" s="11" t="s">
        <v>34</v>
      </c>
      <c r="R511" s="2">
        <f t="shared" si="229"/>
        <v>353945.02</v>
      </c>
      <c r="S511" s="2">
        <v>353945.02</v>
      </c>
      <c r="T511" s="2">
        <v>0</v>
      </c>
      <c r="U511" s="2">
        <f t="shared" si="230"/>
        <v>62460.9</v>
      </c>
      <c r="V511" s="28">
        <v>62460.9</v>
      </c>
      <c r="W511" s="28">
        <v>0</v>
      </c>
      <c r="X511" s="2">
        <f t="shared" si="231"/>
        <v>0</v>
      </c>
      <c r="Y511" s="2">
        <v>0</v>
      </c>
      <c r="Z511" s="2">
        <v>0</v>
      </c>
      <c r="AA511" s="2">
        <f t="shared" si="232"/>
        <v>8498.08</v>
      </c>
      <c r="AB511" s="2">
        <v>8498.08</v>
      </c>
      <c r="AC511" s="2">
        <v>0</v>
      </c>
      <c r="AD511" s="16">
        <f t="shared" si="227"/>
        <v>424904.00000000006</v>
      </c>
      <c r="AE511" s="2">
        <v>0</v>
      </c>
      <c r="AF511" s="2">
        <f t="shared" si="233"/>
        <v>424904.00000000006</v>
      </c>
      <c r="AG511" s="38" t="s">
        <v>486</v>
      </c>
      <c r="AH511" s="29"/>
      <c r="AI511" s="118">
        <v>42490.400000000001</v>
      </c>
      <c r="AJ511" s="30">
        <v>0</v>
      </c>
      <c r="AK511" s="179"/>
    </row>
    <row r="512" spans="1:37" s="43" customFormat="1" ht="152.25" customHeight="1" x14ac:dyDescent="0.25">
      <c r="A512" s="6">
        <v>509</v>
      </c>
      <c r="B512" s="31">
        <v>151456</v>
      </c>
      <c r="C512" s="11">
        <v>915</v>
      </c>
      <c r="D512" s="11" t="s">
        <v>1638</v>
      </c>
      <c r="E512" s="24" t="s">
        <v>2258</v>
      </c>
      <c r="F512" s="31" t="s">
        <v>2471</v>
      </c>
      <c r="G512" s="27" t="s">
        <v>2470</v>
      </c>
      <c r="H512" s="8" t="s">
        <v>151</v>
      </c>
      <c r="I512" s="46" t="s">
        <v>2902</v>
      </c>
      <c r="J512" s="25">
        <v>44763</v>
      </c>
      <c r="K512" s="25">
        <v>45128</v>
      </c>
      <c r="L512" s="26">
        <f t="shared" si="228"/>
        <v>83.300000000000011</v>
      </c>
      <c r="M512" s="11">
        <v>6</v>
      </c>
      <c r="N512" s="11" t="s">
        <v>182</v>
      </c>
      <c r="O512" s="11" t="s">
        <v>1534</v>
      </c>
      <c r="P512" s="11" t="s">
        <v>274</v>
      </c>
      <c r="Q512" s="11" t="s">
        <v>34</v>
      </c>
      <c r="R512" s="2">
        <f t="shared" si="229"/>
        <v>351984.15</v>
      </c>
      <c r="S512" s="2">
        <v>351984.15</v>
      </c>
      <c r="T512" s="2">
        <v>0</v>
      </c>
      <c r="U512" s="2">
        <f t="shared" si="230"/>
        <v>62114.85</v>
      </c>
      <c r="V512" s="28">
        <v>62114.85</v>
      </c>
      <c r="W512" s="28">
        <v>0</v>
      </c>
      <c r="X512" s="2">
        <f t="shared" si="231"/>
        <v>0</v>
      </c>
      <c r="Y512" s="2">
        <v>0</v>
      </c>
      <c r="Z512" s="2">
        <v>0</v>
      </c>
      <c r="AA512" s="2">
        <f t="shared" si="232"/>
        <v>8451</v>
      </c>
      <c r="AB512" s="2">
        <v>8451</v>
      </c>
      <c r="AC512" s="2">
        <v>0</v>
      </c>
      <c r="AD512" s="16">
        <f t="shared" si="227"/>
        <v>422550</v>
      </c>
      <c r="AE512" s="2">
        <v>0</v>
      </c>
      <c r="AF512" s="2">
        <f t="shared" si="233"/>
        <v>422550</v>
      </c>
      <c r="AG512" s="38" t="s">
        <v>486</v>
      </c>
      <c r="AH512" s="29"/>
      <c r="AI512" s="118">
        <v>0</v>
      </c>
      <c r="AJ512" s="30">
        <v>0</v>
      </c>
      <c r="AK512" s="179"/>
    </row>
    <row r="513" spans="1:37" s="43" customFormat="1" ht="152.25" customHeight="1" x14ac:dyDescent="0.25">
      <c r="A513" s="6">
        <v>510</v>
      </c>
      <c r="B513" s="31">
        <v>151059</v>
      </c>
      <c r="C513" s="11">
        <v>931</v>
      </c>
      <c r="D513" s="11" t="s">
        <v>1638</v>
      </c>
      <c r="E513" s="24" t="s">
        <v>2258</v>
      </c>
      <c r="F513" s="31" t="s">
        <v>2473</v>
      </c>
      <c r="G513" s="27" t="s">
        <v>2472</v>
      </c>
      <c r="H513" s="8" t="s">
        <v>151</v>
      </c>
      <c r="I513" s="46" t="s">
        <v>2474</v>
      </c>
      <c r="J513" s="25">
        <v>44764</v>
      </c>
      <c r="K513" s="25">
        <v>45129</v>
      </c>
      <c r="L513" s="26">
        <f t="shared" si="228"/>
        <v>83.300001364759183</v>
      </c>
      <c r="M513" s="11">
        <v>5</v>
      </c>
      <c r="N513" s="11" t="s">
        <v>230</v>
      </c>
      <c r="O513" s="11" t="s">
        <v>230</v>
      </c>
      <c r="P513" s="11" t="s">
        <v>274</v>
      </c>
      <c r="Q513" s="11" t="s">
        <v>34</v>
      </c>
      <c r="R513" s="2">
        <f t="shared" si="229"/>
        <v>244145.64</v>
      </c>
      <c r="S513" s="2">
        <v>244145.64</v>
      </c>
      <c r="T513" s="2">
        <v>0</v>
      </c>
      <c r="U513" s="2">
        <f t="shared" si="230"/>
        <v>43084.52</v>
      </c>
      <c r="V513" s="28">
        <v>43084.52</v>
      </c>
      <c r="W513" s="28">
        <v>0</v>
      </c>
      <c r="X513" s="2">
        <f t="shared" si="231"/>
        <v>0</v>
      </c>
      <c r="Y513" s="2">
        <v>0</v>
      </c>
      <c r="Z513" s="2">
        <v>0</v>
      </c>
      <c r="AA513" s="2">
        <f t="shared" si="232"/>
        <v>5861.84</v>
      </c>
      <c r="AB513" s="2">
        <v>5861.84</v>
      </c>
      <c r="AC513" s="2">
        <v>0</v>
      </c>
      <c r="AD513" s="16">
        <f t="shared" si="227"/>
        <v>293092.00000000006</v>
      </c>
      <c r="AE513" s="2">
        <v>0</v>
      </c>
      <c r="AF513" s="2">
        <f t="shared" si="233"/>
        <v>293092.00000000006</v>
      </c>
      <c r="AG513" s="38" t="s">
        <v>486</v>
      </c>
      <c r="AH513" s="29"/>
      <c r="AI513" s="118">
        <v>29300</v>
      </c>
      <c r="AJ513" s="30">
        <v>0</v>
      </c>
      <c r="AK513" s="179"/>
    </row>
    <row r="514" spans="1:37" s="43" customFormat="1" ht="152.25" customHeight="1" x14ac:dyDescent="0.25">
      <c r="A514" s="6">
        <v>511</v>
      </c>
      <c r="B514" s="31">
        <v>151573</v>
      </c>
      <c r="C514" s="11">
        <v>953</v>
      </c>
      <c r="D514" s="11" t="s">
        <v>1638</v>
      </c>
      <c r="E514" s="24" t="s">
        <v>2258</v>
      </c>
      <c r="F514" s="31" t="s">
        <v>2476</v>
      </c>
      <c r="G514" s="27" t="s">
        <v>2475</v>
      </c>
      <c r="H514" s="8" t="s">
        <v>151</v>
      </c>
      <c r="I514" s="46" t="s">
        <v>2478</v>
      </c>
      <c r="J514" s="25">
        <v>44763</v>
      </c>
      <c r="K514" s="25">
        <v>45190</v>
      </c>
      <c r="L514" s="26">
        <f t="shared" si="228"/>
        <v>83.300002193051924</v>
      </c>
      <c r="M514" s="11">
        <v>2</v>
      </c>
      <c r="N514" s="11" t="s">
        <v>280</v>
      </c>
      <c r="O514" s="11" t="s">
        <v>2477</v>
      </c>
      <c r="P514" s="11" t="s">
        <v>274</v>
      </c>
      <c r="Q514" s="11" t="s">
        <v>34</v>
      </c>
      <c r="R514" s="2">
        <f t="shared" si="229"/>
        <v>341852.38</v>
      </c>
      <c r="S514" s="2">
        <v>341852.38</v>
      </c>
      <c r="T514" s="2">
        <v>0</v>
      </c>
      <c r="U514" s="2">
        <f t="shared" si="230"/>
        <v>60326.879999999997</v>
      </c>
      <c r="V514" s="28">
        <v>60326.879999999997</v>
      </c>
      <c r="W514" s="28">
        <v>0</v>
      </c>
      <c r="X514" s="2">
        <f t="shared" si="231"/>
        <v>0</v>
      </c>
      <c r="Y514" s="2">
        <v>0</v>
      </c>
      <c r="Z514" s="2">
        <v>0</v>
      </c>
      <c r="AA514" s="2">
        <f t="shared" si="232"/>
        <v>8207.74</v>
      </c>
      <c r="AB514" s="2">
        <v>8207.74</v>
      </c>
      <c r="AC514" s="2">
        <v>0</v>
      </c>
      <c r="AD514" s="16">
        <f t="shared" si="227"/>
        <v>410387</v>
      </c>
      <c r="AE514" s="2">
        <v>0</v>
      </c>
      <c r="AF514" s="2">
        <f t="shared" si="233"/>
        <v>410387</v>
      </c>
      <c r="AG514" s="38" t="s">
        <v>486</v>
      </c>
      <c r="AH514" s="29"/>
      <c r="AI514" s="118">
        <v>41038.699999999997</v>
      </c>
      <c r="AJ514" s="30">
        <v>0</v>
      </c>
      <c r="AK514" s="179"/>
    </row>
    <row r="515" spans="1:37" s="43" customFormat="1" ht="152.25" customHeight="1" x14ac:dyDescent="0.25">
      <c r="A515" s="6">
        <v>512</v>
      </c>
      <c r="B515" s="31">
        <v>151016</v>
      </c>
      <c r="C515" s="11">
        <v>1028</v>
      </c>
      <c r="D515" s="11" t="s">
        <v>1638</v>
      </c>
      <c r="E515" s="24" t="s">
        <v>2258</v>
      </c>
      <c r="F515" s="31" t="s">
        <v>2480</v>
      </c>
      <c r="G515" s="27" t="s">
        <v>2479</v>
      </c>
      <c r="H515" s="8" t="s">
        <v>151</v>
      </c>
      <c r="I515" s="46" t="s">
        <v>2903</v>
      </c>
      <c r="J515" s="25">
        <v>44764</v>
      </c>
      <c r="K515" s="25">
        <v>45191</v>
      </c>
      <c r="L515" s="26">
        <f t="shared" si="228"/>
        <v>83.300000000000011</v>
      </c>
      <c r="M515" s="11">
        <v>3</v>
      </c>
      <c r="N515" s="11" t="s">
        <v>254</v>
      </c>
      <c r="O515" s="11" t="s">
        <v>2481</v>
      </c>
      <c r="P515" s="11" t="s">
        <v>274</v>
      </c>
      <c r="Q515" s="11" t="s">
        <v>34</v>
      </c>
      <c r="R515" s="2">
        <f t="shared" si="229"/>
        <v>352767.17</v>
      </c>
      <c r="S515" s="2">
        <v>352767.17</v>
      </c>
      <c r="T515" s="2">
        <v>0</v>
      </c>
      <c r="U515" s="2">
        <f t="shared" si="230"/>
        <v>62253.03</v>
      </c>
      <c r="V515" s="28">
        <v>62253.03</v>
      </c>
      <c r="W515" s="28">
        <v>0</v>
      </c>
      <c r="X515" s="2">
        <f t="shared" si="231"/>
        <v>0</v>
      </c>
      <c r="Y515" s="2">
        <v>0</v>
      </c>
      <c r="Z515" s="2">
        <v>0</v>
      </c>
      <c r="AA515" s="2">
        <f t="shared" si="232"/>
        <v>8469.7999999999993</v>
      </c>
      <c r="AB515" s="2">
        <v>8469.7999999999993</v>
      </c>
      <c r="AC515" s="2">
        <v>0</v>
      </c>
      <c r="AD515" s="16">
        <f t="shared" si="227"/>
        <v>423489.99999999994</v>
      </c>
      <c r="AE515" s="2">
        <v>0</v>
      </c>
      <c r="AF515" s="2">
        <f t="shared" si="233"/>
        <v>423489.99999999994</v>
      </c>
      <c r="AG515" s="38" t="s">
        <v>486</v>
      </c>
      <c r="AH515" s="29"/>
      <c r="AI515" s="118">
        <v>42349</v>
      </c>
      <c r="AJ515" s="30">
        <v>0</v>
      </c>
      <c r="AK515" s="179"/>
    </row>
    <row r="516" spans="1:37" s="43" customFormat="1" ht="152.25" customHeight="1" x14ac:dyDescent="0.25">
      <c r="A516" s="6">
        <v>513</v>
      </c>
      <c r="B516" s="31">
        <v>151553</v>
      </c>
      <c r="C516" s="11">
        <v>1069</v>
      </c>
      <c r="D516" s="11" t="s">
        <v>1638</v>
      </c>
      <c r="E516" s="24" t="s">
        <v>2258</v>
      </c>
      <c r="F516" s="31" t="s">
        <v>2484</v>
      </c>
      <c r="G516" s="27" t="s">
        <v>2483</v>
      </c>
      <c r="H516" s="8" t="s">
        <v>2479</v>
      </c>
      <c r="I516" s="46" t="s">
        <v>2904</v>
      </c>
      <c r="J516" s="25">
        <v>44763</v>
      </c>
      <c r="K516" s="25">
        <v>45190</v>
      </c>
      <c r="L516" s="26">
        <f t="shared" si="228"/>
        <v>83.300000352806663</v>
      </c>
      <c r="M516" s="11">
        <v>4</v>
      </c>
      <c r="N516" s="11" t="s">
        <v>248</v>
      </c>
      <c r="O516" s="11" t="s">
        <v>2482</v>
      </c>
      <c r="P516" s="11" t="s">
        <v>274</v>
      </c>
      <c r="Q516" s="11" t="s">
        <v>34</v>
      </c>
      <c r="R516" s="2">
        <f t="shared" si="229"/>
        <v>344715.71</v>
      </c>
      <c r="S516" s="2">
        <v>344715.71</v>
      </c>
      <c r="T516" s="2">
        <v>0</v>
      </c>
      <c r="U516" s="2">
        <f t="shared" si="230"/>
        <v>60832.18</v>
      </c>
      <c r="V516" s="28">
        <v>60832.18</v>
      </c>
      <c r="W516" s="28">
        <v>0</v>
      </c>
      <c r="X516" s="2">
        <f t="shared" si="231"/>
        <v>0</v>
      </c>
      <c r="Y516" s="2">
        <v>0</v>
      </c>
      <c r="Z516" s="2">
        <v>0</v>
      </c>
      <c r="AA516" s="2">
        <f t="shared" si="232"/>
        <v>8276.49</v>
      </c>
      <c r="AB516" s="2">
        <v>8276.49</v>
      </c>
      <c r="AC516" s="2">
        <v>0</v>
      </c>
      <c r="AD516" s="16">
        <f t="shared" si="227"/>
        <v>413824.38</v>
      </c>
      <c r="AE516" s="2">
        <v>0</v>
      </c>
      <c r="AF516" s="2">
        <f t="shared" si="233"/>
        <v>413824.38</v>
      </c>
      <c r="AG516" s="38" t="s">
        <v>486</v>
      </c>
      <c r="AH516" s="29"/>
      <c r="AI516" s="118">
        <v>41382.43</v>
      </c>
      <c r="AJ516" s="30">
        <v>0</v>
      </c>
      <c r="AK516" s="179"/>
    </row>
    <row r="517" spans="1:37" s="43" customFormat="1" ht="152.25" customHeight="1" x14ac:dyDescent="0.25">
      <c r="A517" s="6">
        <v>514</v>
      </c>
      <c r="B517" s="31">
        <v>150220</v>
      </c>
      <c r="C517" s="11">
        <v>898</v>
      </c>
      <c r="D517" s="11" t="s">
        <v>1638</v>
      </c>
      <c r="E517" s="24" t="s">
        <v>2258</v>
      </c>
      <c r="F517" s="31" t="s">
        <v>2490</v>
      </c>
      <c r="G517" s="27" t="s">
        <v>2489</v>
      </c>
      <c r="H517" s="8" t="s">
        <v>151</v>
      </c>
      <c r="I517" s="46" t="s">
        <v>2492</v>
      </c>
      <c r="J517" s="25">
        <v>44768</v>
      </c>
      <c r="K517" s="25">
        <v>45133</v>
      </c>
      <c r="L517" s="26">
        <f t="shared" si="228"/>
        <v>83.300002220603204</v>
      </c>
      <c r="M517" s="11">
        <v>7</v>
      </c>
      <c r="N517" s="11" t="s">
        <v>194</v>
      </c>
      <c r="O517" s="11" t="s">
        <v>2491</v>
      </c>
      <c r="P517" s="11" t="s">
        <v>274</v>
      </c>
      <c r="Q517" s="11" t="s">
        <v>34</v>
      </c>
      <c r="R517" s="2">
        <f t="shared" si="229"/>
        <v>333484.62</v>
      </c>
      <c r="S517" s="2">
        <v>333484.62</v>
      </c>
      <c r="T517" s="2">
        <v>0</v>
      </c>
      <c r="U517" s="2">
        <f t="shared" si="230"/>
        <v>58850.21</v>
      </c>
      <c r="V517" s="28">
        <v>58850.21</v>
      </c>
      <c r="W517" s="28">
        <v>0</v>
      </c>
      <c r="X517" s="2">
        <f t="shared" si="231"/>
        <v>0</v>
      </c>
      <c r="Y517" s="2">
        <v>0</v>
      </c>
      <c r="Z517" s="2">
        <v>0</v>
      </c>
      <c r="AA517" s="2">
        <f t="shared" si="232"/>
        <v>8006.84</v>
      </c>
      <c r="AB517" s="2">
        <v>8006.84</v>
      </c>
      <c r="AC517" s="2">
        <v>0</v>
      </c>
      <c r="AD517" s="16">
        <f t="shared" ref="AD517:AD580" si="234">R517+U517+X517+AA517</f>
        <v>400341.67000000004</v>
      </c>
      <c r="AE517" s="2">
        <v>0</v>
      </c>
      <c r="AF517" s="2">
        <f t="shared" si="233"/>
        <v>400341.67000000004</v>
      </c>
      <c r="AG517" s="38" t="s">
        <v>486</v>
      </c>
      <c r="AH517" s="29"/>
      <c r="AI517" s="118">
        <v>0</v>
      </c>
      <c r="AJ517" s="30">
        <v>0</v>
      </c>
      <c r="AK517" s="179"/>
    </row>
    <row r="518" spans="1:37" s="43" customFormat="1" ht="152.25" customHeight="1" x14ac:dyDescent="0.25">
      <c r="A518" s="6">
        <v>515</v>
      </c>
      <c r="B518" s="31">
        <v>151009</v>
      </c>
      <c r="C518" s="11">
        <v>1027</v>
      </c>
      <c r="D518" s="11" t="s">
        <v>1638</v>
      </c>
      <c r="E518" s="24" t="s">
        <v>2258</v>
      </c>
      <c r="F518" s="31" t="s">
        <v>2494</v>
      </c>
      <c r="G518" s="27" t="s">
        <v>2493</v>
      </c>
      <c r="H518" s="8" t="s">
        <v>151</v>
      </c>
      <c r="I518" s="46" t="s">
        <v>2905</v>
      </c>
      <c r="J518" s="25">
        <v>44768</v>
      </c>
      <c r="K518" s="25">
        <v>45195</v>
      </c>
      <c r="L518" s="26">
        <f t="shared" si="228"/>
        <v>83.299998579396231</v>
      </c>
      <c r="M518" s="11" t="s">
        <v>2495</v>
      </c>
      <c r="N518" s="11" t="s">
        <v>2497</v>
      </c>
      <c r="O518" s="11" t="s">
        <v>2496</v>
      </c>
      <c r="P518" s="11" t="s">
        <v>274</v>
      </c>
      <c r="Q518" s="11" t="s">
        <v>34</v>
      </c>
      <c r="R518" s="2">
        <f t="shared" si="229"/>
        <v>213438.82</v>
      </c>
      <c r="S518" s="2">
        <v>213438.82</v>
      </c>
      <c r="T518" s="2">
        <v>0</v>
      </c>
      <c r="U518" s="2">
        <f t="shared" si="230"/>
        <v>37665.67</v>
      </c>
      <c r="V518" s="28">
        <v>37665.67</v>
      </c>
      <c r="W518" s="28">
        <v>0</v>
      </c>
      <c r="X518" s="2">
        <f t="shared" si="231"/>
        <v>0</v>
      </c>
      <c r="Y518" s="2">
        <v>0</v>
      </c>
      <c r="Z518" s="2">
        <v>0</v>
      </c>
      <c r="AA518" s="2">
        <f t="shared" si="232"/>
        <v>5124.59</v>
      </c>
      <c r="AB518" s="2">
        <v>5124.59</v>
      </c>
      <c r="AC518" s="2">
        <v>0</v>
      </c>
      <c r="AD518" s="16">
        <f t="shared" si="234"/>
        <v>256229.08</v>
      </c>
      <c r="AE518" s="2">
        <v>0</v>
      </c>
      <c r="AF518" s="2">
        <f t="shared" si="233"/>
        <v>256229.08</v>
      </c>
      <c r="AG518" s="38" t="s">
        <v>486</v>
      </c>
      <c r="AH518" s="29"/>
      <c r="AI518" s="118">
        <v>25622.9</v>
      </c>
      <c r="AJ518" s="30">
        <v>0</v>
      </c>
      <c r="AK518" s="179"/>
    </row>
    <row r="519" spans="1:37" s="43" customFormat="1" ht="152.25" customHeight="1" x14ac:dyDescent="0.25">
      <c r="A519" s="6">
        <v>516</v>
      </c>
      <c r="B519" s="31">
        <v>151548</v>
      </c>
      <c r="C519" s="11">
        <v>1067</v>
      </c>
      <c r="D519" s="11" t="s">
        <v>1638</v>
      </c>
      <c r="E519" s="24" t="s">
        <v>2258</v>
      </c>
      <c r="F519" s="31" t="s">
        <v>2499</v>
      </c>
      <c r="G519" s="27" t="s">
        <v>2498</v>
      </c>
      <c r="H519" s="11" t="s">
        <v>2500</v>
      </c>
      <c r="I519" s="46" t="s">
        <v>2501</v>
      </c>
      <c r="J519" s="25">
        <v>44768</v>
      </c>
      <c r="K519" s="25">
        <v>45133</v>
      </c>
      <c r="L519" s="26">
        <f t="shared" si="228"/>
        <v>83.299997672751331</v>
      </c>
      <c r="M519" s="11">
        <v>1</v>
      </c>
      <c r="N519" s="11" t="s">
        <v>361</v>
      </c>
      <c r="O519" s="11" t="s">
        <v>361</v>
      </c>
      <c r="P519" s="11" t="s">
        <v>274</v>
      </c>
      <c r="Q519" s="11" t="s">
        <v>34</v>
      </c>
      <c r="R519" s="2">
        <f t="shared" si="229"/>
        <v>353996.11</v>
      </c>
      <c r="S519" s="2">
        <v>353996.11</v>
      </c>
      <c r="T519" s="2">
        <v>0</v>
      </c>
      <c r="U519" s="2">
        <f t="shared" si="230"/>
        <v>62469.91</v>
      </c>
      <c r="V519" s="28">
        <v>62469.91</v>
      </c>
      <c r="W519" s="28">
        <v>0</v>
      </c>
      <c r="X519" s="2">
        <f t="shared" si="231"/>
        <v>0</v>
      </c>
      <c r="Y519" s="2">
        <v>0</v>
      </c>
      <c r="Z519" s="2">
        <v>0</v>
      </c>
      <c r="AA519" s="2">
        <f t="shared" si="232"/>
        <v>8499.31</v>
      </c>
      <c r="AB519" s="2">
        <v>8499.31</v>
      </c>
      <c r="AC519" s="2">
        <v>0</v>
      </c>
      <c r="AD519" s="16">
        <f t="shared" si="234"/>
        <v>424965.33</v>
      </c>
      <c r="AE519" s="2">
        <v>0</v>
      </c>
      <c r="AF519" s="2">
        <f t="shared" si="233"/>
        <v>424965.33</v>
      </c>
      <c r="AG519" s="38" t="s">
        <v>486</v>
      </c>
      <c r="AH519" s="29"/>
      <c r="AI519" s="118">
        <v>42496.53</v>
      </c>
      <c r="AJ519" s="30">
        <v>0</v>
      </c>
      <c r="AK519" s="179"/>
    </row>
    <row r="520" spans="1:37" s="43" customFormat="1" ht="152.25" customHeight="1" x14ac:dyDescent="0.25">
      <c r="A520" s="6">
        <v>517</v>
      </c>
      <c r="B520" s="31">
        <v>150980</v>
      </c>
      <c r="C520" s="11">
        <v>877</v>
      </c>
      <c r="D520" s="11" t="s">
        <v>1638</v>
      </c>
      <c r="E520" s="24" t="s">
        <v>2258</v>
      </c>
      <c r="F520" s="31" t="s">
        <v>2503</v>
      </c>
      <c r="G520" s="27" t="s">
        <v>2502</v>
      </c>
      <c r="H520" s="8" t="s">
        <v>2504</v>
      </c>
      <c r="I520" s="46" t="s">
        <v>2505</v>
      </c>
      <c r="J520" s="25">
        <v>44769</v>
      </c>
      <c r="K520" s="25">
        <v>45196</v>
      </c>
      <c r="L520" s="26">
        <f t="shared" si="228"/>
        <v>83.300000979523077</v>
      </c>
      <c r="M520" s="11">
        <v>2</v>
      </c>
      <c r="N520" s="11" t="s">
        <v>485</v>
      </c>
      <c r="O520" s="11" t="s">
        <v>2024</v>
      </c>
      <c r="P520" s="11" t="s">
        <v>274</v>
      </c>
      <c r="Q520" s="11" t="s">
        <v>34</v>
      </c>
      <c r="R520" s="2">
        <f t="shared" si="229"/>
        <v>340165.55</v>
      </c>
      <c r="S520" s="2">
        <v>340165.55</v>
      </c>
      <c r="T520" s="2">
        <v>0</v>
      </c>
      <c r="U520" s="2">
        <f t="shared" si="230"/>
        <v>60029.21</v>
      </c>
      <c r="V520" s="28">
        <v>60029.21</v>
      </c>
      <c r="W520" s="28">
        <v>0</v>
      </c>
      <c r="X520" s="2">
        <f t="shared" si="231"/>
        <v>0</v>
      </c>
      <c r="Y520" s="2">
        <v>0</v>
      </c>
      <c r="Z520" s="2">
        <v>0</v>
      </c>
      <c r="AA520" s="2">
        <f t="shared" si="232"/>
        <v>8167.24</v>
      </c>
      <c r="AB520" s="2">
        <v>8167.24</v>
      </c>
      <c r="AC520" s="2">
        <v>0</v>
      </c>
      <c r="AD520" s="16">
        <f t="shared" si="234"/>
        <v>408362</v>
      </c>
      <c r="AE520" s="2">
        <v>0</v>
      </c>
      <c r="AF520" s="2">
        <f t="shared" si="233"/>
        <v>408362</v>
      </c>
      <c r="AG520" s="38" t="s">
        <v>486</v>
      </c>
      <c r="AH520" s="29"/>
      <c r="AI520" s="118">
        <v>35046</v>
      </c>
      <c r="AJ520" s="30">
        <v>0</v>
      </c>
      <c r="AK520" s="179"/>
    </row>
    <row r="521" spans="1:37" s="43" customFormat="1" ht="152.25" customHeight="1" x14ac:dyDescent="0.25">
      <c r="A521" s="6">
        <v>518</v>
      </c>
      <c r="B521" s="31">
        <v>151243</v>
      </c>
      <c r="C521" s="11">
        <v>878</v>
      </c>
      <c r="D521" s="11" t="s">
        <v>1638</v>
      </c>
      <c r="E521" s="24" t="s">
        <v>2258</v>
      </c>
      <c r="F521" s="31" t="s">
        <v>2507</v>
      </c>
      <c r="G521" s="27" t="s">
        <v>2506</v>
      </c>
      <c r="H521" s="8" t="s">
        <v>151</v>
      </c>
      <c r="I521" s="46" t="s">
        <v>2906</v>
      </c>
      <c r="J521" s="25">
        <v>44769</v>
      </c>
      <c r="K521" s="25">
        <v>45196</v>
      </c>
      <c r="L521" s="26">
        <f t="shared" si="228"/>
        <v>83.300004749894256</v>
      </c>
      <c r="M521" s="11">
        <v>4</v>
      </c>
      <c r="N521" s="11" t="s">
        <v>248</v>
      </c>
      <c r="O521" s="11" t="s">
        <v>2508</v>
      </c>
      <c r="P521" s="11" t="s">
        <v>274</v>
      </c>
      <c r="Q521" s="11" t="s">
        <v>34</v>
      </c>
      <c r="R521" s="2">
        <f t="shared" si="229"/>
        <v>350043.18</v>
      </c>
      <c r="S521" s="2">
        <v>350043.18</v>
      </c>
      <c r="T521" s="2">
        <v>0</v>
      </c>
      <c r="U521" s="2">
        <f t="shared" si="230"/>
        <v>61772.31</v>
      </c>
      <c r="V521" s="28">
        <v>61772.31</v>
      </c>
      <c r="W521" s="28">
        <v>0</v>
      </c>
      <c r="X521" s="2">
        <f t="shared" si="231"/>
        <v>0</v>
      </c>
      <c r="Y521" s="2">
        <v>0</v>
      </c>
      <c r="Z521" s="2">
        <v>0</v>
      </c>
      <c r="AA521" s="2">
        <f t="shared" si="232"/>
        <v>8404.39</v>
      </c>
      <c r="AB521" s="2">
        <v>8404.39</v>
      </c>
      <c r="AC521" s="2">
        <v>0</v>
      </c>
      <c r="AD521" s="16">
        <f t="shared" si="234"/>
        <v>420219.88</v>
      </c>
      <c r="AE521" s="2">
        <v>0</v>
      </c>
      <c r="AF521" s="2">
        <f t="shared" si="233"/>
        <v>420219.88</v>
      </c>
      <c r="AG521" s="38" t="s">
        <v>486</v>
      </c>
      <c r="AH521" s="29"/>
      <c r="AI521" s="118">
        <v>40000</v>
      </c>
      <c r="AJ521" s="30">
        <v>0</v>
      </c>
      <c r="AK521" s="179"/>
    </row>
    <row r="522" spans="1:37" s="43" customFormat="1" ht="152.25" customHeight="1" x14ac:dyDescent="0.25">
      <c r="A522" s="6">
        <v>519</v>
      </c>
      <c r="B522" s="31">
        <v>151364</v>
      </c>
      <c r="C522" s="11">
        <v>913</v>
      </c>
      <c r="D522" s="11" t="s">
        <v>1638</v>
      </c>
      <c r="E522" s="24" t="s">
        <v>2258</v>
      </c>
      <c r="F522" s="31" t="s">
        <v>2510</v>
      </c>
      <c r="G522" s="27" t="s">
        <v>2509</v>
      </c>
      <c r="H522" s="8" t="s">
        <v>151</v>
      </c>
      <c r="I522" s="46" t="s">
        <v>2511</v>
      </c>
      <c r="J522" s="25">
        <v>44769</v>
      </c>
      <c r="K522" s="25">
        <v>45196</v>
      </c>
      <c r="L522" s="26">
        <f t="shared" si="228"/>
        <v>83.300002128852896</v>
      </c>
      <c r="M522" s="11">
        <v>6</v>
      </c>
      <c r="N522" s="11" t="s">
        <v>182</v>
      </c>
      <c r="O522" s="11" t="s">
        <v>2512</v>
      </c>
      <c r="P522" s="11" t="s">
        <v>274</v>
      </c>
      <c r="Q522" s="11" t="s">
        <v>34</v>
      </c>
      <c r="R522" s="2">
        <f t="shared" ref="R522:R584" si="235">S522+T522</f>
        <v>346683.43</v>
      </c>
      <c r="S522" s="2">
        <v>346683.43</v>
      </c>
      <c r="T522" s="2">
        <v>0</v>
      </c>
      <c r="U522" s="2">
        <f t="shared" ref="U522:U584" si="236">V522+W522</f>
        <v>61179.43</v>
      </c>
      <c r="V522" s="28">
        <v>61179.43</v>
      </c>
      <c r="W522" s="28">
        <v>0</v>
      </c>
      <c r="X522" s="2">
        <f t="shared" ref="X522:X584" si="237">Y522+Z522</f>
        <v>0</v>
      </c>
      <c r="Y522" s="2">
        <v>0</v>
      </c>
      <c r="Z522" s="2">
        <v>0</v>
      </c>
      <c r="AA522" s="2">
        <f t="shared" ref="AA522:AA584" si="238">AB522+AC522</f>
        <v>8323.7199999999993</v>
      </c>
      <c r="AB522" s="2">
        <v>8323.7199999999993</v>
      </c>
      <c r="AC522" s="2">
        <v>0</v>
      </c>
      <c r="AD522" s="16">
        <f t="shared" si="234"/>
        <v>416186.57999999996</v>
      </c>
      <c r="AE522" s="2">
        <v>0</v>
      </c>
      <c r="AF522" s="2">
        <f t="shared" ref="AF522:AF584" si="239">AD522+AE522</f>
        <v>416186.57999999996</v>
      </c>
      <c r="AG522" s="38" t="s">
        <v>486</v>
      </c>
      <c r="AH522" s="29"/>
      <c r="AI522" s="118">
        <v>41618.65</v>
      </c>
      <c r="AJ522" s="30">
        <v>0</v>
      </c>
      <c r="AK522" s="179"/>
    </row>
    <row r="523" spans="1:37" s="43" customFormat="1" ht="152.25" customHeight="1" x14ac:dyDescent="0.25">
      <c r="A523" s="6">
        <v>520</v>
      </c>
      <c r="B523" s="31">
        <v>151466</v>
      </c>
      <c r="C523" s="11">
        <v>918</v>
      </c>
      <c r="D523" s="11" t="s">
        <v>1638</v>
      </c>
      <c r="E523" s="24" t="s">
        <v>2258</v>
      </c>
      <c r="F523" s="31" t="s">
        <v>2514</v>
      </c>
      <c r="G523" s="27" t="s">
        <v>2513</v>
      </c>
      <c r="H523" s="11" t="s">
        <v>2515</v>
      </c>
      <c r="I523" s="46" t="s">
        <v>2907</v>
      </c>
      <c r="J523" s="25">
        <v>44769</v>
      </c>
      <c r="K523" s="25">
        <v>45165</v>
      </c>
      <c r="L523" s="26">
        <f t="shared" si="228"/>
        <v>83.300004644812148</v>
      </c>
      <c r="M523" s="11">
        <v>2</v>
      </c>
      <c r="N523" s="11" t="s">
        <v>1919</v>
      </c>
      <c r="O523" s="11" t="s">
        <v>2516</v>
      </c>
      <c r="P523" s="11" t="s">
        <v>274</v>
      </c>
      <c r="Q523" s="11" t="s">
        <v>34</v>
      </c>
      <c r="R523" s="2">
        <f t="shared" si="235"/>
        <v>353299.56</v>
      </c>
      <c r="S523" s="2">
        <v>353299.56</v>
      </c>
      <c r="T523" s="2">
        <v>0</v>
      </c>
      <c r="U523" s="2">
        <f t="shared" si="236"/>
        <v>62346.95</v>
      </c>
      <c r="V523" s="28">
        <v>62346.95</v>
      </c>
      <c r="W523" s="28">
        <v>0</v>
      </c>
      <c r="X523" s="2">
        <f t="shared" si="237"/>
        <v>0</v>
      </c>
      <c r="Y523" s="2">
        <v>0</v>
      </c>
      <c r="Z523" s="2">
        <v>0</v>
      </c>
      <c r="AA523" s="2">
        <f t="shared" si="238"/>
        <v>8482.59</v>
      </c>
      <c r="AB523" s="2">
        <v>8482.59</v>
      </c>
      <c r="AC523" s="2">
        <v>0</v>
      </c>
      <c r="AD523" s="16">
        <f t="shared" si="234"/>
        <v>424129.10000000003</v>
      </c>
      <c r="AE523" s="2">
        <v>0</v>
      </c>
      <c r="AF523" s="2">
        <f t="shared" si="239"/>
        <v>424129.10000000003</v>
      </c>
      <c r="AG523" s="38" t="s">
        <v>486</v>
      </c>
      <c r="AH523" s="29"/>
      <c r="AI523" s="118">
        <v>42412.9</v>
      </c>
      <c r="AJ523" s="30">
        <v>0</v>
      </c>
      <c r="AK523" s="179"/>
    </row>
    <row r="524" spans="1:37" s="43" customFormat="1" ht="152.25" customHeight="1" x14ac:dyDescent="0.25">
      <c r="A524" s="6">
        <v>521</v>
      </c>
      <c r="B524" s="31">
        <v>150693</v>
      </c>
      <c r="C524" s="11">
        <v>926</v>
      </c>
      <c r="D524" s="11" t="s">
        <v>1638</v>
      </c>
      <c r="E524" s="24" t="s">
        <v>2258</v>
      </c>
      <c r="F524" s="31" t="s">
        <v>2518</v>
      </c>
      <c r="G524" s="27" t="s">
        <v>2517</v>
      </c>
      <c r="H524" s="8" t="s">
        <v>151</v>
      </c>
      <c r="I524" s="46" t="s">
        <v>2908</v>
      </c>
      <c r="J524" s="25">
        <v>44769</v>
      </c>
      <c r="K524" s="25">
        <v>45196</v>
      </c>
      <c r="L524" s="26">
        <f t="shared" si="228"/>
        <v>83.300005100806985</v>
      </c>
      <c r="M524" s="11">
        <v>7</v>
      </c>
      <c r="N524" s="11" t="s">
        <v>194</v>
      </c>
      <c r="O524" s="11" t="s">
        <v>194</v>
      </c>
      <c r="P524" s="11" t="s">
        <v>274</v>
      </c>
      <c r="Q524" s="11" t="s">
        <v>34</v>
      </c>
      <c r="R524" s="2">
        <f t="shared" si="235"/>
        <v>300159.19</v>
      </c>
      <c r="S524" s="2">
        <v>300159.19</v>
      </c>
      <c r="T524" s="2">
        <v>0</v>
      </c>
      <c r="U524" s="2">
        <f t="shared" si="236"/>
        <v>52969.25</v>
      </c>
      <c r="V524" s="28">
        <v>52969.25</v>
      </c>
      <c r="W524" s="28">
        <v>0</v>
      </c>
      <c r="X524" s="2">
        <f t="shared" si="237"/>
        <v>0</v>
      </c>
      <c r="Y524" s="2">
        <v>0</v>
      </c>
      <c r="Z524" s="2">
        <v>0</v>
      </c>
      <c r="AA524" s="2">
        <f t="shared" si="238"/>
        <v>7206.7</v>
      </c>
      <c r="AB524" s="2">
        <v>7206.7</v>
      </c>
      <c r="AC524" s="2">
        <v>0</v>
      </c>
      <c r="AD524" s="16">
        <f t="shared" si="234"/>
        <v>360335.14</v>
      </c>
      <c r="AE524" s="2">
        <v>0</v>
      </c>
      <c r="AF524" s="2">
        <f t="shared" si="239"/>
        <v>360335.14</v>
      </c>
      <c r="AG524" s="38" t="s">
        <v>486</v>
      </c>
      <c r="AH524" s="29"/>
      <c r="AI524" s="118">
        <v>36033.51</v>
      </c>
      <c r="AJ524" s="30">
        <v>0</v>
      </c>
      <c r="AK524" s="179"/>
    </row>
    <row r="525" spans="1:37" s="43" customFormat="1" ht="152.25" customHeight="1" x14ac:dyDescent="0.25">
      <c r="A525" s="6">
        <v>522</v>
      </c>
      <c r="B525" s="31">
        <v>151072</v>
      </c>
      <c r="C525" s="11">
        <v>932</v>
      </c>
      <c r="D525" s="11" t="s">
        <v>1638</v>
      </c>
      <c r="E525" s="24" t="s">
        <v>2258</v>
      </c>
      <c r="F525" s="31" t="s">
        <v>2520</v>
      </c>
      <c r="G525" s="27" t="s">
        <v>2519</v>
      </c>
      <c r="H525" s="8" t="s">
        <v>151</v>
      </c>
      <c r="I525" s="46" t="s">
        <v>2909</v>
      </c>
      <c r="J525" s="25">
        <v>44769</v>
      </c>
      <c r="K525" s="25">
        <v>45134</v>
      </c>
      <c r="L525" s="26">
        <f t="shared" si="228"/>
        <v>83.299998602433234</v>
      </c>
      <c r="M525" s="11">
        <v>3</v>
      </c>
      <c r="N525" s="11" t="s">
        <v>254</v>
      </c>
      <c r="O525" s="11" t="s">
        <v>255</v>
      </c>
      <c r="P525" s="11" t="s">
        <v>274</v>
      </c>
      <c r="Q525" s="11" t="s">
        <v>34</v>
      </c>
      <c r="R525" s="2">
        <f t="shared" si="235"/>
        <v>351661.19</v>
      </c>
      <c r="S525" s="2">
        <v>351661.19</v>
      </c>
      <c r="T525" s="2">
        <v>0</v>
      </c>
      <c r="U525" s="2">
        <f t="shared" si="236"/>
        <v>62057.86</v>
      </c>
      <c r="V525" s="28">
        <v>62057.86</v>
      </c>
      <c r="W525" s="28">
        <v>0</v>
      </c>
      <c r="X525" s="2">
        <f t="shared" si="237"/>
        <v>0</v>
      </c>
      <c r="Y525" s="2">
        <v>0</v>
      </c>
      <c r="Z525" s="2">
        <v>0</v>
      </c>
      <c r="AA525" s="2">
        <f t="shared" si="238"/>
        <v>8443.25</v>
      </c>
      <c r="AB525" s="2">
        <v>8443.25</v>
      </c>
      <c r="AC525" s="2">
        <v>0</v>
      </c>
      <c r="AD525" s="16">
        <f t="shared" si="234"/>
        <v>422162.3</v>
      </c>
      <c r="AE525" s="2">
        <v>0</v>
      </c>
      <c r="AF525" s="2">
        <f t="shared" si="239"/>
        <v>422162.3</v>
      </c>
      <c r="AG525" s="38" t="s">
        <v>486</v>
      </c>
      <c r="AH525" s="29"/>
      <c r="AI525" s="118">
        <v>42216.23</v>
      </c>
      <c r="AJ525" s="30">
        <v>0</v>
      </c>
      <c r="AK525" s="179"/>
    </row>
    <row r="526" spans="1:37" s="43" customFormat="1" ht="152.25" customHeight="1" x14ac:dyDescent="0.25">
      <c r="A526" s="6">
        <v>523</v>
      </c>
      <c r="B526" s="31">
        <v>151319</v>
      </c>
      <c r="C526" s="11">
        <v>976</v>
      </c>
      <c r="D526" s="11" t="s">
        <v>1638</v>
      </c>
      <c r="E526" s="24" t="s">
        <v>2258</v>
      </c>
      <c r="F526" s="31" t="s">
        <v>2522</v>
      </c>
      <c r="G526" s="27" t="s">
        <v>2521</v>
      </c>
      <c r="H526" s="8" t="s">
        <v>2523</v>
      </c>
      <c r="I526" s="46" t="s">
        <v>2910</v>
      </c>
      <c r="J526" s="25">
        <v>44769</v>
      </c>
      <c r="K526" s="25">
        <v>45196</v>
      </c>
      <c r="L526" s="26">
        <f t="shared" si="228"/>
        <v>83.299996231077415</v>
      </c>
      <c r="M526" s="11" t="s">
        <v>2524</v>
      </c>
      <c r="N526" s="11" t="s">
        <v>2525</v>
      </c>
      <c r="O526" s="11" t="s">
        <v>2525</v>
      </c>
      <c r="P526" s="11" t="s">
        <v>274</v>
      </c>
      <c r="Q526" s="11" t="s">
        <v>34</v>
      </c>
      <c r="R526" s="2">
        <f t="shared" si="235"/>
        <v>352081.77</v>
      </c>
      <c r="S526" s="2">
        <v>352081.77</v>
      </c>
      <c r="T526" s="2">
        <v>0</v>
      </c>
      <c r="U526" s="2">
        <f t="shared" si="236"/>
        <v>62132.09</v>
      </c>
      <c r="V526" s="28">
        <v>62132.09</v>
      </c>
      <c r="W526" s="28">
        <v>0</v>
      </c>
      <c r="X526" s="2">
        <f t="shared" si="237"/>
        <v>0</v>
      </c>
      <c r="Y526" s="2">
        <v>0</v>
      </c>
      <c r="Z526" s="2">
        <v>0</v>
      </c>
      <c r="AA526" s="2">
        <f t="shared" si="238"/>
        <v>8453.35</v>
      </c>
      <c r="AB526" s="2">
        <v>8453.35</v>
      </c>
      <c r="AC526" s="2">
        <v>0</v>
      </c>
      <c r="AD526" s="16">
        <f t="shared" si="234"/>
        <v>422667.20999999996</v>
      </c>
      <c r="AE526" s="2">
        <v>0</v>
      </c>
      <c r="AF526" s="2">
        <f t="shared" si="239"/>
        <v>422667.20999999996</v>
      </c>
      <c r="AG526" s="38" t="s">
        <v>486</v>
      </c>
      <c r="AH526" s="29"/>
      <c r="AI526" s="118">
        <v>42266</v>
      </c>
      <c r="AJ526" s="30">
        <v>0</v>
      </c>
      <c r="AK526" s="179"/>
    </row>
    <row r="527" spans="1:37" s="43" customFormat="1" ht="152.25" customHeight="1" x14ac:dyDescent="0.25">
      <c r="A527" s="6">
        <v>524</v>
      </c>
      <c r="B527" s="31">
        <v>150960</v>
      </c>
      <c r="C527" s="11">
        <v>987</v>
      </c>
      <c r="D527" s="11" t="s">
        <v>1638</v>
      </c>
      <c r="E527" s="24" t="s">
        <v>2258</v>
      </c>
      <c r="F527" s="31" t="s">
        <v>2527</v>
      </c>
      <c r="G527" s="27" t="s">
        <v>2526</v>
      </c>
      <c r="H527" s="8" t="s">
        <v>151</v>
      </c>
      <c r="I527" s="46" t="s">
        <v>2911</v>
      </c>
      <c r="J527" s="25">
        <v>44769</v>
      </c>
      <c r="K527" s="25">
        <v>45196</v>
      </c>
      <c r="L527" s="26">
        <f t="shared" si="228"/>
        <v>83.300000053132848</v>
      </c>
      <c r="M527" s="11" t="s">
        <v>2528</v>
      </c>
      <c r="N527" s="11" t="s">
        <v>2386</v>
      </c>
      <c r="O527" s="11" t="s">
        <v>2529</v>
      </c>
      <c r="P527" s="11" t="s">
        <v>274</v>
      </c>
      <c r="Q527" s="11" t="s">
        <v>34</v>
      </c>
      <c r="R527" s="2">
        <f t="shared" si="235"/>
        <v>329231.28000000003</v>
      </c>
      <c r="S527" s="2">
        <v>329231.28000000003</v>
      </c>
      <c r="T527" s="2">
        <v>0</v>
      </c>
      <c r="U527" s="2">
        <f t="shared" si="236"/>
        <v>58099.64</v>
      </c>
      <c r="V527" s="28">
        <v>58099.64</v>
      </c>
      <c r="W527" s="28">
        <v>0</v>
      </c>
      <c r="X527" s="2">
        <f t="shared" si="237"/>
        <v>0</v>
      </c>
      <c r="Y527" s="2">
        <v>0</v>
      </c>
      <c r="Z527" s="2">
        <v>0</v>
      </c>
      <c r="AA527" s="2">
        <f t="shared" si="238"/>
        <v>7904.71</v>
      </c>
      <c r="AB527" s="2">
        <v>7904.71</v>
      </c>
      <c r="AC527" s="2">
        <v>0</v>
      </c>
      <c r="AD527" s="16">
        <f t="shared" si="234"/>
        <v>395235.63000000006</v>
      </c>
      <c r="AE527" s="2">
        <v>0</v>
      </c>
      <c r="AF527" s="2">
        <f t="shared" si="239"/>
        <v>395235.63000000006</v>
      </c>
      <c r="AG527" s="38" t="s">
        <v>486</v>
      </c>
      <c r="AH527" s="29"/>
      <c r="AI527" s="118">
        <v>39523.56</v>
      </c>
      <c r="AJ527" s="30">
        <v>0</v>
      </c>
      <c r="AK527" s="179"/>
    </row>
    <row r="528" spans="1:37" s="43" customFormat="1" ht="152.25" customHeight="1" x14ac:dyDescent="0.25">
      <c r="A528" s="6">
        <v>525</v>
      </c>
      <c r="B528" s="31">
        <v>151516</v>
      </c>
      <c r="C528" s="11">
        <v>1001</v>
      </c>
      <c r="D528" s="11" t="s">
        <v>1638</v>
      </c>
      <c r="E528" s="24" t="s">
        <v>2258</v>
      </c>
      <c r="F528" s="31" t="s">
        <v>2531</v>
      </c>
      <c r="G528" s="27" t="s">
        <v>2530</v>
      </c>
      <c r="H528" s="8" t="s">
        <v>151</v>
      </c>
      <c r="I528" s="46" t="s">
        <v>2532</v>
      </c>
      <c r="J528" s="25">
        <v>44769</v>
      </c>
      <c r="K528" s="25">
        <v>45196</v>
      </c>
      <c r="L528" s="26">
        <f t="shared" si="228"/>
        <v>83.300001059138779</v>
      </c>
      <c r="M528" s="11">
        <v>4</v>
      </c>
      <c r="N528" s="11" t="s">
        <v>1568</v>
      </c>
      <c r="O528" s="11" t="s">
        <v>2533</v>
      </c>
      <c r="P528" s="11" t="s">
        <v>274</v>
      </c>
      <c r="Q528" s="11" t="s">
        <v>34</v>
      </c>
      <c r="R528" s="2">
        <f t="shared" si="235"/>
        <v>353919.63</v>
      </c>
      <c r="S528" s="2">
        <v>353919.63</v>
      </c>
      <c r="T528" s="2">
        <v>0</v>
      </c>
      <c r="U528" s="2">
        <f t="shared" si="236"/>
        <v>62456.41</v>
      </c>
      <c r="V528" s="28">
        <v>62456.41</v>
      </c>
      <c r="W528" s="28">
        <v>0</v>
      </c>
      <c r="X528" s="2">
        <f t="shared" si="237"/>
        <v>0</v>
      </c>
      <c r="Y528" s="2">
        <v>0</v>
      </c>
      <c r="Z528" s="2">
        <v>0</v>
      </c>
      <c r="AA528" s="2">
        <f t="shared" si="238"/>
        <v>8497.4599999999991</v>
      </c>
      <c r="AB528" s="2">
        <v>8497.4599999999991</v>
      </c>
      <c r="AC528" s="2">
        <v>0</v>
      </c>
      <c r="AD528" s="16">
        <f t="shared" si="234"/>
        <v>424873.50000000006</v>
      </c>
      <c r="AE528" s="2">
        <v>0</v>
      </c>
      <c r="AF528" s="2">
        <f t="shared" si="239"/>
        <v>424873.50000000006</v>
      </c>
      <c r="AG528" s="38" t="s">
        <v>486</v>
      </c>
      <c r="AH528" s="29"/>
      <c r="AI528" s="118">
        <v>0</v>
      </c>
      <c r="AJ528" s="30">
        <v>0</v>
      </c>
      <c r="AK528" s="179"/>
    </row>
    <row r="529" spans="1:37" s="43" customFormat="1" ht="152.25" customHeight="1" x14ac:dyDescent="0.25">
      <c r="A529" s="6">
        <v>526</v>
      </c>
      <c r="B529" s="31">
        <v>151468</v>
      </c>
      <c r="C529" s="11">
        <v>1022</v>
      </c>
      <c r="D529" s="11" t="s">
        <v>1638</v>
      </c>
      <c r="E529" s="24" t="s">
        <v>2258</v>
      </c>
      <c r="F529" s="31" t="s">
        <v>2535</v>
      </c>
      <c r="G529" s="27" t="s">
        <v>2534</v>
      </c>
      <c r="H529" s="11" t="s">
        <v>2536</v>
      </c>
      <c r="I529" s="46" t="s">
        <v>2912</v>
      </c>
      <c r="J529" s="25">
        <v>44769</v>
      </c>
      <c r="K529" s="25">
        <v>45196</v>
      </c>
      <c r="L529" s="26">
        <f t="shared" si="228"/>
        <v>83.300002473139926</v>
      </c>
      <c r="M529" s="11">
        <v>3</v>
      </c>
      <c r="N529" s="11" t="s">
        <v>330</v>
      </c>
      <c r="O529" s="11" t="s">
        <v>2537</v>
      </c>
      <c r="P529" s="11" t="s">
        <v>274</v>
      </c>
      <c r="Q529" s="11" t="s">
        <v>34</v>
      </c>
      <c r="R529" s="2">
        <f t="shared" si="235"/>
        <v>353659.74</v>
      </c>
      <c r="S529" s="2">
        <v>353659.74</v>
      </c>
      <c r="T529" s="2">
        <v>0</v>
      </c>
      <c r="U529" s="2">
        <f t="shared" si="236"/>
        <v>62410.53</v>
      </c>
      <c r="V529" s="28">
        <v>62410.53</v>
      </c>
      <c r="W529" s="28">
        <v>0</v>
      </c>
      <c r="X529" s="2">
        <f t="shared" si="237"/>
        <v>0</v>
      </c>
      <c r="Y529" s="2">
        <v>0</v>
      </c>
      <c r="Z529" s="2">
        <v>0</v>
      </c>
      <c r="AA529" s="2">
        <f t="shared" si="238"/>
        <v>8491.23</v>
      </c>
      <c r="AB529" s="2">
        <v>8491.23</v>
      </c>
      <c r="AC529" s="2">
        <v>0</v>
      </c>
      <c r="AD529" s="16">
        <f t="shared" si="234"/>
        <v>424561.5</v>
      </c>
      <c r="AE529" s="2">
        <v>0</v>
      </c>
      <c r="AF529" s="2">
        <f t="shared" si="239"/>
        <v>424561.5</v>
      </c>
      <c r="AG529" s="38" t="s">
        <v>486</v>
      </c>
      <c r="AH529" s="29"/>
      <c r="AI529" s="118">
        <v>42456</v>
      </c>
      <c r="AJ529" s="30">
        <v>0</v>
      </c>
      <c r="AK529" s="179"/>
    </row>
    <row r="530" spans="1:37" s="43" customFormat="1" ht="152.25" customHeight="1" x14ac:dyDescent="0.25">
      <c r="A530" s="6">
        <v>527</v>
      </c>
      <c r="B530" s="31">
        <v>151549</v>
      </c>
      <c r="C530" s="11">
        <v>1068</v>
      </c>
      <c r="D530" s="11" t="s">
        <v>1638</v>
      </c>
      <c r="E530" s="24" t="s">
        <v>2258</v>
      </c>
      <c r="F530" s="31" t="s">
        <v>2539</v>
      </c>
      <c r="G530" s="27" t="s">
        <v>2538</v>
      </c>
      <c r="H530" s="8" t="s">
        <v>151</v>
      </c>
      <c r="I530" s="46" t="s">
        <v>2913</v>
      </c>
      <c r="J530" s="25">
        <v>44769</v>
      </c>
      <c r="K530" s="25">
        <v>45196</v>
      </c>
      <c r="L530" s="26">
        <f t="shared" si="228"/>
        <v>83.300002011195389</v>
      </c>
      <c r="M530" s="11">
        <v>1</v>
      </c>
      <c r="N530" s="11" t="s">
        <v>185</v>
      </c>
      <c r="O530" s="11" t="s">
        <v>2540</v>
      </c>
      <c r="P530" s="11" t="s">
        <v>274</v>
      </c>
      <c r="Q530" s="11" t="s">
        <v>34</v>
      </c>
      <c r="R530" s="2">
        <f t="shared" si="235"/>
        <v>337143.78</v>
      </c>
      <c r="S530" s="2">
        <v>337143.78</v>
      </c>
      <c r="T530" s="2">
        <v>0</v>
      </c>
      <c r="U530" s="2">
        <f t="shared" si="236"/>
        <v>59495.94</v>
      </c>
      <c r="V530" s="28">
        <v>59495.94</v>
      </c>
      <c r="W530" s="28">
        <v>0</v>
      </c>
      <c r="X530" s="2">
        <f t="shared" si="237"/>
        <v>0</v>
      </c>
      <c r="Y530" s="2">
        <v>0</v>
      </c>
      <c r="Z530" s="2">
        <v>0</v>
      </c>
      <c r="AA530" s="2">
        <f t="shared" si="238"/>
        <v>8094.7</v>
      </c>
      <c r="AB530" s="2">
        <v>8094.7</v>
      </c>
      <c r="AC530" s="2">
        <v>0</v>
      </c>
      <c r="AD530" s="16">
        <f t="shared" si="234"/>
        <v>404734.42000000004</v>
      </c>
      <c r="AE530" s="2">
        <v>0</v>
      </c>
      <c r="AF530" s="2">
        <f t="shared" si="239"/>
        <v>404734.42000000004</v>
      </c>
      <c r="AG530" s="38" t="s">
        <v>486</v>
      </c>
      <c r="AH530" s="29"/>
      <c r="AI530" s="118">
        <v>40473</v>
      </c>
      <c r="AJ530" s="30">
        <v>0</v>
      </c>
      <c r="AK530" s="179"/>
    </row>
    <row r="531" spans="1:37" s="43" customFormat="1" ht="152.25" customHeight="1" x14ac:dyDescent="0.25">
      <c r="A531" s="6">
        <v>528</v>
      </c>
      <c r="B531" s="31">
        <v>151136</v>
      </c>
      <c r="C531" s="11">
        <v>892</v>
      </c>
      <c r="D531" s="11" t="s">
        <v>1638</v>
      </c>
      <c r="E531" s="24" t="s">
        <v>2258</v>
      </c>
      <c r="F531" s="31" t="s">
        <v>2549</v>
      </c>
      <c r="G531" s="27" t="s">
        <v>2548</v>
      </c>
      <c r="H531" s="8" t="s">
        <v>151</v>
      </c>
      <c r="I531" s="46" t="s">
        <v>2914</v>
      </c>
      <c r="J531" s="25">
        <v>44774</v>
      </c>
      <c r="K531" s="25">
        <v>45200</v>
      </c>
      <c r="L531" s="26">
        <f t="shared" si="228"/>
        <v>83.300001244556015</v>
      </c>
      <c r="M531" s="11">
        <v>3</v>
      </c>
      <c r="N531" s="11" t="s">
        <v>240</v>
      </c>
      <c r="O531" s="11" t="s">
        <v>2552</v>
      </c>
      <c r="P531" s="11" t="s">
        <v>274</v>
      </c>
      <c r="Q531" s="11" t="s">
        <v>34</v>
      </c>
      <c r="R531" s="2">
        <f t="shared" si="235"/>
        <v>196778.61</v>
      </c>
      <c r="S531" s="2">
        <v>196778.61</v>
      </c>
      <c r="T531" s="28">
        <v>0</v>
      </c>
      <c r="U531" s="2">
        <f t="shared" si="236"/>
        <v>34725.629999999997</v>
      </c>
      <c r="V531" s="28">
        <v>34725.629999999997</v>
      </c>
      <c r="W531" s="28">
        <v>0</v>
      </c>
      <c r="X531" s="2">
        <f t="shared" si="237"/>
        <v>0</v>
      </c>
      <c r="Y531" s="2">
        <v>0</v>
      </c>
      <c r="Z531" s="2">
        <v>0</v>
      </c>
      <c r="AA531" s="2">
        <f t="shared" si="238"/>
        <v>4724.58</v>
      </c>
      <c r="AB531" s="2">
        <v>4724.58</v>
      </c>
      <c r="AC531" s="2">
        <v>0</v>
      </c>
      <c r="AD531" s="16">
        <f t="shared" si="234"/>
        <v>236228.81999999998</v>
      </c>
      <c r="AE531" s="2">
        <v>0</v>
      </c>
      <c r="AF531" s="2">
        <f t="shared" si="239"/>
        <v>236228.81999999998</v>
      </c>
      <c r="AG531" s="38" t="s">
        <v>486</v>
      </c>
      <c r="AH531" s="29"/>
      <c r="AI531" s="118">
        <v>23622.880000000001</v>
      </c>
      <c r="AJ531" s="30">
        <v>0</v>
      </c>
      <c r="AK531" s="179"/>
    </row>
    <row r="532" spans="1:37" s="43" customFormat="1" ht="152.25" customHeight="1" x14ac:dyDescent="0.25">
      <c r="A532" s="6">
        <v>529</v>
      </c>
      <c r="B532" s="31">
        <v>151461</v>
      </c>
      <c r="C532" s="11">
        <v>916</v>
      </c>
      <c r="D532" s="11" t="s">
        <v>1638</v>
      </c>
      <c r="E532" s="24" t="s">
        <v>2258</v>
      </c>
      <c r="F532" s="31" t="s">
        <v>2551</v>
      </c>
      <c r="G532" s="27" t="s">
        <v>2550</v>
      </c>
      <c r="H532" s="8" t="s">
        <v>151</v>
      </c>
      <c r="I532" s="46" t="s">
        <v>2915</v>
      </c>
      <c r="J532" s="25">
        <v>44774</v>
      </c>
      <c r="K532" s="25">
        <v>45139</v>
      </c>
      <c r="L532" s="26">
        <f t="shared" si="228"/>
        <v>83.300001185016654</v>
      </c>
      <c r="M532" s="11">
        <v>6</v>
      </c>
      <c r="N532" s="11" t="s">
        <v>182</v>
      </c>
      <c r="O532" s="11" t="s">
        <v>394</v>
      </c>
      <c r="P532" s="11" t="s">
        <v>274</v>
      </c>
      <c r="Q532" s="11" t="s">
        <v>34</v>
      </c>
      <c r="R532" s="2">
        <f t="shared" si="235"/>
        <v>351471.86</v>
      </c>
      <c r="S532" s="2">
        <v>351471.86</v>
      </c>
      <c r="T532" s="28">
        <v>0</v>
      </c>
      <c r="U532" s="2">
        <f t="shared" si="236"/>
        <v>62024.44</v>
      </c>
      <c r="V532" s="28">
        <v>62024.44</v>
      </c>
      <c r="W532" s="28">
        <v>0</v>
      </c>
      <c r="X532" s="2">
        <f t="shared" si="237"/>
        <v>0</v>
      </c>
      <c r="Y532" s="2">
        <v>0</v>
      </c>
      <c r="Z532" s="2">
        <v>0</v>
      </c>
      <c r="AA532" s="2">
        <f t="shared" si="238"/>
        <v>8438.7000000000007</v>
      </c>
      <c r="AB532" s="2">
        <v>8438.7000000000007</v>
      </c>
      <c r="AC532" s="2">
        <v>0</v>
      </c>
      <c r="AD532" s="16">
        <f t="shared" si="234"/>
        <v>421935</v>
      </c>
      <c r="AE532" s="2">
        <v>0</v>
      </c>
      <c r="AF532" s="2">
        <f t="shared" si="239"/>
        <v>421935</v>
      </c>
      <c r="AG532" s="38" t="s">
        <v>486</v>
      </c>
      <c r="AH532" s="29"/>
      <c r="AI532" s="118">
        <v>0</v>
      </c>
      <c r="AJ532" s="30">
        <v>0</v>
      </c>
      <c r="AK532" s="179"/>
    </row>
    <row r="533" spans="1:37" s="43" customFormat="1" ht="152.25" customHeight="1" x14ac:dyDescent="0.25">
      <c r="A533" s="6">
        <v>530</v>
      </c>
      <c r="B533" s="31">
        <v>151464</v>
      </c>
      <c r="C533" s="11">
        <v>917</v>
      </c>
      <c r="D533" s="11" t="s">
        <v>1638</v>
      </c>
      <c r="E533" s="24" t="s">
        <v>2258</v>
      </c>
      <c r="F533" s="31" t="s">
        <v>2553</v>
      </c>
      <c r="G533" s="27" t="s">
        <v>1035</v>
      </c>
      <c r="H533" s="8" t="s">
        <v>151</v>
      </c>
      <c r="I533" s="46" t="s">
        <v>2555</v>
      </c>
      <c r="J533" s="25">
        <v>44775</v>
      </c>
      <c r="K533" s="25">
        <v>45201</v>
      </c>
      <c r="L533" s="26">
        <f t="shared" si="228"/>
        <v>83.300000000000011</v>
      </c>
      <c r="M533" s="11">
        <v>4</v>
      </c>
      <c r="N533" s="11" t="s">
        <v>231</v>
      </c>
      <c r="O533" s="11" t="s">
        <v>2554</v>
      </c>
      <c r="P533" s="11" t="s">
        <v>274</v>
      </c>
      <c r="Q533" s="11" t="s">
        <v>34</v>
      </c>
      <c r="R533" s="2">
        <f t="shared" si="235"/>
        <v>342696.2</v>
      </c>
      <c r="S533" s="2">
        <v>342696.2</v>
      </c>
      <c r="T533" s="28">
        <v>0</v>
      </c>
      <c r="U533" s="2">
        <f t="shared" si="236"/>
        <v>60475.8</v>
      </c>
      <c r="V533" s="28">
        <v>60475.8</v>
      </c>
      <c r="W533" s="28">
        <v>0</v>
      </c>
      <c r="X533" s="2">
        <f t="shared" si="237"/>
        <v>0</v>
      </c>
      <c r="Y533" s="2">
        <v>0</v>
      </c>
      <c r="Z533" s="2">
        <v>0</v>
      </c>
      <c r="AA533" s="2">
        <f t="shared" si="238"/>
        <v>8228</v>
      </c>
      <c r="AB533" s="2">
        <v>8228</v>
      </c>
      <c r="AC533" s="2">
        <v>0</v>
      </c>
      <c r="AD533" s="16">
        <f t="shared" si="234"/>
        <v>411400</v>
      </c>
      <c r="AE533" s="2">
        <v>0</v>
      </c>
      <c r="AF533" s="2">
        <f t="shared" si="239"/>
        <v>411400</v>
      </c>
      <c r="AG533" s="38" t="s">
        <v>486</v>
      </c>
      <c r="AH533" s="29"/>
      <c r="AI533" s="118">
        <v>41140</v>
      </c>
      <c r="AJ533" s="30">
        <v>0</v>
      </c>
      <c r="AK533" s="179"/>
    </row>
    <row r="534" spans="1:37" s="43" customFormat="1" ht="152.25" customHeight="1" x14ac:dyDescent="0.25">
      <c r="A534" s="6">
        <v>531</v>
      </c>
      <c r="B534" s="31">
        <v>151526</v>
      </c>
      <c r="C534" s="11">
        <v>920</v>
      </c>
      <c r="D534" s="11" t="s">
        <v>1638</v>
      </c>
      <c r="E534" s="24" t="s">
        <v>2258</v>
      </c>
      <c r="F534" s="31" t="s">
        <v>2557</v>
      </c>
      <c r="G534" s="27" t="s">
        <v>2556</v>
      </c>
      <c r="H534" s="8" t="s">
        <v>151</v>
      </c>
      <c r="I534" s="46" t="s">
        <v>2558</v>
      </c>
      <c r="J534" s="25">
        <v>44774</v>
      </c>
      <c r="K534" s="25">
        <v>45139</v>
      </c>
      <c r="L534" s="26">
        <f t="shared" si="228"/>
        <v>83.300003720798586</v>
      </c>
      <c r="M534" s="11">
        <v>4</v>
      </c>
      <c r="N534" s="11" t="s">
        <v>2559</v>
      </c>
      <c r="O534" s="11" t="s">
        <v>2560</v>
      </c>
      <c r="P534" s="11" t="s">
        <v>274</v>
      </c>
      <c r="Q534" s="11" t="s">
        <v>34</v>
      </c>
      <c r="R534" s="2">
        <f t="shared" si="235"/>
        <v>327755.46000000002</v>
      </c>
      <c r="S534" s="2">
        <v>327755.46000000002</v>
      </c>
      <c r="T534" s="28">
        <v>0</v>
      </c>
      <c r="U534" s="2">
        <f t="shared" si="236"/>
        <v>57839.19</v>
      </c>
      <c r="V534" s="28">
        <v>57839.19</v>
      </c>
      <c r="W534" s="28">
        <v>0</v>
      </c>
      <c r="X534" s="2">
        <f t="shared" si="237"/>
        <v>0</v>
      </c>
      <c r="Y534" s="2">
        <v>0</v>
      </c>
      <c r="Z534" s="2">
        <v>0</v>
      </c>
      <c r="AA534" s="2">
        <f t="shared" si="238"/>
        <v>7869.27</v>
      </c>
      <c r="AB534" s="2">
        <v>7869.27</v>
      </c>
      <c r="AC534" s="2">
        <v>0</v>
      </c>
      <c r="AD534" s="16">
        <f t="shared" si="234"/>
        <v>393463.92000000004</v>
      </c>
      <c r="AE534" s="2">
        <v>0</v>
      </c>
      <c r="AF534" s="2">
        <f t="shared" si="239"/>
        <v>393463.92000000004</v>
      </c>
      <c r="AG534" s="38" t="s">
        <v>486</v>
      </c>
      <c r="AH534" s="29"/>
      <c r="AI534" s="118">
        <v>39346</v>
      </c>
      <c r="AJ534" s="30">
        <v>0</v>
      </c>
      <c r="AK534" s="179"/>
    </row>
    <row r="535" spans="1:37" s="43" customFormat="1" ht="152.25" customHeight="1" x14ac:dyDescent="0.25">
      <c r="A535" s="6">
        <v>532</v>
      </c>
      <c r="B535" s="31">
        <v>151551</v>
      </c>
      <c r="C535" s="11">
        <v>923</v>
      </c>
      <c r="D535" s="11" t="s">
        <v>1638</v>
      </c>
      <c r="E535" s="24" t="s">
        <v>2258</v>
      </c>
      <c r="F535" s="31" t="s">
        <v>2562</v>
      </c>
      <c r="G535" s="27" t="s">
        <v>2561</v>
      </c>
      <c r="H535" s="8" t="s">
        <v>151</v>
      </c>
      <c r="I535" s="46" t="s">
        <v>2563</v>
      </c>
      <c r="J535" s="25">
        <v>44774</v>
      </c>
      <c r="K535" s="25">
        <v>45200</v>
      </c>
      <c r="L535" s="26">
        <f t="shared" si="228"/>
        <v>83.300004010275742</v>
      </c>
      <c r="M535" s="11">
        <v>2</v>
      </c>
      <c r="N535" s="11" t="s">
        <v>280</v>
      </c>
      <c r="O535" s="11" t="s">
        <v>2564</v>
      </c>
      <c r="P535" s="11" t="s">
        <v>274</v>
      </c>
      <c r="Q535" s="11" t="s">
        <v>34</v>
      </c>
      <c r="R535" s="2">
        <f t="shared" si="235"/>
        <v>353117.88</v>
      </c>
      <c r="S535" s="2">
        <v>353117.88</v>
      </c>
      <c r="T535" s="28">
        <v>0</v>
      </c>
      <c r="U535" s="2">
        <f t="shared" si="236"/>
        <v>62314.9</v>
      </c>
      <c r="V535" s="28">
        <v>62314.9</v>
      </c>
      <c r="W535" s="28">
        <v>0</v>
      </c>
      <c r="X535" s="2">
        <f t="shared" si="237"/>
        <v>0</v>
      </c>
      <c r="Y535" s="2">
        <v>0</v>
      </c>
      <c r="Z535" s="2">
        <v>0</v>
      </c>
      <c r="AA535" s="2">
        <f t="shared" si="238"/>
        <v>8478.2199999999993</v>
      </c>
      <c r="AB535" s="2">
        <v>8478.2199999999993</v>
      </c>
      <c r="AC535" s="2">
        <v>0</v>
      </c>
      <c r="AD535" s="16">
        <f t="shared" si="234"/>
        <v>423911</v>
      </c>
      <c r="AE535" s="2">
        <v>0</v>
      </c>
      <c r="AF535" s="2">
        <f t="shared" si="239"/>
        <v>423911</v>
      </c>
      <c r="AG535" s="38" t="s">
        <v>486</v>
      </c>
      <c r="AH535" s="29"/>
      <c r="AI535" s="118">
        <v>42391.1</v>
      </c>
      <c r="AJ535" s="30">
        <v>0</v>
      </c>
      <c r="AK535" s="179"/>
    </row>
    <row r="536" spans="1:37" s="43" customFormat="1" ht="152.25" customHeight="1" x14ac:dyDescent="0.25">
      <c r="A536" s="6">
        <v>533</v>
      </c>
      <c r="B536" s="31">
        <v>151044</v>
      </c>
      <c r="C536" s="11">
        <v>933</v>
      </c>
      <c r="D536" s="11" t="s">
        <v>1638</v>
      </c>
      <c r="E536" s="24" t="s">
        <v>2258</v>
      </c>
      <c r="F536" s="31" t="s">
        <v>2566</v>
      </c>
      <c r="G536" s="27" t="s">
        <v>2565</v>
      </c>
      <c r="H536" s="8" t="s">
        <v>2567</v>
      </c>
      <c r="I536" s="46" t="s">
        <v>2916</v>
      </c>
      <c r="J536" s="25">
        <v>44775</v>
      </c>
      <c r="K536" s="25">
        <v>45140</v>
      </c>
      <c r="L536" s="26">
        <f t="shared" si="228"/>
        <v>83.30000070611662</v>
      </c>
      <c r="M536" s="11">
        <v>1</v>
      </c>
      <c r="N536" s="11" t="s">
        <v>411</v>
      </c>
      <c r="O536" s="11" t="s">
        <v>2568</v>
      </c>
      <c r="P536" s="11" t="s">
        <v>274</v>
      </c>
      <c r="Q536" s="11" t="s">
        <v>34</v>
      </c>
      <c r="R536" s="2">
        <f t="shared" si="235"/>
        <v>353907.55</v>
      </c>
      <c r="S536" s="2">
        <v>353907.55</v>
      </c>
      <c r="T536" s="28">
        <v>0</v>
      </c>
      <c r="U536" s="2">
        <f t="shared" si="236"/>
        <v>62454.27</v>
      </c>
      <c r="V536" s="28">
        <v>62454.27</v>
      </c>
      <c r="W536" s="28">
        <v>0</v>
      </c>
      <c r="X536" s="2">
        <f t="shared" si="237"/>
        <v>0</v>
      </c>
      <c r="Y536" s="2">
        <v>0</v>
      </c>
      <c r="Z536" s="2">
        <v>0</v>
      </c>
      <c r="AA536" s="2">
        <f t="shared" si="238"/>
        <v>8497.18</v>
      </c>
      <c r="AB536" s="2">
        <v>8497.18</v>
      </c>
      <c r="AC536" s="2">
        <v>0</v>
      </c>
      <c r="AD536" s="16">
        <f t="shared" si="234"/>
        <v>424859</v>
      </c>
      <c r="AE536" s="2">
        <v>0</v>
      </c>
      <c r="AF536" s="2">
        <f t="shared" si="239"/>
        <v>424859</v>
      </c>
      <c r="AG536" s="38" t="s">
        <v>486</v>
      </c>
      <c r="AH536" s="29"/>
      <c r="AI536" s="118">
        <v>42485</v>
      </c>
      <c r="AJ536" s="30">
        <v>0</v>
      </c>
      <c r="AK536" s="179"/>
    </row>
    <row r="537" spans="1:37" s="43" customFormat="1" ht="152.25" customHeight="1" x14ac:dyDescent="0.25">
      <c r="A537" s="6">
        <v>534</v>
      </c>
      <c r="B537" s="31">
        <v>151317</v>
      </c>
      <c r="C537" s="11">
        <v>975</v>
      </c>
      <c r="D537" s="11" t="s">
        <v>1638</v>
      </c>
      <c r="E537" s="24" t="s">
        <v>2258</v>
      </c>
      <c r="F537" s="31" t="s">
        <v>2570</v>
      </c>
      <c r="G537" s="27" t="s">
        <v>2569</v>
      </c>
      <c r="H537" s="8" t="s">
        <v>151</v>
      </c>
      <c r="I537" s="46" t="s">
        <v>2917</v>
      </c>
      <c r="J537" s="25">
        <v>44774</v>
      </c>
      <c r="K537" s="25">
        <v>45200</v>
      </c>
      <c r="L537" s="26">
        <f t="shared" si="228"/>
        <v>83.300003503569187</v>
      </c>
      <c r="M537" s="11">
        <v>3</v>
      </c>
      <c r="N537" s="11" t="s">
        <v>330</v>
      </c>
      <c r="O537" s="11" t="s">
        <v>330</v>
      </c>
      <c r="P537" s="11" t="s">
        <v>274</v>
      </c>
      <c r="Q537" s="11" t="s">
        <v>34</v>
      </c>
      <c r="R537" s="2">
        <f t="shared" si="235"/>
        <v>350692.39</v>
      </c>
      <c r="S537" s="2">
        <v>350692.39</v>
      </c>
      <c r="T537" s="28">
        <v>0</v>
      </c>
      <c r="U537" s="2">
        <f t="shared" si="236"/>
        <v>61886.879999999997</v>
      </c>
      <c r="V537" s="28">
        <v>61886.879999999997</v>
      </c>
      <c r="W537" s="28">
        <v>0</v>
      </c>
      <c r="X537" s="2">
        <f t="shared" si="237"/>
        <v>0</v>
      </c>
      <c r="Y537" s="2">
        <v>0</v>
      </c>
      <c r="Z537" s="2">
        <v>0</v>
      </c>
      <c r="AA537" s="2">
        <f t="shared" si="238"/>
        <v>8419.98</v>
      </c>
      <c r="AB537" s="2">
        <v>8419.98</v>
      </c>
      <c r="AC537" s="2">
        <v>0</v>
      </c>
      <c r="AD537" s="16">
        <f t="shared" si="234"/>
        <v>420999.25</v>
      </c>
      <c r="AE537" s="2">
        <v>0</v>
      </c>
      <c r="AF537" s="2">
        <f t="shared" si="239"/>
        <v>420999.25</v>
      </c>
      <c r="AG537" s="38" t="s">
        <v>486</v>
      </c>
      <c r="AH537" s="29"/>
      <c r="AI537" s="118">
        <v>42099.92</v>
      </c>
      <c r="AJ537" s="30">
        <v>0</v>
      </c>
      <c r="AK537" s="179"/>
    </row>
    <row r="538" spans="1:37" s="43" customFormat="1" ht="152.25" customHeight="1" x14ac:dyDescent="0.25">
      <c r="A538" s="6">
        <v>535</v>
      </c>
      <c r="B538" s="31">
        <v>151324</v>
      </c>
      <c r="C538" s="11">
        <v>977</v>
      </c>
      <c r="D538" s="11" t="s">
        <v>1638</v>
      </c>
      <c r="E538" s="24" t="s">
        <v>2258</v>
      </c>
      <c r="F538" s="31" t="s">
        <v>2572</v>
      </c>
      <c r="G538" s="27" t="s">
        <v>2571</v>
      </c>
      <c r="H538" s="8" t="s">
        <v>151</v>
      </c>
      <c r="I538" s="46" t="s">
        <v>2918</v>
      </c>
      <c r="J538" s="25">
        <v>44777</v>
      </c>
      <c r="K538" s="25">
        <v>45142</v>
      </c>
      <c r="L538" s="26">
        <f t="shared" si="228"/>
        <v>83.300001229422534</v>
      </c>
      <c r="M538" s="11">
        <v>5</v>
      </c>
      <c r="N538" s="11" t="s">
        <v>592</v>
      </c>
      <c r="O538" s="11" t="s">
        <v>2573</v>
      </c>
      <c r="P538" s="11" t="s">
        <v>274</v>
      </c>
      <c r="Q538" s="11" t="s">
        <v>34</v>
      </c>
      <c r="R538" s="2">
        <f t="shared" si="235"/>
        <v>338776.94</v>
      </c>
      <c r="S538" s="2">
        <v>338776.94</v>
      </c>
      <c r="T538" s="28">
        <v>0</v>
      </c>
      <c r="U538" s="2">
        <f t="shared" si="236"/>
        <v>59784.160000000003</v>
      </c>
      <c r="V538" s="28">
        <v>59784.160000000003</v>
      </c>
      <c r="W538" s="28">
        <v>0</v>
      </c>
      <c r="X538" s="2">
        <f t="shared" si="237"/>
        <v>0</v>
      </c>
      <c r="Y538" s="2">
        <v>0</v>
      </c>
      <c r="Z538" s="2">
        <v>0</v>
      </c>
      <c r="AA538" s="2">
        <f t="shared" si="238"/>
        <v>8133.9</v>
      </c>
      <c r="AB538" s="2">
        <v>8133.9</v>
      </c>
      <c r="AC538" s="2">
        <v>0</v>
      </c>
      <c r="AD538" s="16">
        <f t="shared" si="234"/>
        <v>406695</v>
      </c>
      <c r="AE538" s="2">
        <v>0</v>
      </c>
      <c r="AF538" s="2">
        <f t="shared" si="239"/>
        <v>406695</v>
      </c>
      <c r="AG538" s="38" t="s">
        <v>486</v>
      </c>
      <c r="AH538" s="29"/>
      <c r="AI538" s="118">
        <v>0</v>
      </c>
      <c r="AJ538" s="30">
        <v>0</v>
      </c>
      <c r="AK538" s="179"/>
    </row>
    <row r="539" spans="1:37" s="43" customFormat="1" ht="152.25" customHeight="1" x14ac:dyDescent="0.25">
      <c r="A539" s="6">
        <v>536</v>
      </c>
      <c r="B539" s="31">
        <v>151106</v>
      </c>
      <c r="C539" s="11">
        <v>986</v>
      </c>
      <c r="D539" s="11" t="s">
        <v>1638</v>
      </c>
      <c r="E539" s="24" t="s">
        <v>2258</v>
      </c>
      <c r="F539" s="31" t="s">
        <v>2575</v>
      </c>
      <c r="G539" s="27" t="s">
        <v>2574</v>
      </c>
      <c r="H539" s="8" t="s">
        <v>151</v>
      </c>
      <c r="I539" s="46" t="s">
        <v>2576</v>
      </c>
      <c r="J539" s="25">
        <v>44775</v>
      </c>
      <c r="K539" s="25">
        <v>45140</v>
      </c>
      <c r="L539" s="26">
        <f t="shared" si="228"/>
        <v>83.300001522444617</v>
      </c>
      <c r="M539" s="11">
        <v>7</v>
      </c>
      <c r="N539" s="11" t="s">
        <v>226</v>
      </c>
      <c r="O539" s="11" t="s">
        <v>226</v>
      </c>
      <c r="P539" s="11" t="s">
        <v>274</v>
      </c>
      <c r="Q539" s="11" t="s">
        <v>34</v>
      </c>
      <c r="R539" s="2">
        <f t="shared" si="235"/>
        <v>354003.69</v>
      </c>
      <c r="S539" s="2">
        <v>354003.69</v>
      </c>
      <c r="T539" s="28">
        <v>0</v>
      </c>
      <c r="U539" s="2">
        <f t="shared" si="236"/>
        <v>62471.23</v>
      </c>
      <c r="V539" s="28">
        <v>62471.23</v>
      </c>
      <c r="W539" s="28">
        <v>0</v>
      </c>
      <c r="X539" s="2">
        <f t="shared" si="237"/>
        <v>0</v>
      </c>
      <c r="Y539" s="2">
        <v>0</v>
      </c>
      <c r="Z539" s="2">
        <v>0</v>
      </c>
      <c r="AA539" s="2">
        <f t="shared" si="238"/>
        <v>8499.49</v>
      </c>
      <c r="AB539" s="2">
        <v>8499.49</v>
      </c>
      <c r="AC539" s="2">
        <v>0</v>
      </c>
      <c r="AD539" s="16">
        <f t="shared" si="234"/>
        <v>424974.41</v>
      </c>
      <c r="AE539" s="2">
        <v>0</v>
      </c>
      <c r="AF539" s="2">
        <f t="shared" si="239"/>
        <v>424974.41</v>
      </c>
      <c r="AG539" s="38" t="s">
        <v>486</v>
      </c>
      <c r="AH539" s="29"/>
      <c r="AI539" s="118">
        <v>42497.440000000002</v>
      </c>
      <c r="AJ539" s="30">
        <v>0</v>
      </c>
      <c r="AK539" s="179"/>
    </row>
    <row r="540" spans="1:37" s="43" customFormat="1" ht="152.25" customHeight="1" x14ac:dyDescent="0.25">
      <c r="A540" s="6">
        <v>537</v>
      </c>
      <c r="B540" s="31">
        <v>151134</v>
      </c>
      <c r="C540" s="11">
        <v>989</v>
      </c>
      <c r="D540" s="11" t="s">
        <v>1638</v>
      </c>
      <c r="E540" s="24" t="s">
        <v>2258</v>
      </c>
      <c r="F540" s="31" t="s">
        <v>2578</v>
      </c>
      <c r="G540" s="27" t="s">
        <v>2577</v>
      </c>
      <c r="H540" s="8" t="s">
        <v>2588</v>
      </c>
      <c r="I540" s="46" t="s">
        <v>2919</v>
      </c>
      <c r="J540" s="25">
        <v>44774</v>
      </c>
      <c r="K540" s="25">
        <v>45139</v>
      </c>
      <c r="L540" s="26">
        <f t="shared" si="228"/>
        <v>83.299997175832658</v>
      </c>
      <c r="M540" s="11" t="s">
        <v>2579</v>
      </c>
      <c r="N540" s="11" t="s">
        <v>2580</v>
      </c>
      <c r="O540" s="11" t="s">
        <v>2581</v>
      </c>
      <c r="P540" s="11" t="s">
        <v>274</v>
      </c>
      <c r="Q540" s="11" t="s">
        <v>34</v>
      </c>
      <c r="R540" s="2">
        <f t="shared" si="235"/>
        <v>353945.02</v>
      </c>
      <c r="S540" s="2">
        <v>353945.02</v>
      </c>
      <c r="T540" s="28">
        <v>0</v>
      </c>
      <c r="U540" s="2">
        <f t="shared" si="236"/>
        <v>62460.9</v>
      </c>
      <c r="V540" s="28">
        <v>62460.9</v>
      </c>
      <c r="W540" s="28">
        <v>0</v>
      </c>
      <c r="X540" s="2">
        <f t="shared" si="237"/>
        <v>0</v>
      </c>
      <c r="Y540" s="2">
        <v>0</v>
      </c>
      <c r="Z540" s="2">
        <v>0</v>
      </c>
      <c r="AA540" s="2">
        <f t="shared" si="238"/>
        <v>8498.08</v>
      </c>
      <c r="AB540" s="2">
        <v>8498.08</v>
      </c>
      <c r="AC540" s="2">
        <v>0</v>
      </c>
      <c r="AD540" s="16">
        <f t="shared" si="234"/>
        <v>424904.00000000006</v>
      </c>
      <c r="AE540" s="2">
        <v>0</v>
      </c>
      <c r="AF540" s="2">
        <f t="shared" si="239"/>
        <v>424904.00000000006</v>
      </c>
      <c r="AG540" s="38" t="s">
        <v>486</v>
      </c>
      <c r="AH540" s="29"/>
      <c r="AI540" s="118">
        <v>42490.400000000001</v>
      </c>
      <c r="AJ540" s="30">
        <v>0</v>
      </c>
      <c r="AK540" s="179"/>
    </row>
    <row r="541" spans="1:37" s="43" customFormat="1" ht="152.25" customHeight="1" x14ac:dyDescent="0.25">
      <c r="A541" s="6">
        <v>538</v>
      </c>
      <c r="B541" s="31">
        <v>151508</v>
      </c>
      <c r="C541" s="11">
        <v>998</v>
      </c>
      <c r="D541" s="11" t="s">
        <v>1638</v>
      </c>
      <c r="E541" s="24" t="s">
        <v>2258</v>
      </c>
      <c r="F541" s="31" t="s">
        <v>2583</v>
      </c>
      <c r="G541" s="27" t="s">
        <v>2582</v>
      </c>
      <c r="H541" s="8" t="s">
        <v>151</v>
      </c>
      <c r="I541" s="46" t="s">
        <v>2920</v>
      </c>
      <c r="J541" s="25">
        <v>44774</v>
      </c>
      <c r="K541" s="25">
        <v>45139</v>
      </c>
      <c r="L541" s="26">
        <f t="shared" si="228"/>
        <v>83.300008123751994</v>
      </c>
      <c r="M541" s="11">
        <v>3</v>
      </c>
      <c r="N541" s="11" t="s">
        <v>254</v>
      </c>
      <c r="O541" s="11" t="s">
        <v>255</v>
      </c>
      <c r="P541" s="11" t="s">
        <v>274</v>
      </c>
      <c r="Q541" s="11" t="s">
        <v>34</v>
      </c>
      <c r="R541" s="2">
        <f t="shared" si="235"/>
        <v>327098.89</v>
      </c>
      <c r="S541" s="2">
        <v>327098.89</v>
      </c>
      <c r="T541" s="28">
        <v>0</v>
      </c>
      <c r="U541" s="2">
        <f t="shared" si="236"/>
        <v>57723.3</v>
      </c>
      <c r="V541" s="28">
        <v>57723.3</v>
      </c>
      <c r="W541" s="28">
        <v>0</v>
      </c>
      <c r="X541" s="2">
        <f t="shared" si="237"/>
        <v>0</v>
      </c>
      <c r="Y541" s="2">
        <v>0</v>
      </c>
      <c r="Z541" s="2">
        <v>0</v>
      </c>
      <c r="AA541" s="2">
        <f t="shared" si="238"/>
        <v>7853.51</v>
      </c>
      <c r="AB541" s="2">
        <v>7853.51</v>
      </c>
      <c r="AC541" s="2">
        <v>0</v>
      </c>
      <c r="AD541" s="16">
        <f t="shared" si="234"/>
        <v>392675.7</v>
      </c>
      <c r="AE541" s="2">
        <v>0</v>
      </c>
      <c r="AF541" s="2">
        <f t="shared" si="239"/>
        <v>392675.7</v>
      </c>
      <c r="AG541" s="38" t="s">
        <v>486</v>
      </c>
      <c r="AH541" s="29"/>
      <c r="AI541" s="118">
        <v>39267</v>
      </c>
      <c r="AJ541" s="30">
        <v>0</v>
      </c>
      <c r="AK541" s="179"/>
    </row>
    <row r="542" spans="1:37" s="43" customFormat="1" ht="152.25" customHeight="1" x14ac:dyDescent="0.25">
      <c r="A542" s="6">
        <v>539</v>
      </c>
      <c r="B542" s="31">
        <v>151469</v>
      </c>
      <c r="C542" s="11">
        <v>1023</v>
      </c>
      <c r="D542" s="11" t="s">
        <v>1638</v>
      </c>
      <c r="E542" s="24" t="s">
        <v>2258</v>
      </c>
      <c r="F542" s="31" t="s">
        <v>2585</v>
      </c>
      <c r="G542" s="27" t="s">
        <v>2584</v>
      </c>
      <c r="H542" s="8" t="s">
        <v>151</v>
      </c>
      <c r="I542" s="46" t="s">
        <v>2921</v>
      </c>
      <c r="J542" s="25">
        <v>44777</v>
      </c>
      <c r="K542" s="25">
        <v>45142</v>
      </c>
      <c r="L542" s="26">
        <f t="shared" si="228"/>
        <v>83.300001478147905</v>
      </c>
      <c r="M542" s="11">
        <v>4</v>
      </c>
      <c r="N542" s="11" t="s">
        <v>268</v>
      </c>
      <c r="O542" s="11" t="s">
        <v>269</v>
      </c>
      <c r="P542" s="11" t="s">
        <v>274</v>
      </c>
      <c r="Q542" s="11" t="s">
        <v>34</v>
      </c>
      <c r="R542" s="2">
        <f t="shared" si="235"/>
        <v>328545.61</v>
      </c>
      <c r="S542" s="2">
        <v>328545.61</v>
      </c>
      <c r="T542" s="28">
        <v>0</v>
      </c>
      <c r="U542" s="2">
        <f t="shared" si="236"/>
        <v>57978.63</v>
      </c>
      <c r="V542" s="28">
        <v>57978.63</v>
      </c>
      <c r="W542" s="28">
        <v>0</v>
      </c>
      <c r="X542" s="2">
        <f t="shared" si="237"/>
        <v>0</v>
      </c>
      <c r="Y542" s="2">
        <v>0</v>
      </c>
      <c r="Z542" s="2">
        <v>0</v>
      </c>
      <c r="AA542" s="2">
        <f t="shared" si="238"/>
        <v>7888.25</v>
      </c>
      <c r="AB542" s="2">
        <v>7888.25</v>
      </c>
      <c r="AC542" s="2">
        <v>0</v>
      </c>
      <c r="AD542" s="16">
        <f t="shared" si="234"/>
        <v>394412.49</v>
      </c>
      <c r="AE542" s="2">
        <v>0</v>
      </c>
      <c r="AF542" s="2">
        <f t="shared" si="239"/>
        <v>394412.49</v>
      </c>
      <c r="AG542" s="38" t="s">
        <v>486</v>
      </c>
      <c r="AH542" s="29"/>
      <c r="AI542" s="118">
        <v>39441</v>
      </c>
      <c r="AJ542" s="30">
        <v>0</v>
      </c>
      <c r="AK542" s="179"/>
    </row>
    <row r="543" spans="1:37" s="43" customFormat="1" ht="152.25" customHeight="1" x14ac:dyDescent="0.25">
      <c r="A543" s="6">
        <v>540</v>
      </c>
      <c r="B543" s="31">
        <v>151472</v>
      </c>
      <c r="C543" s="11">
        <v>1056</v>
      </c>
      <c r="D543" s="11" t="s">
        <v>1638</v>
      </c>
      <c r="E543" s="24" t="s">
        <v>2258</v>
      </c>
      <c r="F543" s="31" t="s">
        <v>2591</v>
      </c>
      <c r="G543" s="27" t="s">
        <v>2590</v>
      </c>
      <c r="H543" s="8" t="s">
        <v>151</v>
      </c>
      <c r="I543" s="46" t="s">
        <v>2922</v>
      </c>
      <c r="J543" s="25">
        <v>44774</v>
      </c>
      <c r="K543" s="25">
        <v>45078</v>
      </c>
      <c r="L543" s="26">
        <f t="shared" si="228"/>
        <v>83.300001176595174</v>
      </c>
      <c r="M543" s="11">
        <v>7</v>
      </c>
      <c r="N543" s="11" t="s">
        <v>263</v>
      </c>
      <c r="O543" s="11" t="s">
        <v>263</v>
      </c>
      <c r="P543" s="11" t="s">
        <v>274</v>
      </c>
      <c r="Q543" s="11" t="s">
        <v>34</v>
      </c>
      <c r="R543" s="2">
        <f t="shared" si="235"/>
        <v>353987.52</v>
      </c>
      <c r="S543" s="2">
        <v>353987.52</v>
      </c>
      <c r="T543" s="28">
        <v>0</v>
      </c>
      <c r="U543" s="2">
        <f t="shared" si="236"/>
        <v>62468.38</v>
      </c>
      <c r="V543" s="28">
        <v>62468.38</v>
      </c>
      <c r="W543" s="28">
        <v>0</v>
      </c>
      <c r="X543" s="2">
        <f t="shared" si="237"/>
        <v>0</v>
      </c>
      <c r="Y543" s="2">
        <v>0</v>
      </c>
      <c r="Z543" s="2">
        <v>0</v>
      </c>
      <c r="AA543" s="2">
        <f t="shared" si="238"/>
        <v>8499.1</v>
      </c>
      <c r="AB543" s="2">
        <v>8499.1</v>
      </c>
      <c r="AC543" s="2">
        <v>0</v>
      </c>
      <c r="AD543" s="16">
        <f t="shared" si="234"/>
        <v>424955</v>
      </c>
      <c r="AE543" s="2">
        <v>0</v>
      </c>
      <c r="AF543" s="2">
        <f t="shared" si="239"/>
        <v>424955</v>
      </c>
      <c r="AG543" s="38" t="s">
        <v>486</v>
      </c>
      <c r="AH543" s="29"/>
      <c r="AI543" s="118">
        <v>0</v>
      </c>
      <c r="AJ543" s="30">
        <v>0</v>
      </c>
      <c r="AK543" s="179"/>
    </row>
    <row r="544" spans="1:37" s="43" customFormat="1" ht="152.25" customHeight="1" x14ac:dyDescent="0.25">
      <c r="A544" s="6">
        <v>541</v>
      </c>
      <c r="B544" s="31">
        <v>151520</v>
      </c>
      <c r="C544" s="11">
        <v>1064</v>
      </c>
      <c r="D544" s="11" t="s">
        <v>1638</v>
      </c>
      <c r="E544" s="24" t="s">
        <v>2258</v>
      </c>
      <c r="F544" s="31" t="s">
        <v>2587</v>
      </c>
      <c r="G544" s="27" t="s">
        <v>2586</v>
      </c>
      <c r="H544" s="8" t="s">
        <v>151</v>
      </c>
      <c r="I544" s="46" t="s">
        <v>2923</v>
      </c>
      <c r="J544" s="25">
        <v>44775</v>
      </c>
      <c r="K544" s="25">
        <v>45201</v>
      </c>
      <c r="L544" s="26">
        <f t="shared" si="228"/>
        <v>83.300003326642226</v>
      </c>
      <c r="M544" s="11">
        <v>1</v>
      </c>
      <c r="N544" s="11" t="s">
        <v>290</v>
      </c>
      <c r="O544" s="11" t="s">
        <v>2589</v>
      </c>
      <c r="P544" s="11" t="s">
        <v>274</v>
      </c>
      <c r="Q544" s="11" t="s">
        <v>34</v>
      </c>
      <c r="R544" s="2">
        <f t="shared" si="235"/>
        <v>342801.23</v>
      </c>
      <c r="S544" s="2">
        <v>342801.23</v>
      </c>
      <c r="T544" s="28">
        <v>0</v>
      </c>
      <c r="U544" s="2">
        <f t="shared" si="236"/>
        <v>60494.34</v>
      </c>
      <c r="V544" s="28">
        <v>60494.34</v>
      </c>
      <c r="W544" s="28">
        <v>0</v>
      </c>
      <c r="X544" s="2">
        <f t="shared" si="237"/>
        <v>0</v>
      </c>
      <c r="Y544" s="2">
        <v>0</v>
      </c>
      <c r="Z544" s="2">
        <v>0</v>
      </c>
      <c r="AA544" s="2">
        <f t="shared" si="238"/>
        <v>8230.5</v>
      </c>
      <c r="AB544" s="2">
        <v>8230.5</v>
      </c>
      <c r="AC544" s="2">
        <v>0</v>
      </c>
      <c r="AD544" s="16">
        <f t="shared" si="234"/>
        <v>411526.06999999995</v>
      </c>
      <c r="AE544" s="2">
        <v>0</v>
      </c>
      <c r="AF544" s="2">
        <f t="shared" si="239"/>
        <v>411526.06999999995</v>
      </c>
      <c r="AG544" s="38" t="s">
        <v>486</v>
      </c>
      <c r="AH544" s="29"/>
      <c r="AI544" s="118">
        <v>0</v>
      </c>
      <c r="AJ544" s="30">
        <v>0</v>
      </c>
      <c r="AK544" s="179"/>
    </row>
    <row r="545" spans="1:37" s="43" customFormat="1" ht="173.25" x14ac:dyDescent="0.25">
      <c r="A545" s="6">
        <v>542</v>
      </c>
      <c r="B545" s="31">
        <v>151550</v>
      </c>
      <c r="C545" s="11">
        <v>922</v>
      </c>
      <c r="D545" s="11" t="s">
        <v>1638</v>
      </c>
      <c r="E545" s="24" t="s">
        <v>2258</v>
      </c>
      <c r="F545" s="31" t="s">
        <v>3063</v>
      </c>
      <c r="G545" s="27" t="s">
        <v>3062</v>
      </c>
      <c r="H545" s="8" t="s">
        <v>151</v>
      </c>
      <c r="I545" s="46" t="s">
        <v>3064</v>
      </c>
      <c r="J545" s="25">
        <v>44777</v>
      </c>
      <c r="K545" s="25">
        <v>45203</v>
      </c>
      <c r="L545" s="26">
        <f t="shared" si="228"/>
        <v>83.300004010275742</v>
      </c>
      <c r="M545" s="11">
        <v>2</v>
      </c>
      <c r="N545" s="11" t="s">
        <v>485</v>
      </c>
      <c r="O545" s="11" t="s">
        <v>2078</v>
      </c>
      <c r="P545" s="11" t="s">
        <v>274</v>
      </c>
      <c r="Q545" s="11" t="s">
        <v>34</v>
      </c>
      <c r="R545" s="2">
        <f t="shared" si="235"/>
        <v>353117.88</v>
      </c>
      <c r="S545" s="2">
        <v>353117.88</v>
      </c>
      <c r="T545" s="28">
        <v>0</v>
      </c>
      <c r="U545" s="2">
        <f t="shared" si="236"/>
        <v>62314.9</v>
      </c>
      <c r="V545" s="28">
        <v>62314.9</v>
      </c>
      <c r="W545" s="2">
        <v>0</v>
      </c>
      <c r="X545" s="2">
        <f t="shared" si="237"/>
        <v>0</v>
      </c>
      <c r="Y545" s="2">
        <v>0</v>
      </c>
      <c r="Z545" s="2">
        <v>0</v>
      </c>
      <c r="AA545" s="2">
        <f t="shared" si="238"/>
        <v>8478.2199999999993</v>
      </c>
      <c r="AB545" s="2">
        <v>8478.2199999999993</v>
      </c>
      <c r="AC545" s="2">
        <v>0</v>
      </c>
      <c r="AD545" s="16">
        <f t="shared" si="234"/>
        <v>423911</v>
      </c>
      <c r="AE545" s="2">
        <v>0</v>
      </c>
      <c r="AF545" s="2">
        <f t="shared" si="239"/>
        <v>423911</v>
      </c>
      <c r="AG545" s="38" t="s">
        <v>486</v>
      </c>
      <c r="AH545" s="29"/>
      <c r="AI545" s="118">
        <v>42391.1</v>
      </c>
      <c r="AJ545" s="30">
        <v>0</v>
      </c>
      <c r="AK545" s="179"/>
    </row>
    <row r="546" spans="1:37" s="43" customFormat="1" ht="236.25" x14ac:dyDescent="0.25">
      <c r="A546" s="6">
        <v>543</v>
      </c>
      <c r="B546" s="31">
        <v>151155</v>
      </c>
      <c r="C546" s="11">
        <v>935</v>
      </c>
      <c r="D546" s="11" t="s">
        <v>1638</v>
      </c>
      <c r="E546" s="24" t="s">
        <v>2258</v>
      </c>
      <c r="F546" s="31" t="s">
        <v>3066</v>
      </c>
      <c r="G546" s="27" t="s">
        <v>3065</v>
      </c>
      <c r="H546" s="11" t="s">
        <v>3067</v>
      </c>
      <c r="I546" s="46" t="s">
        <v>3118</v>
      </c>
      <c r="J546" s="25">
        <v>44781</v>
      </c>
      <c r="K546" s="25">
        <v>45146</v>
      </c>
      <c r="L546" s="26">
        <f t="shared" si="228"/>
        <v>83.30000260556119</v>
      </c>
      <c r="M546" s="11">
        <v>1</v>
      </c>
      <c r="N546" s="11" t="s">
        <v>407</v>
      </c>
      <c r="O546" s="11" t="s">
        <v>3068</v>
      </c>
      <c r="P546" s="11" t="s">
        <v>274</v>
      </c>
      <c r="Q546" s="11" t="s">
        <v>34</v>
      </c>
      <c r="R546" s="2">
        <f t="shared" si="235"/>
        <v>331210.03999999998</v>
      </c>
      <c r="S546" s="2">
        <v>331210.03999999998</v>
      </c>
      <c r="T546" s="28">
        <v>0</v>
      </c>
      <c r="U546" s="2">
        <f t="shared" si="236"/>
        <v>58448.82</v>
      </c>
      <c r="V546" s="28">
        <v>58448.82</v>
      </c>
      <c r="W546" s="2">
        <v>0</v>
      </c>
      <c r="X546" s="2">
        <f t="shared" si="237"/>
        <v>0</v>
      </c>
      <c r="Y546" s="2">
        <v>0</v>
      </c>
      <c r="Z546" s="2">
        <v>0</v>
      </c>
      <c r="AA546" s="2">
        <f t="shared" si="238"/>
        <v>7952.22</v>
      </c>
      <c r="AB546" s="2">
        <v>7952.22</v>
      </c>
      <c r="AC546" s="2">
        <v>0</v>
      </c>
      <c r="AD546" s="16">
        <f t="shared" si="234"/>
        <v>397611.07999999996</v>
      </c>
      <c r="AE546" s="2">
        <v>0</v>
      </c>
      <c r="AF546" s="2">
        <f t="shared" si="239"/>
        <v>397611.07999999996</v>
      </c>
      <c r="AG546" s="38" t="s">
        <v>486</v>
      </c>
      <c r="AH546" s="29"/>
      <c r="AI546" s="118">
        <v>34617.85</v>
      </c>
      <c r="AJ546" s="30">
        <v>0</v>
      </c>
      <c r="AK546" s="179"/>
    </row>
    <row r="547" spans="1:37" s="43" customFormat="1" ht="141.75" x14ac:dyDescent="0.25">
      <c r="A547" s="6">
        <v>544</v>
      </c>
      <c r="B547" s="31">
        <v>151179</v>
      </c>
      <c r="C547" s="11">
        <v>938</v>
      </c>
      <c r="D547" s="11" t="s">
        <v>1638</v>
      </c>
      <c r="E547" s="24" t="s">
        <v>2258</v>
      </c>
      <c r="F547" s="31" t="s">
        <v>3070</v>
      </c>
      <c r="G547" s="27" t="s">
        <v>3069</v>
      </c>
      <c r="H547" s="8" t="s">
        <v>151</v>
      </c>
      <c r="I547" s="46" t="s">
        <v>3119</v>
      </c>
      <c r="J547" s="25">
        <v>44782</v>
      </c>
      <c r="K547" s="25">
        <v>45208</v>
      </c>
      <c r="L547" s="26">
        <f t="shared" si="228"/>
        <v>83.30000113263975</v>
      </c>
      <c r="M547" s="11">
        <v>1</v>
      </c>
      <c r="N547" s="11" t="s">
        <v>407</v>
      </c>
      <c r="O547" s="11" t="s">
        <v>797</v>
      </c>
      <c r="P547" s="11" t="s">
        <v>274</v>
      </c>
      <c r="Q547" s="11" t="s">
        <v>34</v>
      </c>
      <c r="R547" s="2">
        <f t="shared" si="235"/>
        <v>172095.32</v>
      </c>
      <c r="S547" s="2">
        <v>172095.32</v>
      </c>
      <c r="T547" s="28">
        <v>0</v>
      </c>
      <c r="U547" s="2">
        <f t="shared" si="236"/>
        <v>30369.75</v>
      </c>
      <c r="V547" s="28">
        <v>30369.75</v>
      </c>
      <c r="W547" s="2">
        <v>0</v>
      </c>
      <c r="X547" s="2">
        <f t="shared" si="237"/>
        <v>0</v>
      </c>
      <c r="Y547" s="2">
        <v>0</v>
      </c>
      <c r="Z547" s="2">
        <v>0</v>
      </c>
      <c r="AA547" s="2">
        <f t="shared" si="238"/>
        <v>4131.95</v>
      </c>
      <c r="AB547" s="2">
        <v>4131.95</v>
      </c>
      <c r="AC547" s="2">
        <v>0</v>
      </c>
      <c r="AD547" s="16">
        <f t="shared" si="234"/>
        <v>206597.02000000002</v>
      </c>
      <c r="AE547" s="2">
        <v>0</v>
      </c>
      <c r="AF547" s="2">
        <f t="shared" si="239"/>
        <v>206597.02000000002</v>
      </c>
      <c r="AG547" s="38" t="s">
        <v>486</v>
      </c>
      <c r="AH547" s="29"/>
      <c r="AI547" s="118">
        <v>20659.7</v>
      </c>
      <c r="AJ547" s="30">
        <v>0</v>
      </c>
      <c r="AK547" s="179"/>
    </row>
    <row r="548" spans="1:37" s="43" customFormat="1" ht="173.25" x14ac:dyDescent="0.25">
      <c r="A548" s="6">
        <v>545</v>
      </c>
      <c r="B548" s="31">
        <v>151250</v>
      </c>
      <c r="C548" s="11">
        <v>940</v>
      </c>
      <c r="D548" s="11" t="s">
        <v>1638</v>
      </c>
      <c r="E548" s="24" t="s">
        <v>2258</v>
      </c>
      <c r="F548" s="31" t="s">
        <v>3072</v>
      </c>
      <c r="G548" s="27" t="s">
        <v>3071</v>
      </c>
      <c r="H548" s="11" t="s">
        <v>3073</v>
      </c>
      <c r="I548" s="46" t="s">
        <v>3120</v>
      </c>
      <c r="J548" s="25">
        <v>44781</v>
      </c>
      <c r="K548" s="25">
        <v>45207</v>
      </c>
      <c r="L548" s="26">
        <f t="shared" si="228"/>
        <v>83.299998980725618</v>
      </c>
      <c r="M548" s="11">
        <v>2</v>
      </c>
      <c r="N548" s="11" t="s">
        <v>186</v>
      </c>
      <c r="O548" s="11" t="s">
        <v>186</v>
      </c>
      <c r="P548" s="11" t="s">
        <v>274</v>
      </c>
      <c r="Q548" s="11" t="s">
        <v>34</v>
      </c>
      <c r="R548" s="2">
        <f t="shared" si="235"/>
        <v>353868.4</v>
      </c>
      <c r="S548" s="2">
        <v>353868.4</v>
      </c>
      <c r="T548" s="28">
        <v>0</v>
      </c>
      <c r="U548" s="2">
        <f t="shared" si="236"/>
        <v>62447.37</v>
      </c>
      <c r="V548" s="28">
        <v>62447.37</v>
      </c>
      <c r="W548" s="2">
        <v>0</v>
      </c>
      <c r="X548" s="2">
        <f t="shared" si="237"/>
        <v>0</v>
      </c>
      <c r="Y548" s="2">
        <v>0</v>
      </c>
      <c r="Z548" s="2">
        <v>0</v>
      </c>
      <c r="AA548" s="2">
        <f t="shared" si="238"/>
        <v>8496.24</v>
      </c>
      <c r="AB548" s="2">
        <v>8496.24</v>
      </c>
      <c r="AC548" s="2">
        <v>0</v>
      </c>
      <c r="AD548" s="16">
        <f t="shared" si="234"/>
        <v>424812.01</v>
      </c>
      <c r="AE548" s="2">
        <v>0</v>
      </c>
      <c r="AF548" s="2">
        <f t="shared" si="239"/>
        <v>424812.01</v>
      </c>
      <c r="AG548" s="38" t="s">
        <v>486</v>
      </c>
      <c r="AH548" s="29"/>
      <c r="AI548" s="118">
        <v>42481.2</v>
      </c>
      <c r="AJ548" s="30">
        <v>0</v>
      </c>
      <c r="AK548" s="179"/>
    </row>
    <row r="549" spans="1:37" s="43" customFormat="1" ht="173.25" x14ac:dyDescent="0.25">
      <c r="A549" s="6">
        <v>546</v>
      </c>
      <c r="B549" s="31">
        <v>151286</v>
      </c>
      <c r="C549" s="11">
        <v>941</v>
      </c>
      <c r="D549" s="11" t="s">
        <v>1638</v>
      </c>
      <c r="E549" s="24" t="s">
        <v>2258</v>
      </c>
      <c r="F549" s="31" t="s">
        <v>3075</v>
      </c>
      <c r="G549" s="27" t="s">
        <v>3074</v>
      </c>
      <c r="H549" s="8" t="s">
        <v>3076</v>
      </c>
      <c r="I549" s="46" t="s">
        <v>3121</v>
      </c>
      <c r="J549" s="25">
        <v>44782</v>
      </c>
      <c r="K549" s="25">
        <v>45208</v>
      </c>
      <c r="L549" s="26">
        <f t="shared" si="228"/>
        <v>83.300003437285312</v>
      </c>
      <c r="M549" s="11">
        <v>7</v>
      </c>
      <c r="N549" s="11" t="s">
        <v>752</v>
      </c>
      <c r="O549" s="11" t="s">
        <v>3077</v>
      </c>
      <c r="P549" s="11" t="s">
        <v>274</v>
      </c>
      <c r="Q549" s="11" t="s">
        <v>34</v>
      </c>
      <c r="R549" s="2">
        <f t="shared" si="235"/>
        <v>353819.93</v>
      </c>
      <c r="S549" s="2">
        <v>353819.93</v>
      </c>
      <c r="T549" s="28">
        <v>0</v>
      </c>
      <c r="U549" s="2">
        <f t="shared" si="236"/>
        <v>62438.8</v>
      </c>
      <c r="V549" s="28">
        <v>62438.8</v>
      </c>
      <c r="W549" s="2">
        <v>0</v>
      </c>
      <c r="X549" s="2">
        <f t="shared" si="237"/>
        <v>0</v>
      </c>
      <c r="Y549" s="2">
        <v>0</v>
      </c>
      <c r="Z549" s="2">
        <v>0</v>
      </c>
      <c r="AA549" s="2">
        <f t="shared" si="238"/>
        <v>8495.07</v>
      </c>
      <c r="AB549" s="2">
        <v>8495.07</v>
      </c>
      <c r="AC549" s="2">
        <v>0</v>
      </c>
      <c r="AD549" s="16">
        <f t="shared" si="234"/>
        <v>424753.8</v>
      </c>
      <c r="AE549" s="2">
        <v>0</v>
      </c>
      <c r="AF549" s="2">
        <f t="shared" si="239"/>
        <v>424753.8</v>
      </c>
      <c r="AG549" s="38" t="s">
        <v>486</v>
      </c>
      <c r="AH549" s="29"/>
      <c r="AI549" s="118">
        <v>42475.38</v>
      </c>
      <c r="AJ549" s="30">
        <v>0</v>
      </c>
      <c r="AK549" s="179"/>
    </row>
    <row r="550" spans="1:37" s="43" customFormat="1" ht="141.75" x14ac:dyDescent="0.25">
      <c r="A550" s="6">
        <v>547</v>
      </c>
      <c r="B550" s="31">
        <v>151408</v>
      </c>
      <c r="C550" s="11">
        <v>943</v>
      </c>
      <c r="D550" s="11" t="s">
        <v>1638</v>
      </c>
      <c r="E550" s="24" t="s">
        <v>2258</v>
      </c>
      <c r="F550" s="31" t="s">
        <v>3079</v>
      </c>
      <c r="G550" s="27" t="s">
        <v>3078</v>
      </c>
      <c r="H550" s="8" t="s">
        <v>151</v>
      </c>
      <c r="I550" s="46" t="s">
        <v>3080</v>
      </c>
      <c r="J550" s="25">
        <v>44782</v>
      </c>
      <c r="K550" s="25">
        <v>45208</v>
      </c>
      <c r="L550" s="26">
        <f t="shared" si="228"/>
        <v>83.300004010275742</v>
      </c>
      <c r="M550" s="11">
        <v>2</v>
      </c>
      <c r="N550" s="11" t="s">
        <v>280</v>
      </c>
      <c r="O550" s="11" t="s">
        <v>3081</v>
      </c>
      <c r="P550" s="11" t="s">
        <v>274</v>
      </c>
      <c r="Q550" s="11" t="s">
        <v>34</v>
      </c>
      <c r="R550" s="2">
        <f t="shared" si="235"/>
        <v>353117.88</v>
      </c>
      <c r="S550" s="2">
        <v>353117.88</v>
      </c>
      <c r="T550" s="28">
        <v>0</v>
      </c>
      <c r="U550" s="2">
        <f t="shared" si="236"/>
        <v>62314.9</v>
      </c>
      <c r="V550" s="28">
        <v>62314.9</v>
      </c>
      <c r="W550" s="2">
        <v>0</v>
      </c>
      <c r="X550" s="2">
        <f t="shared" si="237"/>
        <v>0</v>
      </c>
      <c r="Y550" s="2">
        <v>0</v>
      </c>
      <c r="Z550" s="2">
        <v>0</v>
      </c>
      <c r="AA550" s="2">
        <f t="shared" si="238"/>
        <v>8478.2199999999993</v>
      </c>
      <c r="AB550" s="2">
        <v>8478.2199999999993</v>
      </c>
      <c r="AC550" s="2">
        <v>0</v>
      </c>
      <c r="AD550" s="16">
        <f t="shared" si="234"/>
        <v>423911</v>
      </c>
      <c r="AE550" s="2">
        <v>0</v>
      </c>
      <c r="AF550" s="2">
        <f t="shared" si="239"/>
        <v>423911</v>
      </c>
      <c r="AG550" s="38" t="s">
        <v>486</v>
      </c>
      <c r="AH550" s="29"/>
      <c r="AI550" s="118">
        <v>42391.1</v>
      </c>
      <c r="AJ550" s="30">
        <v>0</v>
      </c>
      <c r="AK550" s="179"/>
    </row>
    <row r="551" spans="1:37" s="43" customFormat="1" ht="157.5" x14ac:dyDescent="0.25">
      <c r="A551" s="6">
        <v>548</v>
      </c>
      <c r="B551" s="31">
        <v>151439</v>
      </c>
      <c r="C551" s="11">
        <v>946</v>
      </c>
      <c r="D551" s="11" t="s">
        <v>1638</v>
      </c>
      <c r="E551" s="24" t="s">
        <v>2258</v>
      </c>
      <c r="F551" s="31" t="s">
        <v>3083</v>
      </c>
      <c r="G551" s="27" t="s">
        <v>3082</v>
      </c>
      <c r="H551" s="8" t="s">
        <v>151</v>
      </c>
      <c r="I551" s="46" t="s">
        <v>3084</v>
      </c>
      <c r="J551" s="25">
        <v>44782</v>
      </c>
      <c r="K551" s="25">
        <v>45208</v>
      </c>
      <c r="L551" s="26">
        <f t="shared" si="228"/>
        <v>83.299998833853991</v>
      </c>
      <c r="M551" s="11">
        <v>7</v>
      </c>
      <c r="N551" s="11" t="s">
        <v>226</v>
      </c>
      <c r="O551" s="11" t="s">
        <v>226</v>
      </c>
      <c r="P551" s="11" t="s">
        <v>274</v>
      </c>
      <c r="Q551" s="11" t="s">
        <v>34</v>
      </c>
      <c r="R551" s="2">
        <f t="shared" si="235"/>
        <v>321443.45</v>
      </c>
      <c r="S551" s="2">
        <v>321443.45</v>
      </c>
      <c r="T551" s="28">
        <v>0</v>
      </c>
      <c r="U551" s="2">
        <f t="shared" si="236"/>
        <v>56725.32</v>
      </c>
      <c r="V551" s="28">
        <v>56725.32</v>
      </c>
      <c r="W551" s="2">
        <v>0</v>
      </c>
      <c r="X551" s="2">
        <f t="shared" si="237"/>
        <v>0</v>
      </c>
      <c r="Y551" s="2">
        <v>0</v>
      </c>
      <c r="Z551" s="2">
        <v>0</v>
      </c>
      <c r="AA551" s="2">
        <f t="shared" si="238"/>
        <v>7717.73</v>
      </c>
      <c r="AB551" s="2">
        <v>7717.73</v>
      </c>
      <c r="AC551" s="2">
        <v>0</v>
      </c>
      <c r="AD551" s="16">
        <f t="shared" si="234"/>
        <v>385886.5</v>
      </c>
      <c r="AE551" s="2">
        <v>0</v>
      </c>
      <c r="AF551" s="2">
        <f t="shared" si="239"/>
        <v>385886.5</v>
      </c>
      <c r="AG551" s="38" t="s">
        <v>486</v>
      </c>
      <c r="AH551" s="29"/>
      <c r="AI551" s="118">
        <v>0</v>
      </c>
      <c r="AJ551" s="30">
        <v>0</v>
      </c>
      <c r="AK551" s="179"/>
    </row>
    <row r="552" spans="1:37" s="43" customFormat="1" ht="141.75" x14ac:dyDescent="0.25">
      <c r="A552" s="6">
        <v>549</v>
      </c>
      <c r="B552" s="31">
        <v>151557</v>
      </c>
      <c r="C552" s="11">
        <v>1011</v>
      </c>
      <c r="D552" s="11" t="s">
        <v>1638</v>
      </c>
      <c r="E552" s="24" t="s">
        <v>2258</v>
      </c>
      <c r="F552" s="31" t="s">
        <v>3086</v>
      </c>
      <c r="G552" s="27" t="s">
        <v>3085</v>
      </c>
      <c r="H552" s="8" t="s">
        <v>151</v>
      </c>
      <c r="I552" s="46" t="s">
        <v>3122</v>
      </c>
      <c r="J552" s="25">
        <v>44782</v>
      </c>
      <c r="K552" s="25">
        <v>45025</v>
      </c>
      <c r="L552" s="26">
        <f t="shared" si="228"/>
        <v>83.299999206311455</v>
      </c>
      <c r="M552" s="11">
        <v>5</v>
      </c>
      <c r="N552" s="11" t="s">
        <v>592</v>
      </c>
      <c r="O552" s="11" t="s">
        <v>3087</v>
      </c>
      <c r="P552" s="11" t="s">
        <v>274</v>
      </c>
      <c r="Q552" s="11" t="s">
        <v>34</v>
      </c>
      <c r="R552" s="2">
        <f t="shared" si="235"/>
        <v>350543.04</v>
      </c>
      <c r="S552" s="2">
        <v>350543.04</v>
      </c>
      <c r="T552" s="28">
        <v>0</v>
      </c>
      <c r="U552" s="2">
        <f t="shared" si="236"/>
        <v>61860.54</v>
      </c>
      <c r="V552" s="28">
        <v>61860.54</v>
      </c>
      <c r="W552" s="2">
        <v>0</v>
      </c>
      <c r="X552" s="2">
        <f t="shared" si="237"/>
        <v>0</v>
      </c>
      <c r="Y552" s="2">
        <v>0</v>
      </c>
      <c r="Z552" s="2">
        <v>0</v>
      </c>
      <c r="AA552" s="2">
        <f t="shared" si="238"/>
        <v>8416.4</v>
      </c>
      <c r="AB552" s="2">
        <v>8416.4</v>
      </c>
      <c r="AC552" s="2">
        <v>0</v>
      </c>
      <c r="AD552" s="16">
        <f t="shared" si="234"/>
        <v>420819.98</v>
      </c>
      <c r="AE552" s="2">
        <v>0</v>
      </c>
      <c r="AF552" s="2">
        <f t="shared" si="239"/>
        <v>420819.98</v>
      </c>
      <c r="AG552" s="38" t="s">
        <v>486</v>
      </c>
      <c r="AH552" s="29"/>
      <c r="AI552" s="118">
        <v>42081</v>
      </c>
      <c r="AJ552" s="30">
        <v>0</v>
      </c>
      <c r="AK552" s="179"/>
    </row>
    <row r="553" spans="1:37" s="43" customFormat="1" ht="236.25" x14ac:dyDescent="0.25">
      <c r="A553" s="6">
        <v>550</v>
      </c>
      <c r="B553" s="31">
        <v>151437</v>
      </c>
      <c r="C553" s="11">
        <v>1017</v>
      </c>
      <c r="D553" s="11" t="s">
        <v>1638</v>
      </c>
      <c r="E553" s="24" t="s">
        <v>2258</v>
      </c>
      <c r="F553" s="31" t="s">
        <v>3089</v>
      </c>
      <c r="G553" s="27" t="s">
        <v>3088</v>
      </c>
      <c r="H553" s="8" t="s">
        <v>151</v>
      </c>
      <c r="I553" s="46" t="s">
        <v>3123</v>
      </c>
      <c r="J553" s="25">
        <v>44782</v>
      </c>
      <c r="K553" s="25">
        <v>45147</v>
      </c>
      <c r="L553" s="26">
        <f t="shared" si="228"/>
        <v>83.300001399003847</v>
      </c>
      <c r="M553" s="11">
        <v>5</v>
      </c>
      <c r="N553" s="11" t="s">
        <v>285</v>
      </c>
      <c r="O553" s="11" t="s">
        <v>3090</v>
      </c>
      <c r="P553" s="11" t="s">
        <v>274</v>
      </c>
      <c r="Q553" s="11" t="s">
        <v>34</v>
      </c>
      <c r="R553" s="2">
        <f t="shared" si="235"/>
        <v>353681.66</v>
      </c>
      <c r="S553" s="2">
        <v>353681.66</v>
      </c>
      <c r="T553" s="28">
        <v>0</v>
      </c>
      <c r="U553" s="2">
        <f t="shared" si="236"/>
        <v>62414.400000000001</v>
      </c>
      <c r="V553" s="28">
        <v>62414.400000000001</v>
      </c>
      <c r="W553" s="2">
        <v>0</v>
      </c>
      <c r="X553" s="2">
        <f t="shared" si="237"/>
        <v>0</v>
      </c>
      <c r="Y553" s="2">
        <v>0</v>
      </c>
      <c r="Z553" s="2">
        <v>0</v>
      </c>
      <c r="AA553" s="2">
        <f t="shared" si="238"/>
        <v>8491.76</v>
      </c>
      <c r="AB553" s="2">
        <v>8491.76</v>
      </c>
      <c r="AC553" s="2">
        <v>0</v>
      </c>
      <c r="AD553" s="16">
        <f t="shared" si="234"/>
        <v>424587.82</v>
      </c>
      <c r="AE553" s="2">
        <v>0</v>
      </c>
      <c r="AF553" s="2">
        <f t="shared" si="239"/>
        <v>424587.82</v>
      </c>
      <c r="AG553" s="38" t="s">
        <v>486</v>
      </c>
      <c r="AH553" s="29"/>
      <c r="AI553" s="118">
        <v>0</v>
      </c>
      <c r="AJ553" s="30">
        <v>0</v>
      </c>
      <c r="AK553" s="179"/>
    </row>
    <row r="554" spans="1:37" s="43" customFormat="1" ht="141.75" x14ac:dyDescent="0.25">
      <c r="A554" s="6">
        <v>551</v>
      </c>
      <c r="B554" s="31">
        <v>151465</v>
      </c>
      <c r="C554" s="11">
        <v>1020</v>
      </c>
      <c r="D554" s="11" t="s">
        <v>1638</v>
      </c>
      <c r="E554" s="24" t="s">
        <v>2258</v>
      </c>
      <c r="F554" s="31" t="s">
        <v>3092</v>
      </c>
      <c r="G554" s="27" t="s">
        <v>3091</v>
      </c>
      <c r="H554" s="8" t="s">
        <v>151</v>
      </c>
      <c r="I554" s="46" t="s">
        <v>3124</v>
      </c>
      <c r="J554" s="25">
        <v>44782</v>
      </c>
      <c r="K554" s="25">
        <v>45208</v>
      </c>
      <c r="L554" s="26">
        <f t="shared" si="228"/>
        <v>83.300000000000011</v>
      </c>
      <c r="M554" s="11">
        <v>4</v>
      </c>
      <c r="N554" s="11" t="s">
        <v>499</v>
      </c>
      <c r="O554" s="11" t="s">
        <v>746</v>
      </c>
      <c r="P554" s="11" t="s">
        <v>274</v>
      </c>
      <c r="Q554" s="11" t="s">
        <v>34</v>
      </c>
      <c r="R554" s="2">
        <f t="shared" si="235"/>
        <v>342696.2</v>
      </c>
      <c r="S554" s="2">
        <v>342696.2</v>
      </c>
      <c r="T554" s="28">
        <v>0</v>
      </c>
      <c r="U554" s="2">
        <f t="shared" si="236"/>
        <v>60475.8</v>
      </c>
      <c r="V554" s="28">
        <v>60475.8</v>
      </c>
      <c r="W554" s="2">
        <v>0</v>
      </c>
      <c r="X554" s="2">
        <f t="shared" si="237"/>
        <v>0</v>
      </c>
      <c r="Y554" s="2">
        <v>0</v>
      </c>
      <c r="Z554" s="2">
        <v>0</v>
      </c>
      <c r="AA554" s="2">
        <f t="shared" si="238"/>
        <v>8228</v>
      </c>
      <c r="AB554" s="2">
        <v>8228</v>
      </c>
      <c r="AC554" s="2">
        <v>0</v>
      </c>
      <c r="AD554" s="16">
        <f t="shared" si="234"/>
        <v>411400</v>
      </c>
      <c r="AE554" s="2">
        <v>0</v>
      </c>
      <c r="AF554" s="2">
        <f t="shared" si="239"/>
        <v>411400</v>
      </c>
      <c r="AG554" s="38" t="s">
        <v>486</v>
      </c>
      <c r="AH554" s="29"/>
      <c r="AI554" s="118">
        <v>41140</v>
      </c>
      <c r="AJ554" s="30">
        <v>0</v>
      </c>
      <c r="AK554" s="179"/>
    </row>
    <row r="555" spans="1:37" s="43" customFormat="1" ht="141.75" x14ac:dyDescent="0.25">
      <c r="A555" s="6">
        <v>552</v>
      </c>
      <c r="B555" s="31">
        <v>150925</v>
      </c>
      <c r="C555" s="11">
        <v>883</v>
      </c>
      <c r="D555" s="11" t="s">
        <v>1638</v>
      </c>
      <c r="E555" s="24" t="s">
        <v>2258</v>
      </c>
      <c r="F555" s="31" t="s">
        <v>3098</v>
      </c>
      <c r="G555" s="27" t="s">
        <v>3097</v>
      </c>
      <c r="H555" s="8" t="s">
        <v>151</v>
      </c>
      <c r="I555" s="46" t="s">
        <v>3099</v>
      </c>
      <c r="J555" s="25">
        <v>44785</v>
      </c>
      <c r="K555" s="25">
        <v>45211</v>
      </c>
      <c r="L555" s="26">
        <f t="shared" si="228"/>
        <v>83.300005882352949</v>
      </c>
      <c r="M555" s="11">
        <v>1</v>
      </c>
      <c r="N555" s="11" t="s">
        <v>361</v>
      </c>
      <c r="O555" s="11" t="s">
        <v>3100</v>
      </c>
      <c r="P555" s="11" t="s">
        <v>274</v>
      </c>
      <c r="Q555" s="11" t="s">
        <v>34</v>
      </c>
      <c r="R555" s="2">
        <f t="shared" si="235"/>
        <v>141610.01</v>
      </c>
      <c r="S555" s="2">
        <v>141610.01</v>
      </c>
      <c r="T555" s="28">
        <v>0</v>
      </c>
      <c r="U555" s="2">
        <f t="shared" si="236"/>
        <v>24989.99</v>
      </c>
      <c r="V555" s="28">
        <v>24989.99</v>
      </c>
      <c r="W555" s="2">
        <v>0</v>
      </c>
      <c r="X555" s="2">
        <f t="shared" si="237"/>
        <v>0</v>
      </c>
      <c r="Y555" s="2">
        <v>0</v>
      </c>
      <c r="Z555" s="2">
        <v>0</v>
      </c>
      <c r="AA555" s="2">
        <f t="shared" si="238"/>
        <v>3400</v>
      </c>
      <c r="AB555" s="2">
        <v>3400</v>
      </c>
      <c r="AC555" s="2">
        <v>0</v>
      </c>
      <c r="AD555" s="16">
        <f t="shared" si="234"/>
        <v>170000</v>
      </c>
      <c r="AE555" s="2">
        <v>0</v>
      </c>
      <c r="AF555" s="2">
        <f t="shared" si="239"/>
        <v>170000</v>
      </c>
      <c r="AG555" s="38" t="s">
        <v>486</v>
      </c>
      <c r="AH555" s="29"/>
      <c r="AI555" s="118">
        <v>17000</v>
      </c>
      <c r="AJ555" s="30">
        <v>0</v>
      </c>
      <c r="AK555" s="179"/>
    </row>
    <row r="556" spans="1:37" s="43" customFormat="1" ht="283.5" x14ac:dyDescent="0.25">
      <c r="A556" s="6">
        <v>553</v>
      </c>
      <c r="B556" s="31">
        <v>151169</v>
      </c>
      <c r="C556" s="11">
        <v>937</v>
      </c>
      <c r="D556" s="11" t="s">
        <v>1638</v>
      </c>
      <c r="E556" s="24" t="s">
        <v>2258</v>
      </c>
      <c r="F556" s="31" t="s">
        <v>3102</v>
      </c>
      <c r="G556" s="27" t="s">
        <v>3101</v>
      </c>
      <c r="H556" s="8" t="s">
        <v>151</v>
      </c>
      <c r="I556" s="46" t="s">
        <v>3125</v>
      </c>
      <c r="J556" s="25">
        <v>44784</v>
      </c>
      <c r="K556" s="25">
        <v>45149</v>
      </c>
      <c r="L556" s="26">
        <f t="shared" si="228"/>
        <v>83.300002544322169</v>
      </c>
      <c r="M556" s="11">
        <v>1</v>
      </c>
      <c r="N556" s="11" t="s">
        <v>407</v>
      </c>
      <c r="O556" s="11" t="s">
        <v>3103</v>
      </c>
      <c r="P556" s="11" t="s">
        <v>274</v>
      </c>
      <c r="Q556" s="11" t="s">
        <v>34</v>
      </c>
      <c r="R556" s="2">
        <f t="shared" si="235"/>
        <v>329360.03000000003</v>
      </c>
      <c r="S556" s="2">
        <v>329360.03000000003</v>
      </c>
      <c r="T556" s="28">
        <v>0</v>
      </c>
      <c r="U556" s="2">
        <f t="shared" si="236"/>
        <v>58122.35</v>
      </c>
      <c r="V556" s="28">
        <v>58122.35</v>
      </c>
      <c r="W556" s="2">
        <v>0</v>
      </c>
      <c r="X556" s="2">
        <f t="shared" si="237"/>
        <v>0</v>
      </c>
      <c r="Y556" s="2">
        <v>0</v>
      </c>
      <c r="Z556" s="2">
        <v>0</v>
      </c>
      <c r="AA556" s="2">
        <f t="shared" si="238"/>
        <v>7907.8</v>
      </c>
      <c r="AB556" s="2">
        <v>7907.8</v>
      </c>
      <c r="AC556" s="2">
        <v>0</v>
      </c>
      <c r="AD556" s="16">
        <f t="shared" si="234"/>
        <v>395390.18</v>
      </c>
      <c r="AE556" s="2">
        <v>0</v>
      </c>
      <c r="AF556" s="2">
        <f t="shared" si="239"/>
        <v>395390.18</v>
      </c>
      <c r="AG556" s="38" t="s">
        <v>486</v>
      </c>
      <c r="AH556" s="29"/>
      <c r="AI556" s="118">
        <v>39539.01</v>
      </c>
      <c r="AJ556" s="30">
        <v>0</v>
      </c>
      <c r="AK556" s="179"/>
    </row>
    <row r="557" spans="1:37" s="43" customFormat="1" ht="204.75" x14ac:dyDescent="0.25">
      <c r="A557" s="6">
        <v>554</v>
      </c>
      <c r="B557" s="31">
        <v>151484</v>
      </c>
      <c r="C557" s="11">
        <v>947</v>
      </c>
      <c r="D557" s="11" t="s">
        <v>1638</v>
      </c>
      <c r="E557" s="24" t="s">
        <v>2258</v>
      </c>
      <c r="F557" s="31" t="s">
        <v>3104</v>
      </c>
      <c r="G557" s="27" t="s">
        <v>2355</v>
      </c>
      <c r="H557" s="8" t="s">
        <v>151</v>
      </c>
      <c r="I557" s="46" t="s">
        <v>3126</v>
      </c>
      <c r="J557" s="25">
        <v>44784</v>
      </c>
      <c r="K557" s="25">
        <v>45210</v>
      </c>
      <c r="L557" s="26">
        <f t="shared" si="228"/>
        <v>83.300001737399867</v>
      </c>
      <c r="M557" s="11">
        <v>7</v>
      </c>
      <c r="N557" s="11" t="s">
        <v>752</v>
      </c>
      <c r="O557" s="11" t="s">
        <v>752</v>
      </c>
      <c r="P557" s="11" t="s">
        <v>274</v>
      </c>
      <c r="Q557" s="11" t="s">
        <v>34</v>
      </c>
      <c r="R557" s="2">
        <f t="shared" si="235"/>
        <v>353356.2</v>
      </c>
      <c r="S557" s="2">
        <v>353356.2</v>
      </c>
      <c r="T557" s="28">
        <v>0</v>
      </c>
      <c r="U557" s="2">
        <f t="shared" si="236"/>
        <v>62356.98</v>
      </c>
      <c r="V557" s="28">
        <v>62356.98</v>
      </c>
      <c r="W557" s="2">
        <v>0</v>
      </c>
      <c r="X557" s="2">
        <f t="shared" si="237"/>
        <v>0</v>
      </c>
      <c r="Y557" s="2">
        <v>0</v>
      </c>
      <c r="Z557" s="2">
        <v>0</v>
      </c>
      <c r="AA557" s="2">
        <f t="shared" si="238"/>
        <v>8483.93</v>
      </c>
      <c r="AB557" s="2">
        <v>8483.93</v>
      </c>
      <c r="AC557" s="2">
        <v>0</v>
      </c>
      <c r="AD557" s="16">
        <f t="shared" si="234"/>
        <v>424197.11</v>
      </c>
      <c r="AE557" s="2">
        <v>0</v>
      </c>
      <c r="AF557" s="2">
        <f t="shared" si="239"/>
        <v>424197.11</v>
      </c>
      <c r="AG557" s="38" t="s">
        <v>486</v>
      </c>
      <c r="AH557" s="29"/>
      <c r="AI557" s="118">
        <v>42419.71</v>
      </c>
      <c r="AJ557" s="30">
        <v>0</v>
      </c>
      <c r="AK557" s="179"/>
    </row>
    <row r="558" spans="1:37" s="43" customFormat="1" ht="299.25" x14ac:dyDescent="0.25">
      <c r="A558" s="6">
        <v>555</v>
      </c>
      <c r="B558" s="31">
        <v>151486</v>
      </c>
      <c r="C558" s="11">
        <v>948</v>
      </c>
      <c r="D558" s="11" t="s">
        <v>1638</v>
      </c>
      <c r="E558" s="24" t="s">
        <v>2258</v>
      </c>
      <c r="F558" s="31" t="s">
        <v>3106</v>
      </c>
      <c r="G558" s="27" t="s">
        <v>3105</v>
      </c>
      <c r="H558" s="8" t="s">
        <v>151</v>
      </c>
      <c r="I558" s="46" t="s">
        <v>3127</v>
      </c>
      <c r="J558" s="25">
        <v>44784</v>
      </c>
      <c r="K558" s="25">
        <v>45180</v>
      </c>
      <c r="L558" s="26">
        <f t="shared" si="228"/>
        <v>83.300001970656808</v>
      </c>
      <c r="M558" s="11">
        <v>4</v>
      </c>
      <c r="N558" s="11" t="s">
        <v>499</v>
      </c>
      <c r="O558" s="11" t="s">
        <v>3107</v>
      </c>
      <c r="P558" s="11" t="s">
        <v>274</v>
      </c>
      <c r="Q558" s="11" t="s">
        <v>34</v>
      </c>
      <c r="R558" s="2">
        <f t="shared" si="235"/>
        <v>236290.26</v>
      </c>
      <c r="S558" s="2">
        <v>236290.26</v>
      </c>
      <c r="T558" s="28">
        <v>0</v>
      </c>
      <c r="U558" s="2">
        <f t="shared" si="236"/>
        <v>41698.28</v>
      </c>
      <c r="V558" s="28">
        <v>41698.28</v>
      </c>
      <c r="W558" s="2">
        <v>0</v>
      </c>
      <c r="X558" s="2">
        <f t="shared" si="237"/>
        <v>0</v>
      </c>
      <c r="Y558" s="2">
        <v>0</v>
      </c>
      <c r="Z558" s="2">
        <v>0</v>
      </c>
      <c r="AA558" s="2">
        <f t="shared" si="238"/>
        <v>5673.23</v>
      </c>
      <c r="AB558" s="2">
        <v>5673.23</v>
      </c>
      <c r="AC558" s="2">
        <v>0</v>
      </c>
      <c r="AD558" s="16">
        <f t="shared" si="234"/>
        <v>283661.77</v>
      </c>
      <c r="AE558" s="2">
        <v>0</v>
      </c>
      <c r="AF558" s="2">
        <f t="shared" si="239"/>
        <v>283661.77</v>
      </c>
      <c r="AG558" s="38" t="s">
        <v>486</v>
      </c>
      <c r="AH558" s="29"/>
      <c r="AI558" s="118">
        <v>28366</v>
      </c>
      <c r="AJ558" s="30">
        <v>0</v>
      </c>
      <c r="AK558" s="179"/>
    </row>
    <row r="559" spans="1:37" s="43" customFormat="1" ht="409.5" x14ac:dyDescent="0.25">
      <c r="A559" s="6">
        <v>556</v>
      </c>
      <c r="B559" s="31">
        <v>151020</v>
      </c>
      <c r="C559" s="11">
        <v>1029</v>
      </c>
      <c r="D559" s="11" t="s">
        <v>1638</v>
      </c>
      <c r="E559" s="24" t="s">
        <v>2258</v>
      </c>
      <c r="F559" s="31" t="s">
        <v>3108</v>
      </c>
      <c r="G559" s="27" t="s">
        <v>894</v>
      </c>
      <c r="H559" s="8" t="s">
        <v>151</v>
      </c>
      <c r="I559" s="46" t="s">
        <v>3128</v>
      </c>
      <c r="J559" s="25">
        <v>44784</v>
      </c>
      <c r="K559" s="25">
        <v>45210</v>
      </c>
      <c r="L559" s="26">
        <f t="shared" si="228"/>
        <v>83.299995411457004</v>
      </c>
      <c r="M559" s="11">
        <v>4</v>
      </c>
      <c r="N559" s="11" t="s">
        <v>231</v>
      </c>
      <c r="O559" s="11" t="s">
        <v>3109</v>
      </c>
      <c r="P559" s="11" t="s">
        <v>274</v>
      </c>
      <c r="Q559" s="11" t="s">
        <v>34</v>
      </c>
      <c r="R559" s="2">
        <f t="shared" si="235"/>
        <v>354001.24</v>
      </c>
      <c r="S559" s="2">
        <v>354001.24</v>
      </c>
      <c r="T559" s="28">
        <v>0</v>
      </c>
      <c r="U559" s="2">
        <f t="shared" si="236"/>
        <v>62470.83</v>
      </c>
      <c r="V559" s="28">
        <v>62470.83</v>
      </c>
      <c r="W559" s="2">
        <v>0</v>
      </c>
      <c r="X559" s="2">
        <f t="shared" si="237"/>
        <v>0</v>
      </c>
      <c r="Y559" s="2">
        <v>0</v>
      </c>
      <c r="Z559" s="2">
        <v>0</v>
      </c>
      <c r="AA559" s="2">
        <f t="shared" si="238"/>
        <v>8499.43</v>
      </c>
      <c r="AB559" s="2">
        <v>8499.43</v>
      </c>
      <c r="AC559" s="2">
        <v>0</v>
      </c>
      <c r="AD559" s="16">
        <f t="shared" si="234"/>
        <v>424971.5</v>
      </c>
      <c r="AE559" s="2">
        <v>0</v>
      </c>
      <c r="AF559" s="2">
        <f t="shared" si="239"/>
        <v>424971.5</v>
      </c>
      <c r="AG559" s="38" t="s">
        <v>486</v>
      </c>
      <c r="AH559" s="29"/>
      <c r="AI559" s="118">
        <v>42497.15</v>
      </c>
      <c r="AJ559" s="30">
        <v>0</v>
      </c>
      <c r="AK559" s="179"/>
    </row>
    <row r="560" spans="1:37" s="43" customFormat="1" ht="204.75" x14ac:dyDescent="0.25">
      <c r="A560" s="6">
        <v>557</v>
      </c>
      <c r="B560" s="31">
        <v>151358</v>
      </c>
      <c r="C560" s="11">
        <v>1039</v>
      </c>
      <c r="D560" s="11" t="s">
        <v>1638</v>
      </c>
      <c r="E560" s="24" t="s">
        <v>2258</v>
      </c>
      <c r="F560" s="31" t="s">
        <v>3111</v>
      </c>
      <c r="G560" s="27" t="s">
        <v>3110</v>
      </c>
      <c r="H560" s="8" t="s">
        <v>151</v>
      </c>
      <c r="I560" s="46" t="s">
        <v>3129</v>
      </c>
      <c r="J560" s="25">
        <v>44784</v>
      </c>
      <c r="K560" s="25">
        <v>45149</v>
      </c>
      <c r="L560" s="26">
        <f t="shared" si="228"/>
        <v>83.299987794295419</v>
      </c>
      <c r="M560" s="11">
        <v>6</v>
      </c>
      <c r="N560" s="11" t="s">
        <v>182</v>
      </c>
      <c r="O560" s="11" t="s">
        <v>394</v>
      </c>
      <c r="P560" s="11" t="s">
        <v>274</v>
      </c>
      <c r="Q560" s="11" t="s">
        <v>34</v>
      </c>
      <c r="R560" s="2">
        <f t="shared" si="235"/>
        <v>348740.98</v>
      </c>
      <c r="S560" s="2">
        <v>348740.98</v>
      </c>
      <c r="T560" s="28">
        <v>0</v>
      </c>
      <c r="U560" s="2">
        <f t="shared" si="236"/>
        <v>61542.57</v>
      </c>
      <c r="V560" s="28">
        <v>61542.57</v>
      </c>
      <c r="W560" s="2">
        <v>0</v>
      </c>
      <c r="X560" s="2">
        <f t="shared" si="237"/>
        <v>0</v>
      </c>
      <c r="Y560" s="2">
        <v>0</v>
      </c>
      <c r="Z560" s="2">
        <v>0</v>
      </c>
      <c r="AA560" s="2">
        <f t="shared" si="238"/>
        <v>8373.15</v>
      </c>
      <c r="AB560" s="2">
        <v>8373.15</v>
      </c>
      <c r="AC560" s="2">
        <v>0</v>
      </c>
      <c r="AD560" s="16">
        <f t="shared" si="234"/>
        <v>418656.7</v>
      </c>
      <c r="AE560" s="2">
        <v>0</v>
      </c>
      <c r="AF560" s="2">
        <f t="shared" si="239"/>
        <v>418656.7</v>
      </c>
      <c r="AG560" s="38" t="s">
        <v>486</v>
      </c>
      <c r="AH560" s="29"/>
      <c r="AI560" s="118">
        <v>41865.67</v>
      </c>
      <c r="AJ560" s="30">
        <v>0</v>
      </c>
      <c r="AK560" s="179"/>
    </row>
    <row r="561" spans="1:37" s="43" customFormat="1" ht="141.75" x14ac:dyDescent="0.25">
      <c r="A561" s="6">
        <v>558</v>
      </c>
      <c r="B561" s="31">
        <v>151340</v>
      </c>
      <c r="C561" s="11">
        <v>1053</v>
      </c>
      <c r="D561" s="11" t="s">
        <v>1638</v>
      </c>
      <c r="E561" s="24" t="s">
        <v>2258</v>
      </c>
      <c r="F561" s="31" t="s">
        <v>3113</v>
      </c>
      <c r="G561" s="27" t="s">
        <v>3112</v>
      </c>
      <c r="H561" s="8" t="s">
        <v>151</v>
      </c>
      <c r="I561" s="46" t="s">
        <v>3114</v>
      </c>
      <c r="J561" s="25">
        <v>44783</v>
      </c>
      <c r="K561" s="25">
        <v>45026</v>
      </c>
      <c r="L561" s="26">
        <f t="shared" si="228"/>
        <v>83.300002497334248</v>
      </c>
      <c r="M561" s="11">
        <v>3</v>
      </c>
      <c r="N561" s="11" t="s">
        <v>330</v>
      </c>
      <c r="O561" s="11" t="s">
        <v>3115</v>
      </c>
      <c r="P561" s="11" t="s">
        <v>274</v>
      </c>
      <c r="Q561" s="11" t="s">
        <v>34</v>
      </c>
      <c r="R561" s="2">
        <f t="shared" si="235"/>
        <v>352901.91</v>
      </c>
      <c r="S561" s="2">
        <v>352901.91</v>
      </c>
      <c r="T561" s="28">
        <v>0</v>
      </c>
      <c r="U561" s="2">
        <f t="shared" si="236"/>
        <v>62276.800000000003</v>
      </c>
      <c r="V561" s="28">
        <v>62276.800000000003</v>
      </c>
      <c r="W561" s="2">
        <v>0</v>
      </c>
      <c r="X561" s="2">
        <f t="shared" si="237"/>
        <v>0</v>
      </c>
      <c r="Y561" s="2">
        <v>0</v>
      </c>
      <c r="Z561" s="2">
        <v>0</v>
      </c>
      <c r="AA561" s="2">
        <f t="shared" si="238"/>
        <v>8473.0300000000007</v>
      </c>
      <c r="AB561" s="2">
        <v>8473.0300000000007</v>
      </c>
      <c r="AC561" s="2">
        <v>0</v>
      </c>
      <c r="AD561" s="16">
        <f t="shared" si="234"/>
        <v>423651.74</v>
      </c>
      <c r="AE561" s="2">
        <v>0</v>
      </c>
      <c r="AF561" s="2">
        <f t="shared" si="239"/>
        <v>423651.74</v>
      </c>
      <c r="AG561" s="38" t="s">
        <v>486</v>
      </c>
      <c r="AH561" s="29"/>
      <c r="AI561" s="118">
        <v>42365.17</v>
      </c>
      <c r="AJ561" s="30">
        <v>0</v>
      </c>
      <c r="AK561" s="179"/>
    </row>
    <row r="562" spans="1:37" s="43" customFormat="1" ht="141.75" x14ac:dyDescent="0.25">
      <c r="A562" s="6">
        <v>559</v>
      </c>
      <c r="B562" s="31">
        <v>151528</v>
      </c>
      <c r="C562" s="11">
        <v>921</v>
      </c>
      <c r="D562" s="11" t="s">
        <v>1638</v>
      </c>
      <c r="E562" s="24" t="s">
        <v>2258</v>
      </c>
      <c r="F562" s="31" t="s">
        <v>3135</v>
      </c>
      <c r="G562" s="27" t="s">
        <v>3134</v>
      </c>
      <c r="H562" s="8" t="s">
        <v>151</v>
      </c>
      <c r="I562" s="46" t="s">
        <v>3137</v>
      </c>
      <c r="J562" s="25">
        <v>44790</v>
      </c>
      <c r="K562" s="25">
        <v>45216</v>
      </c>
      <c r="L562" s="26">
        <f t="shared" si="228"/>
        <v>83.300004010275742</v>
      </c>
      <c r="M562" s="11">
        <v>2</v>
      </c>
      <c r="N562" s="11" t="s">
        <v>280</v>
      </c>
      <c r="O562" s="11" t="s">
        <v>3136</v>
      </c>
      <c r="P562" s="11" t="s">
        <v>274</v>
      </c>
      <c r="Q562" s="11" t="s">
        <v>34</v>
      </c>
      <c r="R562" s="2">
        <f t="shared" si="235"/>
        <v>353117.88</v>
      </c>
      <c r="S562" s="2">
        <v>353117.88</v>
      </c>
      <c r="T562" s="2">
        <v>0</v>
      </c>
      <c r="U562" s="2">
        <f t="shared" si="236"/>
        <v>62314.9</v>
      </c>
      <c r="V562" s="28">
        <v>62314.9</v>
      </c>
      <c r="W562" s="2">
        <v>0</v>
      </c>
      <c r="X562" s="2">
        <f t="shared" si="237"/>
        <v>0</v>
      </c>
      <c r="Y562" s="2">
        <v>0</v>
      </c>
      <c r="Z562" s="2">
        <v>0</v>
      </c>
      <c r="AA562" s="2">
        <f t="shared" si="238"/>
        <v>8478.2199999999993</v>
      </c>
      <c r="AB562" s="2">
        <v>8478.2199999999993</v>
      </c>
      <c r="AC562" s="2">
        <v>0</v>
      </c>
      <c r="AD562" s="16">
        <f t="shared" si="234"/>
        <v>423911</v>
      </c>
      <c r="AE562" s="2">
        <v>0</v>
      </c>
      <c r="AF562" s="2">
        <f t="shared" si="239"/>
        <v>423911</v>
      </c>
      <c r="AG562" s="38" t="s">
        <v>486</v>
      </c>
      <c r="AH562" s="29"/>
      <c r="AI562" s="118">
        <v>42391.1</v>
      </c>
      <c r="AJ562" s="30">
        <v>0</v>
      </c>
      <c r="AK562" s="179"/>
    </row>
    <row r="563" spans="1:37" s="43" customFormat="1" ht="189" x14ac:dyDescent="0.25">
      <c r="A563" s="6">
        <v>560</v>
      </c>
      <c r="B563" s="31">
        <v>150753</v>
      </c>
      <c r="C563" s="11">
        <v>927</v>
      </c>
      <c r="D563" s="11" t="s">
        <v>1638</v>
      </c>
      <c r="E563" s="24" t="s">
        <v>2258</v>
      </c>
      <c r="F563" s="31" t="s">
        <v>3139</v>
      </c>
      <c r="G563" s="27" t="s">
        <v>3138</v>
      </c>
      <c r="H563" s="8" t="s">
        <v>151</v>
      </c>
      <c r="I563" s="46" t="s">
        <v>3140</v>
      </c>
      <c r="J563" s="25">
        <v>44790</v>
      </c>
      <c r="K563" s="25">
        <v>45216</v>
      </c>
      <c r="L563" s="26">
        <f t="shared" si="228"/>
        <v>83.299996437112966</v>
      </c>
      <c r="M563" s="11">
        <v>6</v>
      </c>
      <c r="N563" s="11" t="s">
        <v>3141</v>
      </c>
      <c r="O563" s="11" t="s">
        <v>3141</v>
      </c>
      <c r="P563" s="11" t="s">
        <v>274</v>
      </c>
      <c r="Q563" s="11" t="s">
        <v>34</v>
      </c>
      <c r="R563" s="2">
        <f t="shared" si="235"/>
        <v>333397.59000000003</v>
      </c>
      <c r="S563" s="2">
        <v>333397.59000000003</v>
      </c>
      <c r="T563" s="2">
        <v>0</v>
      </c>
      <c r="U563" s="2">
        <f t="shared" si="236"/>
        <v>58834.87</v>
      </c>
      <c r="V563" s="28">
        <v>58834.87</v>
      </c>
      <c r="W563" s="2">
        <v>0</v>
      </c>
      <c r="X563" s="2">
        <f t="shared" si="237"/>
        <v>0</v>
      </c>
      <c r="Y563" s="2">
        <v>0</v>
      </c>
      <c r="Z563" s="2">
        <v>0</v>
      </c>
      <c r="AA563" s="2">
        <f t="shared" si="238"/>
        <v>8004.76</v>
      </c>
      <c r="AB563" s="2">
        <v>8004.76</v>
      </c>
      <c r="AC563" s="2">
        <v>0</v>
      </c>
      <c r="AD563" s="16">
        <f t="shared" si="234"/>
        <v>400237.22000000003</v>
      </c>
      <c r="AE563" s="2">
        <v>0</v>
      </c>
      <c r="AF563" s="2">
        <f t="shared" si="239"/>
        <v>400237.22000000003</v>
      </c>
      <c r="AG563" s="38" t="s">
        <v>486</v>
      </c>
      <c r="AH563" s="29"/>
      <c r="AI563" s="118">
        <v>0</v>
      </c>
      <c r="AJ563" s="30">
        <v>0</v>
      </c>
      <c r="AK563" s="179"/>
    </row>
    <row r="564" spans="1:37" s="43" customFormat="1" ht="189" x14ac:dyDescent="0.25">
      <c r="A564" s="6">
        <v>561</v>
      </c>
      <c r="B564" s="31">
        <v>150891</v>
      </c>
      <c r="C564" s="11">
        <v>967</v>
      </c>
      <c r="D564" s="11" t="s">
        <v>1638</v>
      </c>
      <c r="E564" s="24" t="s">
        <v>2258</v>
      </c>
      <c r="F564" s="31" t="s">
        <v>3143</v>
      </c>
      <c r="G564" s="27" t="s">
        <v>3142</v>
      </c>
      <c r="H564" s="8" t="s">
        <v>151</v>
      </c>
      <c r="I564" s="46" t="s">
        <v>3144</v>
      </c>
      <c r="J564" s="25">
        <v>44790</v>
      </c>
      <c r="K564" s="25">
        <v>45216</v>
      </c>
      <c r="L564" s="26">
        <f t="shared" si="228"/>
        <v>83.300003294179646</v>
      </c>
      <c r="M564" s="11">
        <v>4</v>
      </c>
      <c r="N564" s="11" t="s">
        <v>231</v>
      </c>
      <c r="O564" s="11" t="s">
        <v>231</v>
      </c>
      <c r="P564" s="11" t="s">
        <v>274</v>
      </c>
      <c r="Q564" s="11" t="s">
        <v>34</v>
      </c>
      <c r="R564" s="2">
        <f t="shared" si="235"/>
        <v>354018.35</v>
      </c>
      <c r="S564" s="2">
        <v>354018.35</v>
      </c>
      <c r="T564" s="2">
        <v>0</v>
      </c>
      <c r="U564" s="2">
        <f t="shared" si="236"/>
        <v>62473.81</v>
      </c>
      <c r="V564" s="28">
        <v>62473.81</v>
      </c>
      <c r="W564" s="2">
        <v>0</v>
      </c>
      <c r="X564" s="2">
        <f t="shared" si="237"/>
        <v>0</v>
      </c>
      <c r="Y564" s="2">
        <v>0</v>
      </c>
      <c r="Z564" s="2">
        <v>0</v>
      </c>
      <c r="AA564" s="2">
        <f t="shared" si="238"/>
        <v>8499.84</v>
      </c>
      <c r="AB564" s="2">
        <v>8499.84</v>
      </c>
      <c r="AC564" s="2">
        <v>0</v>
      </c>
      <c r="AD564" s="16">
        <f t="shared" si="234"/>
        <v>424992</v>
      </c>
      <c r="AE564" s="2">
        <v>0</v>
      </c>
      <c r="AF564" s="2">
        <f t="shared" si="239"/>
        <v>424992</v>
      </c>
      <c r="AG564" s="38" t="s">
        <v>486</v>
      </c>
      <c r="AH564" s="29"/>
      <c r="AI564" s="118">
        <v>42499</v>
      </c>
      <c r="AJ564" s="30">
        <v>0</v>
      </c>
      <c r="AK564" s="179"/>
    </row>
    <row r="565" spans="1:37" s="43" customFormat="1" ht="173.25" x14ac:dyDescent="0.25">
      <c r="A565" s="6">
        <v>562</v>
      </c>
      <c r="B565" s="31">
        <v>150998</v>
      </c>
      <c r="C565" s="11">
        <v>1026</v>
      </c>
      <c r="D565" s="11" t="s">
        <v>1638</v>
      </c>
      <c r="E565" s="24" t="s">
        <v>2258</v>
      </c>
      <c r="F565" s="31" t="s">
        <v>3146</v>
      </c>
      <c r="G565" s="27" t="s">
        <v>3145</v>
      </c>
      <c r="H565" s="8" t="s">
        <v>151</v>
      </c>
      <c r="I565" s="46" t="s">
        <v>3147</v>
      </c>
      <c r="J565" s="25">
        <v>44790</v>
      </c>
      <c r="K565" s="25">
        <v>45216</v>
      </c>
      <c r="L565" s="26">
        <f t="shared" si="228"/>
        <v>83.300001253372415</v>
      </c>
      <c r="M565" s="11">
        <v>7</v>
      </c>
      <c r="N565" s="11" t="s">
        <v>194</v>
      </c>
      <c r="O565" s="11" t="s">
        <v>3148</v>
      </c>
      <c r="P565" s="11" t="s">
        <v>274</v>
      </c>
      <c r="Q565" s="11" t="s">
        <v>34</v>
      </c>
      <c r="R565" s="2">
        <f t="shared" si="235"/>
        <v>334961.90000000002</v>
      </c>
      <c r="S565" s="2">
        <v>334961.90000000002</v>
      </c>
      <c r="T565" s="2">
        <v>0</v>
      </c>
      <c r="U565" s="2">
        <f t="shared" si="236"/>
        <v>59110.91</v>
      </c>
      <c r="V565" s="28">
        <v>59110.91</v>
      </c>
      <c r="W565" s="2">
        <v>0</v>
      </c>
      <c r="X565" s="2">
        <f t="shared" si="237"/>
        <v>0</v>
      </c>
      <c r="Y565" s="2">
        <v>0</v>
      </c>
      <c r="Z565" s="2">
        <v>0</v>
      </c>
      <c r="AA565" s="2">
        <f t="shared" si="238"/>
        <v>8042.31</v>
      </c>
      <c r="AB565" s="2">
        <v>8042.31</v>
      </c>
      <c r="AC565" s="2">
        <v>0</v>
      </c>
      <c r="AD565" s="16">
        <f t="shared" si="234"/>
        <v>402115.12000000005</v>
      </c>
      <c r="AE565" s="2">
        <v>0</v>
      </c>
      <c r="AF565" s="2">
        <f t="shared" si="239"/>
        <v>402115.12000000005</v>
      </c>
      <c r="AG565" s="38" t="s">
        <v>486</v>
      </c>
      <c r="AH565" s="29"/>
      <c r="AI565" s="118">
        <v>0</v>
      </c>
      <c r="AJ565" s="30">
        <v>0</v>
      </c>
      <c r="AK565" s="179"/>
    </row>
    <row r="566" spans="1:37" s="43" customFormat="1" ht="141.75" x14ac:dyDescent="0.25">
      <c r="A566" s="6">
        <v>563</v>
      </c>
      <c r="B566" s="31">
        <v>151345</v>
      </c>
      <c r="C566" s="11">
        <v>1036</v>
      </c>
      <c r="D566" s="11" t="s">
        <v>1638</v>
      </c>
      <c r="E566" s="24" t="s">
        <v>2258</v>
      </c>
      <c r="F566" s="31" t="s">
        <v>3150</v>
      </c>
      <c r="G566" s="27" t="s">
        <v>3149</v>
      </c>
      <c r="H566" s="8" t="s">
        <v>151</v>
      </c>
      <c r="I566" s="46" t="s">
        <v>3161</v>
      </c>
      <c r="J566" s="25">
        <v>44792</v>
      </c>
      <c r="K566" s="25">
        <v>45157</v>
      </c>
      <c r="L566" s="26">
        <f t="shared" si="228"/>
        <v>83.299999527023516</v>
      </c>
      <c r="M566" s="11" t="s">
        <v>3151</v>
      </c>
      <c r="N566" s="11" t="s">
        <v>3152</v>
      </c>
      <c r="O566" s="11" t="s">
        <v>3152</v>
      </c>
      <c r="P566" s="11" t="s">
        <v>274</v>
      </c>
      <c r="Q566" s="11" t="s">
        <v>34</v>
      </c>
      <c r="R566" s="2">
        <f t="shared" si="235"/>
        <v>352237.38</v>
      </c>
      <c r="S566" s="2">
        <v>352237.38</v>
      </c>
      <c r="T566" s="2">
        <v>0</v>
      </c>
      <c r="U566" s="2">
        <f t="shared" si="236"/>
        <v>62159.54</v>
      </c>
      <c r="V566" s="28">
        <v>62159.54</v>
      </c>
      <c r="W566" s="2">
        <v>0</v>
      </c>
      <c r="X566" s="2">
        <f t="shared" si="237"/>
        <v>0</v>
      </c>
      <c r="Y566" s="2">
        <v>0</v>
      </c>
      <c r="Z566" s="2">
        <v>0</v>
      </c>
      <c r="AA566" s="2">
        <f t="shared" si="238"/>
        <v>8457.08</v>
      </c>
      <c r="AB566" s="2">
        <v>8457.08</v>
      </c>
      <c r="AC566" s="2">
        <v>0</v>
      </c>
      <c r="AD566" s="16">
        <f t="shared" si="234"/>
        <v>422854</v>
      </c>
      <c r="AE566" s="2">
        <v>53912.5</v>
      </c>
      <c r="AF566" s="2">
        <f t="shared" si="239"/>
        <v>476766.5</v>
      </c>
      <c r="AG566" s="38" t="s">
        <v>486</v>
      </c>
      <c r="AH566" s="29"/>
      <c r="AI566" s="118">
        <v>0</v>
      </c>
      <c r="AJ566" s="30">
        <v>0</v>
      </c>
      <c r="AK566" s="179"/>
    </row>
    <row r="567" spans="1:37" s="43" customFormat="1" ht="299.25" x14ac:dyDescent="0.25">
      <c r="A567" s="6">
        <v>564</v>
      </c>
      <c r="B567" s="31">
        <v>151348</v>
      </c>
      <c r="C567" s="11">
        <v>1037</v>
      </c>
      <c r="D567" s="11" t="s">
        <v>1638</v>
      </c>
      <c r="E567" s="24" t="s">
        <v>2258</v>
      </c>
      <c r="F567" s="31" t="s">
        <v>3154</v>
      </c>
      <c r="G567" s="27" t="s">
        <v>3153</v>
      </c>
      <c r="H567" s="8" t="s">
        <v>151</v>
      </c>
      <c r="I567" s="46" t="s">
        <v>3162</v>
      </c>
      <c r="J567" s="25">
        <v>44790</v>
      </c>
      <c r="K567" s="25">
        <v>45216</v>
      </c>
      <c r="L567" s="26">
        <f t="shared" si="228"/>
        <v>83.300002067797152</v>
      </c>
      <c r="M567" s="11">
        <v>3</v>
      </c>
      <c r="N567" s="11" t="s">
        <v>200</v>
      </c>
      <c r="O567" s="11" t="s">
        <v>202</v>
      </c>
      <c r="P567" s="11" t="s">
        <v>274</v>
      </c>
      <c r="Q567" s="11" t="s">
        <v>34</v>
      </c>
      <c r="R567" s="2">
        <f t="shared" si="235"/>
        <v>345237.45</v>
      </c>
      <c r="S567" s="2">
        <v>345237.45</v>
      </c>
      <c r="T567" s="2">
        <v>0</v>
      </c>
      <c r="U567" s="2">
        <f t="shared" si="236"/>
        <v>60924.26</v>
      </c>
      <c r="V567" s="28">
        <v>60924.26</v>
      </c>
      <c r="W567" s="2">
        <v>0</v>
      </c>
      <c r="X567" s="2">
        <f t="shared" si="237"/>
        <v>0</v>
      </c>
      <c r="Y567" s="2">
        <v>0</v>
      </c>
      <c r="Z567" s="2">
        <v>0</v>
      </c>
      <c r="AA567" s="2">
        <f t="shared" si="238"/>
        <v>8289</v>
      </c>
      <c r="AB567" s="2">
        <v>8289</v>
      </c>
      <c r="AC567" s="2">
        <v>0</v>
      </c>
      <c r="AD567" s="16">
        <f t="shared" si="234"/>
        <v>414450.71</v>
      </c>
      <c r="AE567" s="2">
        <v>0</v>
      </c>
      <c r="AF567" s="2">
        <f t="shared" si="239"/>
        <v>414450.71</v>
      </c>
      <c r="AG567" s="38" t="s">
        <v>486</v>
      </c>
      <c r="AH567" s="29"/>
      <c r="AI567" s="118">
        <v>40616</v>
      </c>
      <c r="AJ567" s="30">
        <v>0</v>
      </c>
      <c r="AK567" s="179"/>
    </row>
    <row r="568" spans="1:37" s="43" customFormat="1" ht="173.25" x14ac:dyDescent="0.25">
      <c r="A568" s="6">
        <v>565</v>
      </c>
      <c r="B568" s="31">
        <v>151293</v>
      </c>
      <c r="C568" s="11">
        <v>1050</v>
      </c>
      <c r="D568" s="11" t="s">
        <v>1638</v>
      </c>
      <c r="E568" s="24" t="s">
        <v>2258</v>
      </c>
      <c r="F568" s="31" t="s">
        <v>3156</v>
      </c>
      <c r="G568" s="27" t="s">
        <v>3155</v>
      </c>
      <c r="H568" s="8" t="s">
        <v>151</v>
      </c>
      <c r="I568" s="46" t="s">
        <v>3163</v>
      </c>
      <c r="J568" s="25">
        <v>44790</v>
      </c>
      <c r="K568" s="25">
        <v>45033</v>
      </c>
      <c r="L568" s="26">
        <f t="shared" si="228"/>
        <v>83.300002811945745</v>
      </c>
      <c r="M568" s="11">
        <v>3</v>
      </c>
      <c r="N568" s="11" t="s">
        <v>330</v>
      </c>
      <c r="O568" s="11" t="s">
        <v>3157</v>
      </c>
      <c r="P568" s="11" t="s">
        <v>274</v>
      </c>
      <c r="Q568" s="11" t="s">
        <v>34</v>
      </c>
      <c r="R568" s="2">
        <f t="shared" si="235"/>
        <v>353113.51</v>
      </c>
      <c r="S568" s="2">
        <v>353113.51</v>
      </c>
      <c r="T568" s="2">
        <v>0</v>
      </c>
      <c r="U568" s="2">
        <f t="shared" si="236"/>
        <v>62314.14</v>
      </c>
      <c r="V568" s="28">
        <v>62314.14</v>
      </c>
      <c r="W568" s="2">
        <v>0</v>
      </c>
      <c r="X568" s="2">
        <f t="shared" si="237"/>
        <v>0</v>
      </c>
      <c r="Y568" s="2">
        <v>0</v>
      </c>
      <c r="Z568" s="2">
        <v>0</v>
      </c>
      <c r="AA568" s="2">
        <f t="shared" si="238"/>
        <v>8478.11</v>
      </c>
      <c r="AB568" s="2">
        <v>8478.11</v>
      </c>
      <c r="AC568" s="2">
        <v>0</v>
      </c>
      <c r="AD568" s="16">
        <f t="shared" si="234"/>
        <v>423905.76</v>
      </c>
      <c r="AE568" s="2">
        <v>0</v>
      </c>
      <c r="AF568" s="2">
        <f t="shared" si="239"/>
        <v>423905.76</v>
      </c>
      <c r="AG568" s="38" t="s">
        <v>486</v>
      </c>
      <c r="AH568" s="29"/>
      <c r="AI568" s="118">
        <v>42390.57</v>
      </c>
      <c r="AJ568" s="30">
        <v>0</v>
      </c>
      <c r="AK568" s="179"/>
    </row>
    <row r="569" spans="1:37" s="43" customFormat="1" ht="236.25" x14ac:dyDescent="0.25">
      <c r="A569" s="6">
        <v>566</v>
      </c>
      <c r="B569" s="31">
        <v>151529</v>
      </c>
      <c r="C569" s="11">
        <v>1066</v>
      </c>
      <c r="D569" s="11" t="s">
        <v>1638</v>
      </c>
      <c r="E569" s="24" t="s">
        <v>2258</v>
      </c>
      <c r="F569" s="31" t="s">
        <v>3159</v>
      </c>
      <c r="G569" s="27" t="s">
        <v>3158</v>
      </c>
      <c r="H569" s="8" t="s">
        <v>151</v>
      </c>
      <c r="I569" s="46" t="s">
        <v>3164</v>
      </c>
      <c r="J569" s="25">
        <v>44792</v>
      </c>
      <c r="K569" s="25">
        <v>45218</v>
      </c>
      <c r="L569" s="26">
        <f t="shared" si="228"/>
        <v>83.300003982203265</v>
      </c>
      <c r="M569" s="11">
        <v>2</v>
      </c>
      <c r="N569" s="11" t="s">
        <v>1919</v>
      </c>
      <c r="O569" s="11" t="s">
        <v>3160</v>
      </c>
      <c r="P569" s="11" t="s">
        <v>274</v>
      </c>
      <c r="Q569" s="11" t="s">
        <v>34</v>
      </c>
      <c r="R569" s="2">
        <f t="shared" si="235"/>
        <v>292434.61</v>
      </c>
      <c r="S569" s="2">
        <v>292434.61</v>
      </c>
      <c r="T569" s="2">
        <v>0</v>
      </c>
      <c r="U569" s="2">
        <f t="shared" si="236"/>
        <v>51606.09</v>
      </c>
      <c r="V569" s="28">
        <v>51606.09</v>
      </c>
      <c r="W569" s="2">
        <v>0</v>
      </c>
      <c r="X569" s="2">
        <f t="shared" si="237"/>
        <v>0</v>
      </c>
      <c r="Y569" s="2">
        <v>0</v>
      </c>
      <c r="Z569" s="2">
        <v>0</v>
      </c>
      <c r="AA569" s="2">
        <f t="shared" si="238"/>
        <v>7021.24</v>
      </c>
      <c r="AB569" s="2">
        <v>7021.24</v>
      </c>
      <c r="AC569" s="2">
        <v>0</v>
      </c>
      <c r="AD569" s="16">
        <f t="shared" si="234"/>
        <v>351061.93999999994</v>
      </c>
      <c r="AE569" s="2">
        <v>0</v>
      </c>
      <c r="AF569" s="2">
        <f t="shared" si="239"/>
        <v>351061.93999999994</v>
      </c>
      <c r="AG569" s="38" t="s">
        <v>486</v>
      </c>
      <c r="AH569" s="29"/>
      <c r="AI569" s="118">
        <v>0</v>
      </c>
      <c r="AJ569" s="30">
        <v>0</v>
      </c>
      <c r="AK569" s="179"/>
    </row>
    <row r="570" spans="1:37" s="43" customFormat="1" ht="204.75" x14ac:dyDescent="0.25">
      <c r="A570" s="6">
        <v>567</v>
      </c>
      <c r="B570" s="31">
        <v>151249</v>
      </c>
      <c r="C570" s="11">
        <v>939</v>
      </c>
      <c r="D570" s="11" t="s">
        <v>1638</v>
      </c>
      <c r="E570" s="24" t="s">
        <v>2258</v>
      </c>
      <c r="F570" s="31" t="s">
        <v>3172</v>
      </c>
      <c r="G570" s="27" t="s">
        <v>3171</v>
      </c>
      <c r="H570" s="8" t="s">
        <v>151</v>
      </c>
      <c r="I570" s="46" t="s">
        <v>3185</v>
      </c>
      <c r="J570" s="25">
        <v>44797</v>
      </c>
      <c r="K570" s="25">
        <v>45101</v>
      </c>
      <c r="L570" s="26">
        <f t="shared" si="228"/>
        <v>83.300002578196072</v>
      </c>
      <c r="M570" s="11">
        <v>6</v>
      </c>
      <c r="N570" s="11" t="s">
        <v>416</v>
      </c>
      <c r="O570" s="11" t="s">
        <v>416</v>
      </c>
      <c r="P570" s="11" t="s">
        <v>274</v>
      </c>
      <c r="Q570" s="11" t="s">
        <v>34</v>
      </c>
      <c r="R570" s="2">
        <f t="shared" si="235"/>
        <v>339248.84</v>
      </c>
      <c r="S570" s="2">
        <v>339248.84</v>
      </c>
      <c r="T570" s="2">
        <v>0</v>
      </c>
      <c r="U570" s="2">
        <f t="shared" si="236"/>
        <v>59867.43</v>
      </c>
      <c r="V570" s="28">
        <v>59867.43</v>
      </c>
      <c r="W570" s="2">
        <v>0</v>
      </c>
      <c r="X570" s="2">
        <f t="shared" si="237"/>
        <v>0</v>
      </c>
      <c r="Y570" s="2">
        <v>0</v>
      </c>
      <c r="Z570" s="2">
        <v>0</v>
      </c>
      <c r="AA570" s="2">
        <f t="shared" si="238"/>
        <v>8145.23</v>
      </c>
      <c r="AB570" s="2">
        <v>8145.23</v>
      </c>
      <c r="AC570" s="2">
        <v>0</v>
      </c>
      <c r="AD570" s="16">
        <f t="shared" si="234"/>
        <v>407261.5</v>
      </c>
      <c r="AE570" s="2">
        <v>0</v>
      </c>
      <c r="AF570" s="2">
        <f t="shared" si="239"/>
        <v>407261.5</v>
      </c>
      <c r="AG570" s="38" t="s">
        <v>486</v>
      </c>
      <c r="AH570" s="29"/>
      <c r="AI570" s="118">
        <v>0</v>
      </c>
      <c r="AJ570" s="30">
        <v>0</v>
      </c>
      <c r="AK570" s="179"/>
    </row>
    <row r="571" spans="1:37" s="43" customFormat="1" ht="220.5" x14ac:dyDescent="0.25">
      <c r="A571" s="6">
        <v>568</v>
      </c>
      <c r="B571" s="31">
        <v>151488</v>
      </c>
      <c r="C571" s="11">
        <v>949</v>
      </c>
      <c r="D571" s="11" t="s">
        <v>1638</v>
      </c>
      <c r="E571" s="24" t="s">
        <v>2258</v>
      </c>
      <c r="F571" s="31" t="s">
        <v>3174</v>
      </c>
      <c r="G571" s="27" t="s">
        <v>3173</v>
      </c>
      <c r="H571" s="8" t="s">
        <v>151</v>
      </c>
      <c r="I571" s="46" t="s">
        <v>3186</v>
      </c>
      <c r="J571" s="25">
        <v>44795</v>
      </c>
      <c r="K571" s="25">
        <v>45160</v>
      </c>
      <c r="L571" s="26">
        <f t="shared" si="228"/>
        <v>83.299999499579641</v>
      </c>
      <c r="M571" s="11">
        <v>4</v>
      </c>
      <c r="N571" s="11" t="s">
        <v>2559</v>
      </c>
      <c r="O571" s="11" t="s">
        <v>3175</v>
      </c>
      <c r="P571" s="11" t="s">
        <v>274</v>
      </c>
      <c r="Q571" s="11" t="s">
        <v>34</v>
      </c>
      <c r="R571" s="2">
        <f t="shared" si="235"/>
        <v>332920.11</v>
      </c>
      <c r="S571" s="2">
        <v>332920.11</v>
      </c>
      <c r="T571" s="2">
        <v>0</v>
      </c>
      <c r="U571" s="2">
        <f t="shared" si="236"/>
        <v>58750.61</v>
      </c>
      <c r="V571" s="28">
        <v>58750.61</v>
      </c>
      <c r="W571" s="2">
        <v>0</v>
      </c>
      <c r="X571" s="2">
        <f t="shared" si="237"/>
        <v>0</v>
      </c>
      <c r="Y571" s="2">
        <v>0</v>
      </c>
      <c r="Z571" s="2">
        <v>0</v>
      </c>
      <c r="AA571" s="2">
        <f t="shared" si="238"/>
        <v>7993.28</v>
      </c>
      <c r="AB571" s="2">
        <v>7993.28</v>
      </c>
      <c r="AC571" s="2">
        <v>0</v>
      </c>
      <c r="AD571" s="16">
        <f t="shared" si="234"/>
        <v>399664</v>
      </c>
      <c r="AE571" s="2">
        <v>0</v>
      </c>
      <c r="AF571" s="2">
        <f t="shared" si="239"/>
        <v>399664</v>
      </c>
      <c r="AG571" s="38" t="s">
        <v>486</v>
      </c>
      <c r="AH571" s="29"/>
      <c r="AI571" s="118">
        <v>39966.400000000001</v>
      </c>
      <c r="AJ571" s="30">
        <v>0</v>
      </c>
      <c r="AK571" s="179"/>
    </row>
    <row r="572" spans="1:37" s="43" customFormat="1" ht="283.5" x14ac:dyDescent="0.25">
      <c r="A572" s="6">
        <v>569</v>
      </c>
      <c r="B572" s="31">
        <v>151511</v>
      </c>
      <c r="C572" s="11">
        <v>1000</v>
      </c>
      <c r="D572" s="11" t="s">
        <v>1638</v>
      </c>
      <c r="E572" s="24" t="s">
        <v>2258</v>
      </c>
      <c r="F572" s="31" t="s">
        <v>3177</v>
      </c>
      <c r="G572" s="27" t="s">
        <v>3176</v>
      </c>
      <c r="H572" s="8" t="s">
        <v>151</v>
      </c>
      <c r="I572" s="46" t="s">
        <v>3178</v>
      </c>
      <c r="J572" s="25">
        <v>44796</v>
      </c>
      <c r="K572" s="25">
        <v>44980</v>
      </c>
      <c r="L572" s="26">
        <f t="shared" si="228"/>
        <v>83.300003989065914</v>
      </c>
      <c r="M572" s="11">
        <v>3</v>
      </c>
      <c r="N572" s="11" t="s">
        <v>240</v>
      </c>
      <c r="O572" s="11" t="s">
        <v>3179</v>
      </c>
      <c r="P572" s="11" t="s">
        <v>274</v>
      </c>
      <c r="Q572" s="11" t="s">
        <v>34</v>
      </c>
      <c r="R572" s="2">
        <f t="shared" si="235"/>
        <v>353742.48</v>
      </c>
      <c r="S572" s="2">
        <v>353742.48</v>
      </c>
      <c r="T572" s="2">
        <v>0</v>
      </c>
      <c r="U572" s="2">
        <f t="shared" si="236"/>
        <v>62425.13</v>
      </c>
      <c r="V572" s="28">
        <v>62425.13</v>
      </c>
      <c r="W572" s="2">
        <v>0</v>
      </c>
      <c r="X572" s="2">
        <f t="shared" si="237"/>
        <v>0</v>
      </c>
      <c r="Y572" s="2">
        <v>0</v>
      </c>
      <c r="Z572" s="2">
        <v>0</v>
      </c>
      <c r="AA572" s="2">
        <f t="shared" si="238"/>
        <v>8493.2099999999991</v>
      </c>
      <c r="AB572" s="2">
        <v>8493.2099999999991</v>
      </c>
      <c r="AC572" s="2">
        <v>0</v>
      </c>
      <c r="AD572" s="16">
        <f t="shared" si="234"/>
        <v>424660.82</v>
      </c>
      <c r="AE572" s="2">
        <v>0</v>
      </c>
      <c r="AF572" s="2">
        <f t="shared" si="239"/>
        <v>424660.82</v>
      </c>
      <c r="AG572" s="38" t="s">
        <v>486</v>
      </c>
      <c r="AH572" s="29"/>
      <c r="AI572" s="118">
        <v>0</v>
      </c>
      <c r="AJ572" s="30">
        <v>0</v>
      </c>
      <c r="AK572" s="179"/>
    </row>
    <row r="573" spans="1:37" s="43" customFormat="1" ht="204.75" x14ac:dyDescent="0.25">
      <c r="A573" s="6">
        <v>570</v>
      </c>
      <c r="B573" s="31">
        <v>151056</v>
      </c>
      <c r="C573" s="11">
        <v>1030</v>
      </c>
      <c r="D573" s="11" t="s">
        <v>1638</v>
      </c>
      <c r="E573" s="24" t="s">
        <v>2258</v>
      </c>
      <c r="F573" s="31" t="s">
        <v>3181</v>
      </c>
      <c r="G573" s="27" t="s">
        <v>3180</v>
      </c>
      <c r="H573" s="8" t="s">
        <v>151</v>
      </c>
      <c r="I573" s="46" t="s">
        <v>3187</v>
      </c>
      <c r="J573" s="25">
        <v>44795</v>
      </c>
      <c r="K573" s="25">
        <v>45221</v>
      </c>
      <c r="L573" s="26">
        <f t="shared" si="228"/>
        <v>83.300003326642226</v>
      </c>
      <c r="M573" s="11">
        <v>5</v>
      </c>
      <c r="N573" s="11" t="s">
        <v>537</v>
      </c>
      <c r="O573" s="11" t="s">
        <v>3182</v>
      </c>
      <c r="P573" s="11" t="s">
        <v>274</v>
      </c>
      <c r="Q573" s="11" t="s">
        <v>34</v>
      </c>
      <c r="R573" s="2">
        <f t="shared" si="235"/>
        <v>342801.23</v>
      </c>
      <c r="S573" s="2">
        <v>342801.23</v>
      </c>
      <c r="T573" s="2">
        <v>0</v>
      </c>
      <c r="U573" s="2">
        <f t="shared" si="236"/>
        <v>60494.34</v>
      </c>
      <c r="V573" s="28">
        <v>60494.34</v>
      </c>
      <c r="W573" s="2">
        <v>0</v>
      </c>
      <c r="X573" s="2">
        <f t="shared" si="237"/>
        <v>0</v>
      </c>
      <c r="Y573" s="2">
        <v>0</v>
      </c>
      <c r="Z573" s="2">
        <v>0</v>
      </c>
      <c r="AA573" s="2">
        <f t="shared" si="238"/>
        <v>8230.5</v>
      </c>
      <c r="AB573" s="2">
        <v>8230.5</v>
      </c>
      <c r="AC573" s="2">
        <v>0</v>
      </c>
      <c r="AD573" s="16">
        <f t="shared" si="234"/>
        <v>411526.06999999995</v>
      </c>
      <c r="AE573" s="2">
        <v>0</v>
      </c>
      <c r="AF573" s="2">
        <f t="shared" si="239"/>
        <v>411526.06999999995</v>
      </c>
      <c r="AG573" s="38" t="s">
        <v>486</v>
      </c>
      <c r="AH573" s="29"/>
      <c r="AI573" s="118">
        <v>0</v>
      </c>
      <c r="AJ573" s="30">
        <v>0</v>
      </c>
      <c r="AK573" s="179"/>
    </row>
    <row r="574" spans="1:37" s="43" customFormat="1" ht="220.5" x14ac:dyDescent="0.25">
      <c r="A574" s="6">
        <v>571</v>
      </c>
      <c r="B574" s="31">
        <v>151349</v>
      </c>
      <c r="C574" s="11">
        <v>1038</v>
      </c>
      <c r="D574" s="11" t="s">
        <v>1638</v>
      </c>
      <c r="E574" s="24" t="s">
        <v>2258</v>
      </c>
      <c r="F574" s="31" t="s">
        <v>3184</v>
      </c>
      <c r="G574" s="27" t="s">
        <v>3183</v>
      </c>
      <c r="H574" s="8" t="s">
        <v>294</v>
      </c>
      <c r="I574" s="46" t="s">
        <v>3188</v>
      </c>
      <c r="J574" s="25">
        <v>44797</v>
      </c>
      <c r="K574" s="25">
        <v>45162</v>
      </c>
      <c r="L574" s="26">
        <f t="shared" si="228"/>
        <v>83.299999220261185</v>
      </c>
      <c r="M574" s="11">
        <v>7</v>
      </c>
      <c r="N574" s="11" t="s">
        <v>660</v>
      </c>
      <c r="O574" s="11" t="s">
        <v>660</v>
      </c>
      <c r="P574" s="11" t="s">
        <v>274</v>
      </c>
      <c r="Q574" s="11" t="s">
        <v>34</v>
      </c>
      <c r="R574" s="2">
        <f t="shared" si="235"/>
        <v>248915.4</v>
      </c>
      <c r="S574" s="2">
        <v>248915.4</v>
      </c>
      <c r="T574" s="2">
        <v>0</v>
      </c>
      <c r="U574" s="2">
        <f t="shared" si="236"/>
        <v>43926.25</v>
      </c>
      <c r="V574" s="28">
        <v>43926.25</v>
      </c>
      <c r="W574" s="2">
        <v>0</v>
      </c>
      <c r="X574" s="2">
        <f t="shared" si="237"/>
        <v>0</v>
      </c>
      <c r="Y574" s="2">
        <v>0</v>
      </c>
      <c r="Z574" s="2">
        <v>0</v>
      </c>
      <c r="AA574" s="2">
        <f t="shared" si="238"/>
        <v>5976.36</v>
      </c>
      <c r="AB574" s="2">
        <v>5976.36</v>
      </c>
      <c r="AC574" s="2">
        <v>0</v>
      </c>
      <c r="AD574" s="16">
        <f t="shared" si="234"/>
        <v>298818.01</v>
      </c>
      <c r="AE574" s="2">
        <v>0</v>
      </c>
      <c r="AF574" s="2">
        <f t="shared" si="239"/>
        <v>298818.01</v>
      </c>
      <c r="AG574" s="38" t="s">
        <v>486</v>
      </c>
      <c r="AH574" s="29"/>
      <c r="AI574" s="118">
        <v>0</v>
      </c>
      <c r="AJ574" s="30">
        <v>0</v>
      </c>
      <c r="AK574" s="179"/>
    </row>
    <row r="575" spans="1:37" s="43" customFormat="1" ht="330.75" x14ac:dyDescent="0.25">
      <c r="A575" s="6">
        <v>572</v>
      </c>
      <c r="B575" s="31">
        <v>151477</v>
      </c>
      <c r="C575" s="11">
        <v>1057</v>
      </c>
      <c r="D575" s="11" t="s">
        <v>1638</v>
      </c>
      <c r="E575" s="24" t="s">
        <v>2258</v>
      </c>
      <c r="F575" s="31" t="s">
        <v>3194</v>
      </c>
      <c r="G575" s="27" t="s">
        <v>3193</v>
      </c>
      <c r="H575" s="8" t="s">
        <v>294</v>
      </c>
      <c r="I575" s="46" t="s">
        <v>3195</v>
      </c>
      <c r="J575" s="25">
        <v>44798</v>
      </c>
      <c r="K575" s="25">
        <v>45224</v>
      </c>
      <c r="L575" s="26">
        <f t="shared" si="228"/>
        <v>83.300004183780601</v>
      </c>
      <c r="M575" s="11">
        <v>6</v>
      </c>
      <c r="N575" s="11" t="s">
        <v>411</v>
      </c>
      <c r="O575" s="11" t="s">
        <v>3196</v>
      </c>
      <c r="P575" s="11" t="s">
        <v>274</v>
      </c>
      <c r="Q575" s="11" t="s">
        <v>34</v>
      </c>
      <c r="R575" s="2">
        <f t="shared" si="235"/>
        <v>339469.3</v>
      </c>
      <c r="S575" s="2">
        <v>339469.3</v>
      </c>
      <c r="T575" s="2">
        <v>0</v>
      </c>
      <c r="U575" s="2">
        <f t="shared" si="236"/>
        <v>59906.33</v>
      </c>
      <c r="V575" s="28">
        <v>59906.33</v>
      </c>
      <c r="W575" s="2">
        <v>0</v>
      </c>
      <c r="X575" s="2">
        <f t="shared" si="237"/>
        <v>0</v>
      </c>
      <c r="Y575" s="2">
        <v>0</v>
      </c>
      <c r="Z575" s="2">
        <v>0</v>
      </c>
      <c r="AA575" s="2">
        <f t="shared" si="238"/>
        <v>8150.52</v>
      </c>
      <c r="AB575" s="2">
        <v>8150.52</v>
      </c>
      <c r="AC575" s="2">
        <v>0</v>
      </c>
      <c r="AD575" s="16">
        <f t="shared" si="234"/>
        <v>407526.15</v>
      </c>
      <c r="AE575" s="2">
        <v>0</v>
      </c>
      <c r="AF575" s="2">
        <f t="shared" si="239"/>
        <v>407526.15</v>
      </c>
      <c r="AG575" s="38" t="s">
        <v>486</v>
      </c>
      <c r="AH575" s="29"/>
      <c r="AI575" s="118">
        <v>0</v>
      </c>
      <c r="AJ575" s="30">
        <v>0</v>
      </c>
      <c r="AK575" s="179"/>
    </row>
    <row r="576" spans="1:37" s="43" customFormat="1" ht="141.75" x14ac:dyDescent="0.25">
      <c r="A576" s="6">
        <v>573</v>
      </c>
      <c r="B576" s="31">
        <v>150804</v>
      </c>
      <c r="C576" s="11">
        <v>928</v>
      </c>
      <c r="D576" s="11" t="s">
        <v>1638</v>
      </c>
      <c r="E576" s="24" t="s">
        <v>2258</v>
      </c>
      <c r="F576" s="31" t="s">
        <v>3198</v>
      </c>
      <c r="G576" s="27" t="s">
        <v>3197</v>
      </c>
      <c r="H576" s="11" t="s">
        <v>3199</v>
      </c>
      <c r="I576" s="46" t="s">
        <v>3200</v>
      </c>
      <c r="J576" s="25">
        <v>44799</v>
      </c>
      <c r="K576" s="25">
        <v>45164</v>
      </c>
      <c r="L576" s="26">
        <f t="shared" si="228"/>
        <v>83.300002510172661</v>
      </c>
      <c r="M576" s="11">
        <v>2</v>
      </c>
      <c r="N576" s="11" t="s">
        <v>186</v>
      </c>
      <c r="O576" s="11" t="s">
        <v>186</v>
      </c>
      <c r="P576" s="11" t="s">
        <v>274</v>
      </c>
      <c r="Q576" s="11" t="s">
        <v>34</v>
      </c>
      <c r="R576" s="2">
        <f t="shared" si="235"/>
        <v>353751.77</v>
      </c>
      <c r="S576" s="2">
        <v>353751.77</v>
      </c>
      <c r="T576" s="2">
        <v>0</v>
      </c>
      <c r="U576" s="2">
        <f t="shared" si="236"/>
        <v>62426.78</v>
      </c>
      <c r="V576" s="28">
        <v>62426.78</v>
      </c>
      <c r="W576" s="2">
        <v>0</v>
      </c>
      <c r="X576" s="2">
        <f t="shared" si="237"/>
        <v>0</v>
      </c>
      <c r="Y576" s="2">
        <v>0</v>
      </c>
      <c r="Z576" s="2">
        <v>0</v>
      </c>
      <c r="AA576" s="2">
        <f t="shared" si="238"/>
        <v>8493.43</v>
      </c>
      <c r="AB576" s="2">
        <v>8493.43</v>
      </c>
      <c r="AC576" s="2">
        <v>0</v>
      </c>
      <c r="AD576" s="16">
        <f t="shared" si="234"/>
        <v>424671.98000000004</v>
      </c>
      <c r="AE576" s="2">
        <v>0</v>
      </c>
      <c r="AF576" s="2">
        <f t="shared" si="239"/>
        <v>424671.98000000004</v>
      </c>
      <c r="AG576" s="38" t="s">
        <v>486</v>
      </c>
      <c r="AH576" s="29"/>
      <c r="AI576" s="118">
        <v>42466</v>
      </c>
      <c r="AJ576" s="118">
        <v>0</v>
      </c>
      <c r="AK576" s="179"/>
    </row>
    <row r="577" spans="1:37" s="43" customFormat="1" ht="267.75" x14ac:dyDescent="0.25">
      <c r="A577" s="6">
        <v>574</v>
      </c>
      <c r="B577" s="31">
        <v>151309</v>
      </c>
      <c r="C577" s="11">
        <v>942</v>
      </c>
      <c r="D577" s="11" t="s">
        <v>1638</v>
      </c>
      <c r="E577" s="24" t="s">
        <v>2258</v>
      </c>
      <c r="F577" s="31" t="s">
        <v>3202</v>
      </c>
      <c r="G577" s="27" t="s">
        <v>3201</v>
      </c>
      <c r="H577" s="8" t="s">
        <v>3203</v>
      </c>
      <c r="I577" s="46" t="s">
        <v>3206</v>
      </c>
      <c r="J577" s="25">
        <v>44799</v>
      </c>
      <c r="K577" s="25">
        <v>45225</v>
      </c>
      <c r="L577" s="26">
        <f t="shared" si="228"/>
        <v>83.300000182240083</v>
      </c>
      <c r="M577" s="11" t="s">
        <v>2524</v>
      </c>
      <c r="N577" s="11" t="s">
        <v>3205</v>
      </c>
      <c r="O577" s="11" t="s">
        <v>3204</v>
      </c>
      <c r="P577" s="11" t="s">
        <v>274</v>
      </c>
      <c r="Q577" s="11" t="s">
        <v>34</v>
      </c>
      <c r="R577" s="2">
        <f t="shared" si="235"/>
        <v>347387.89</v>
      </c>
      <c r="S577" s="2">
        <v>347387.89</v>
      </c>
      <c r="T577" s="2">
        <v>0</v>
      </c>
      <c r="U577" s="2">
        <f t="shared" si="236"/>
        <v>61303.74</v>
      </c>
      <c r="V577" s="28">
        <v>61303.74</v>
      </c>
      <c r="W577" s="2">
        <v>0</v>
      </c>
      <c r="X577" s="2">
        <f t="shared" si="237"/>
        <v>0</v>
      </c>
      <c r="Y577" s="2">
        <v>0</v>
      </c>
      <c r="Z577" s="2">
        <v>0</v>
      </c>
      <c r="AA577" s="2">
        <f t="shared" si="238"/>
        <v>8340.65</v>
      </c>
      <c r="AB577" s="2">
        <v>8340.65</v>
      </c>
      <c r="AC577" s="2">
        <v>0</v>
      </c>
      <c r="AD577" s="16">
        <f t="shared" si="234"/>
        <v>417032.28</v>
      </c>
      <c r="AE577" s="2">
        <v>140</v>
      </c>
      <c r="AF577" s="2">
        <f t="shared" si="239"/>
        <v>417172.28</v>
      </c>
      <c r="AG577" s="38" t="s">
        <v>486</v>
      </c>
      <c r="AH577" s="29"/>
      <c r="AI577" s="118">
        <v>0</v>
      </c>
      <c r="AJ577" s="118">
        <v>0</v>
      </c>
      <c r="AK577" s="179"/>
    </row>
    <row r="578" spans="1:37" s="43" customFormat="1" ht="141.75" x14ac:dyDescent="0.25">
      <c r="A578" s="6">
        <v>575</v>
      </c>
      <c r="B578" s="31">
        <v>151186</v>
      </c>
      <c r="C578" s="11">
        <v>1035</v>
      </c>
      <c r="D578" s="11" t="s">
        <v>1638</v>
      </c>
      <c r="E578" s="24" t="s">
        <v>2258</v>
      </c>
      <c r="F578" s="31" t="s">
        <v>3208</v>
      </c>
      <c r="G578" s="27" t="s">
        <v>3207</v>
      </c>
      <c r="H578" s="11" t="s">
        <v>3209</v>
      </c>
      <c r="I578" s="46" t="s">
        <v>3237</v>
      </c>
      <c r="J578" s="25">
        <v>44802</v>
      </c>
      <c r="K578" s="25">
        <v>45045</v>
      </c>
      <c r="L578" s="26">
        <f t="shared" si="228"/>
        <v>83.299998536468351</v>
      </c>
      <c r="M578" s="11">
        <v>5</v>
      </c>
      <c r="N578" s="11" t="s">
        <v>592</v>
      </c>
      <c r="O578" s="11" t="s">
        <v>3210</v>
      </c>
      <c r="P578" s="11" t="s">
        <v>274</v>
      </c>
      <c r="Q578" s="11" t="s">
        <v>34</v>
      </c>
      <c r="R578" s="2">
        <f t="shared" si="235"/>
        <v>346625.23</v>
      </c>
      <c r="S578" s="2">
        <v>346625.23</v>
      </c>
      <c r="T578" s="2">
        <v>0</v>
      </c>
      <c r="U578" s="2">
        <f t="shared" si="236"/>
        <v>61169.17</v>
      </c>
      <c r="V578" s="28">
        <v>61169.17</v>
      </c>
      <c r="W578" s="2">
        <v>0</v>
      </c>
      <c r="X578" s="2">
        <f t="shared" si="237"/>
        <v>0</v>
      </c>
      <c r="Y578" s="2">
        <v>0</v>
      </c>
      <c r="Z578" s="2">
        <v>0</v>
      </c>
      <c r="AA578" s="2">
        <f t="shared" si="238"/>
        <v>8322.33</v>
      </c>
      <c r="AB578" s="2">
        <v>8322.33</v>
      </c>
      <c r="AC578" s="2">
        <v>0</v>
      </c>
      <c r="AD578" s="16">
        <f t="shared" si="234"/>
        <v>416116.73</v>
      </c>
      <c r="AE578" s="2">
        <v>0</v>
      </c>
      <c r="AF578" s="2">
        <f t="shared" si="239"/>
        <v>416116.73</v>
      </c>
      <c r="AG578" s="38" t="s">
        <v>486</v>
      </c>
      <c r="AH578" s="29"/>
      <c r="AI578" s="118">
        <v>41611.660000000003</v>
      </c>
      <c r="AJ578" s="118">
        <v>0</v>
      </c>
      <c r="AK578" s="179"/>
    </row>
    <row r="579" spans="1:37" s="43" customFormat="1" ht="141.75" x14ac:dyDescent="0.25">
      <c r="A579" s="6">
        <v>576</v>
      </c>
      <c r="B579" s="31">
        <v>151424</v>
      </c>
      <c r="C579" s="11">
        <v>1043</v>
      </c>
      <c r="D579" s="11" t="s">
        <v>1638</v>
      </c>
      <c r="E579" s="24" t="s">
        <v>2258</v>
      </c>
      <c r="F579" s="31" t="s">
        <v>3212</v>
      </c>
      <c r="G579" s="27" t="s">
        <v>3211</v>
      </c>
      <c r="H579" s="8" t="s">
        <v>151</v>
      </c>
      <c r="I579" s="46" t="s">
        <v>3238</v>
      </c>
      <c r="J579" s="25">
        <v>44804</v>
      </c>
      <c r="K579" s="25">
        <v>45229</v>
      </c>
      <c r="L579" s="26">
        <f t="shared" si="228"/>
        <v>83.299999433257582</v>
      </c>
      <c r="M579" s="11">
        <v>7</v>
      </c>
      <c r="N579" s="11" t="s">
        <v>263</v>
      </c>
      <c r="O579" s="11" t="s">
        <v>263</v>
      </c>
      <c r="P579" s="11" t="s">
        <v>274</v>
      </c>
      <c r="Q579" s="11" t="s">
        <v>34</v>
      </c>
      <c r="R579" s="2">
        <f t="shared" si="235"/>
        <v>352752.84</v>
      </c>
      <c r="S579" s="2">
        <v>352752.84</v>
      </c>
      <c r="T579" s="2">
        <v>0</v>
      </c>
      <c r="U579" s="2">
        <f t="shared" si="236"/>
        <v>62250.5</v>
      </c>
      <c r="V579" s="28">
        <v>62250.5</v>
      </c>
      <c r="W579" s="2">
        <v>0</v>
      </c>
      <c r="X579" s="2">
        <f t="shared" si="237"/>
        <v>0</v>
      </c>
      <c r="Y579" s="2">
        <v>0</v>
      </c>
      <c r="Z579" s="2">
        <v>0</v>
      </c>
      <c r="AA579" s="2">
        <f t="shared" si="238"/>
        <v>8469.4599999999991</v>
      </c>
      <c r="AB579" s="2">
        <v>8469.4599999999991</v>
      </c>
      <c r="AC579" s="2">
        <v>0</v>
      </c>
      <c r="AD579" s="16">
        <f t="shared" si="234"/>
        <v>423472.80000000005</v>
      </c>
      <c r="AE579" s="2">
        <v>0</v>
      </c>
      <c r="AF579" s="2">
        <f t="shared" si="239"/>
        <v>423472.80000000005</v>
      </c>
      <c r="AG579" s="38" t="s">
        <v>486</v>
      </c>
      <c r="AH579" s="29"/>
      <c r="AI579" s="118">
        <v>42347.28</v>
      </c>
      <c r="AJ579" s="118">
        <v>0</v>
      </c>
      <c r="AK579" s="179"/>
    </row>
    <row r="580" spans="1:37" s="43" customFormat="1" ht="204.75" x14ac:dyDescent="0.25">
      <c r="A580" s="6">
        <v>577</v>
      </c>
      <c r="B580" s="31">
        <v>151187</v>
      </c>
      <c r="C580" s="11">
        <v>1044</v>
      </c>
      <c r="D580" s="11" t="s">
        <v>1638</v>
      </c>
      <c r="E580" s="24" t="s">
        <v>2258</v>
      </c>
      <c r="F580" s="31" t="s">
        <v>3213</v>
      </c>
      <c r="G580" s="27" t="s">
        <v>369</v>
      </c>
      <c r="H580" s="8" t="s">
        <v>151</v>
      </c>
      <c r="I580" s="46" t="s">
        <v>3239</v>
      </c>
      <c r="J580" s="25">
        <v>44802</v>
      </c>
      <c r="K580" s="25">
        <v>45228</v>
      </c>
      <c r="L580" s="26">
        <f t="shared" si="228"/>
        <v>83.300002124349732</v>
      </c>
      <c r="M580" s="11">
        <v>5</v>
      </c>
      <c r="N580" s="11" t="s">
        <v>3214</v>
      </c>
      <c r="O580" s="11" t="s">
        <v>3214</v>
      </c>
      <c r="P580" s="11" t="s">
        <v>274</v>
      </c>
      <c r="Q580" s="11" t="s">
        <v>34</v>
      </c>
      <c r="R580" s="2">
        <f t="shared" si="235"/>
        <v>326635.96000000002</v>
      </c>
      <c r="S580" s="2">
        <v>326635.96000000002</v>
      </c>
      <c r="T580" s="2">
        <v>0</v>
      </c>
      <c r="U580" s="2">
        <f>V580+W580</f>
        <v>57641.63</v>
      </c>
      <c r="V580" s="28">
        <v>57641.63</v>
      </c>
      <c r="W580" s="2">
        <v>0</v>
      </c>
      <c r="X580" s="2">
        <f t="shared" si="237"/>
        <v>0</v>
      </c>
      <c r="Y580" s="2">
        <v>0</v>
      </c>
      <c r="Z580" s="2">
        <v>0</v>
      </c>
      <c r="AA580" s="2">
        <f t="shared" si="238"/>
        <v>7842.4</v>
      </c>
      <c r="AB580" s="2">
        <v>7842.4</v>
      </c>
      <c r="AC580" s="2">
        <v>0</v>
      </c>
      <c r="AD580" s="16">
        <f t="shared" si="234"/>
        <v>392119.99000000005</v>
      </c>
      <c r="AE580" s="2">
        <v>0</v>
      </c>
      <c r="AF580" s="2">
        <f t="shared" si="239"/>
        <v>392119.99000000005</v>
      </c>
      <c r="AG580" s="38" t="s">
        <v>486</v>
      </c>
      <c r="AH580" s="29"/>
      <c r="AI580" s="118">
        <v>0</v>
      </c>
      <c r="AJ580" s="118">
        <v>0</v>
      </c>
      <c r="AK580" s="179"/>
    </row>
    <row r="581" spans="1:37" s="43" customFormat="1" ht="283.5" x14ac:dyDescent="0.25">
      <c r="A581" s="6">
        <v>578</v>
      </c>
      <c r="B581" s="31">
        <v>151577</v>
      </c>
      <c r="C581" s="11">
        <v>1073</v>
      </c>
      <c r="D581" s="11" t="s">
        <v>1638</v>
      </c>
      <c r="E581" s="24" t="s">
        <v>2258</v>
      </c>
      <c r="F581" s="31" t="s">
        <v>3216</v>
      </c>
      <c r="G581" s="27" t="s">
        <v>3215</v>
      </c>
      <c r="H581" s="8" t="s">
        <v>151</v>
      </c>
      <c r="I581" s="46" t="s">
        <v>3218</v>
      </c>
      <c r="J581" s="25">
        <v>44803</v>
      </c>
      <c r="K581" s="25">
        <v>44985</v>
      </c>
      <c r="L581" s="26">
        <f t="shared" si="228"/>
        <v>83.299999275706767</v>
      </c>
      <c r="M581" s="11">
        <v>3</v>
      </c>
      <c r="N581" s="11" t="s">
        <v>1445</v>
      </c>
      <c r="O581" s="11" t="s">
        <v>3217</v>
      </c>
      <c r="P581" s="11" t="s">
        <v>274</v>
      </c>
      <c r="Q581" s="11" t="s">
        <v>34</v>
      </c>
      <c r="R581" s="2">
        <f t="shared" si="235"/>
        <v>351926.52</v>
      </c>
      <c r="S581" s="2">
        <v>351926.52</v>
      </c>
      <c r="T581" s="2">
        <v>0</v>
      </c>
      <c r="U581" s="2">
        <f t="shared" si="236"/>
        <v>62104.69</v>
      </c>
      <c r="V581" s="28">
        <v>62104.69</v>
      </c>
      <c r="W581" s="2">
        <v>0</v>
      </c>
      <c r="X581" s="2">
        <f t="shared" si="237"/>
        <v>0</v>
      </c>
      <c r="Y581" s="2">
        <v>0</v>
      </c>
      <c r="Z581" s="2">
        <v>0</v>
      </c>
      <c r="AA581" s="2">
        <f t="shared" si="238"/>
        <v>8449.61</v>
      </c>
      <c r="AB581" s="2">
        <v>8449.61</v>
      </c>
      <c r="AC581" s="2">
        <v>0</v>
      </c>
      <c r="AD581" s="16">
        <f t="shared" ref="AD581:AD644" si="240">R581+U581+X581+AA581</f>
        <v>422480.82</v>
      </c>
      <c r="AE581" s="2">
        <v>0</v>
      </c>
      <c r="AF581" s="2">
        <f t="shared" si="239"/>
        <v>422480.82</v>
      </c>
      <c r="AG581" s="38" t="s">
        <v>486</v>
      </c>
      <c r="AH581" s="29"/>
      <c r="AI581" s="118">
        <v>0</v>
      </c>
      <c r="AJ581" s="118">
        <v>0</v>
      </c>
      <c r="AK581" s="179"/>
    </row>
    <row r="582" spans="1:37" s="43" customFormat="1" ht="204.75" x14ac:dyDescent="0.25">
      <c r="A582" s="6">
        <v>579</v>
      </c>
      <c r="B582" s="31">
        <v>151534</v>
      </c>
      <c r="C582" s="11">
        <v>1004</v>
      </c>
      <c r="D582" s="11" t="s">
        <v>1638</v>
      </c>
      <c r="E582" s="24" t="s">
        <v>2258</v>
      </c>
      <c r="F582" s="31" t="s">
        <v>3243</v>
      </c>
      <c r="G582" s="27" t="s">
        <v>3242</v>
      </c>
      <c r="H582" s="8" t="s">
        <v>151</v>
      </c>
      <c r="I582" s="46" t="s">
        <v>3250</v>
      </c>
      <c r="J582" s="25">
        <v>44805</v>
      </c>
      <c r="K582" s="25">
        <v>45231</v>
      </c>
      <c r="L582" s="26">
        <f t="shared" si="228"/>
        <v>83.299996030046842</v>
      </c>
      <c r="M582" s="11">
        <v>7</v>
      </c>
      <c r="N582" s="11" t="s">
        <v>226</v>
      </c>
      <c r="O582" s="11" t="s">
        <v>3244</v>
      </c>
      <c r="P582" s="11" t="s">
        <v>274</v>
      </c>
      <c r="Q582" s="11" t="s">
        <v>34</v>
      </c>
      <c r="R582" s="2">
        <f t="shared" si="235"/>
        <v>344954.18</v>
      </c>
      <c r="S582" s="2">
        <v>344954.18</v>
      </c>
      <c r="T582" s="2">
        <v>0</v>
      </c>
      <c r="U582" s="2">
        <f t="shared" si="236"/>
        <v>60874.29</v>
      </c>
      <c r="V582" s="28">
        <v>60874.29</v>
      </c>
      <c r="W582" s="2">
        <v>0</v>
      </c>
      <c r="X582" s="2">
        <f t="shared" si="237"/>
        <v>0</v>
      </c>
      <c r="Y582" s="2">
        <v>0</v>
      </c>
      <c r="Z582" s="2">
        <v>0</v>
      </c>
      <c r="AA582" s="2">
        <f t="shared" si="238"/>
        <v>8282.2099999999991</v>
      </c>
      <c r="AB582" s="2">
        <v>8282.2099999999991</v>
      </c>
      <c r="AC582" s="2">
        <v>0</v>
      </c>
      <c r="AD582" s="16">
        <f t="shared" si="240"/>
        <v>414110.68</v>
      </c>
      <c r="AE582" s="2">
        <v>0</v>
      </c>
      <c r="AF582" s="2">
        <f t="shared" si="239"/>
        <v>414110.68</v>
      </c>
      <c r="AG582" s="38" t="s">
        <v>486</v>
      </c>
      <c r="AH582" s="29"/>
      <c r="AI582" s="118">
        <v>0</v>
      </c>
      <c r="AJ582" s="118">
        <v>0</v>
      </c>
      <c r="AK582" s="179"/>
    </row>
    <row r="583" spans="1:37" s="43" customFormat="1" ht="204.75" x14ac:dyDescent="0.25">
      <c r="A583" s="6">
        <v>580</v>
      </c>
      <c r="B583" s="31">
        <v>151562</v>
      </c>
      <c r="C583" s="11">
        <v>1014</v>
      </c>
      <c r="D583" s="11" t="s">
        <v>1638</v>
      </c>
      <c r="E583" s="24" t="s">
        <v>2258</v>
      </c>
      <c r="F583" s="31" t="s">
        <v>3246</v>
      </c>
      <c r="G583" s="27" t="s">
        <v>3245</v>
      </c>
      <c r="H583" s="8" t="s">
        <v>151</v>
      </c>
      <c r="I583" s="46" t="s">
        <v>3251</v>
      </c>
      <c r="J583" s="25">
        <v>44806</v>
      </c>
      <c r="K583" s="25">
        <v>45232</v>
      </c>
      <c r="L583" s="26">
        <f t="shared" si="228"/>
        <v>83.299996030046842</v>
      </c>
      <c r="M583" s="11">
        <v>6</v>
      </c>
      <c r="N583" s="11" t="s">
        <v>182</v>
      </c>
      <c r="O583" s="11" t="s">
        <v>3247</v>
      </c>
      <c r="P583" s="11" t="s">
        <v>274</v>
      </c>
      <c r="Q583" s="11" t="s">
        <v>34</v>
      </c>
      <c r="R583" s="2">
        <f t="shared" si="235"/>
        <v>344954.18</v>
      </c>
      <c r="S583" s="2">
        <v>344954.18</v>
      </c>
      <c r="T583" s="2">
        <v>0</v>
      </c>
      <c r="U583" s="2">
        <f t="shared" si="236"/>
        <v>60874.29</v>
      </c>
      <c r="V583" s="28">
        <v>60874.29</v>
      </c>
      <c r="W583" s="2">
        <v>0</v>
      </c>
      <c r="X583" s="2">
        <f t="shared" si="237"/>
        <v>0</v>
      </c>
      <c r="Y583" s="2">
        <v>0</v>
      </c>
      <c r="Z583" s="2">
        <v>0</v>
      </c>
      <c r="AA583" s="2">
        <f t="shared" si="238"/>
        <v>8282.2099999999991</v>
      </c>
      <c r="AB583" s="2">
        <v>8282.2099999999991</v>
      </c>
      <c r="AC583" s="2">
        <v>0</v>
      </c>
      <c r="AD583" s="16">
        <f t="shared" si="240"/>
        <v>414110.68</v>
      </c>
      <c r="AE583" s="2">
        <v>0</v>
      </c>
      <c r="AF583" s="2">
        <f t="shared" si="239"/>
        <v>414110.68</v>
      </c>
      <c r="AG583" s="38" t="s">
        <v>486</v>
      </c>
      <c r="AH583" s="29"/>
      <c r="AI583" s="118">
        <v>0</v>
      </c>
      <c r="AJ583" s="118">
        <v>0</v>
      </c>
      <c r="AK583" s="179"/>
    </row>
    <row r="584" spans="1:37" s="43" customFormat="1" ht="299.25" x14ac:dyDescent="0.25">
      <c r="A584" s="6">
        <v>581</v>
      </c>
      <c r="B584" s="31">
        <v>150703</v>
      </c>
      <c r="C584" s="11">
        <v>882</v>
      </c>
      <c r="D584" s="11" t="s">
        <v>1638</v>
      </c>
      <c r="E584" s="24" t="s">
        <v>2258</v>
      </c>
      <c r="F584" s="31" t="s">
        <v>3280</v>
      </c>
      <c r="G584" s="27" t="s">
        <v>3279</v>
      </c>
      <c r="H584" s="8" t="s">
        <v>151</v>
      </c>
      <c r="I584" s="46" t="s">
        <v>3281</v>
      </c>
      <c r="J584" s="25">
        <v>44818</v>
      </c>
      <c r="K584" s="25">
        <v>45183</v>
      </c>
      <c r="L584" s="26">
        <f t="shared" si="228"/>
        <v>83.300000515057718</v>
      </c>
      <c r="M584" s="11">
        <v>4</v>
      </c>
      <c r="N584" s="11" t="s">
        <v>499</v>
      </c>
      <c r="O584" s="11" t="s">
        <v>3282</v>
      </c>
      <c r="P584" s="11" t="s">
        <v>274</v>
      </c>
      <c r="Q584" s="11" t="s">
        <v>34</v>
      </c>
      <c r="R584" s="2">
        <f t="shared" si="235"/>
        <v>323458.90000000002</v>
      </c>
      <c r="S584" s="2">
        <v>323458.90000000002</v>
      </c>
      <c r="T584" s="2">
        <v>0</v>
      </c>
      <c r="U584" s="2">
        <f t="shared" si="236"/>
        <v>57080.98</v>
      </c>
      <c r="V584" s="28">
        <v>57080.98</v>
      </c>
      <c r="W584" s="2">
        <v>0</v>
      </c>
      <c r="X584" s="2">
        <f t="shared" si="237"/>
        <v>0</v>
      </c>
      <c r="Y584" s="2">
        <v>0</v>
      </c>
      <c r="Z584" s="2">
        <v>0</v>
      </c>
      <c r="AA584" s="2">
        <f t="shared" si="238"/>
        <v>7766.12</v>
      </c>
      <c r="AB584" s="2">
        <v>7766.12</v>
      </c>
      <c r="AC584" s="2">
        <v>0</v>
      </c>
      <c r="AD584" s="16">
        <f t="shared" si="240"/>
        <v>388306</v>
      </c>
      <c r="AE584" s="2">
        <v>0</v>
      </c>
      <c r="AF584" s="2">
        <f t="shared" si="239"/>
        <v>388306</v>
      </c>
      <c r="AG584" s="38" t="s">
        <v>486</v>
      </c>
      <c r="AH584" s="29"/>
      <c r="AI584" s="118">
        <v>0</v>
      </c>
      <c r="AJ584" s="118">
        <v>0</v>
      </c>
      <c r="AK584" s="179"/>
    </row>
    <row r="585" spans="1:37" s="43" customFormat="1" ht="157.5" x14ac:dyDescent="0.25">
      <c r="A585" s="6">
        <v>582</v>
      </c>
      <c r="B585" s="31">
        <v>151440</v>
      </c>
      <c r="C585" s="11">
        <v>960</v>
      </c>
      <c r="D585" s="11" t="s">
        <v>1638</v>
      </c>
      <c r="E585" s="24" t="s">
        <v>2301</v>
      </c>
      <c r="F585" s="31" t="s">
        <v>2300</v>
      </c>
      <c r="G585" s="27" t="s">
        <v>2299</v>
      </c>
      <c r="H585" s="8" t="s">
        <v>151</v>
      </c>
      <c r="I585" s="46" t="s">
        <v>2924</v>
      </c>
      <c r="J585" s="25">
        <v>44735</v>
      </c>
      <c r="K585" s="25">
        <v>45161</v>
      </c>
      <c r="L585" s="26">
        <f t="shared" si="228"/>
        <v>78.400002703336</v>
      </c>
      <c r="M585" s="11">
        <v>8</v>
      </c>
      <c r="N585" s="11" t="s">
        <v>691</v>
      </c>
      <c r="O585" s="11" t="s">
        <v>691</v>
      </c>
      <c r="P585" s="11" t="s">
        <v>274</v>
      </c>
      <c r="Q585" s="11" t="s">
        <v>34</v>
      </c>
      <c r="R585" s="2">
        <f t="shared" ref="R585:R603" si="241">S585+T585</f>
        <v>331773.78999999998</v>
      </c>
      <c r="S585" s="2">
        <v>0</v>
      </c>
      <c r="T585" s="2">
        <v>331773.78999999998</v>
      </c>
      <c r="U585" s="2">
        <f t="shared" ref="U585:U603" si="242">V585+W585</f>
        <v>82943.429999999993</v>
      </c>
      <c r="V585" s="28">
        <v>0</v>
      </c>
      <c r="W585" s="28">
        <v>82943.429999999993</v>
      </c>
      <c r="X585" s="2">
        <f t="shared" ref="X585:X603" si="243">Y585+Z585</f>
        <v>0</v>
      </c>
      <c r="Y585" s="2">
        <v>0</v>
      </c>
      <c r="Z585" s="2">
        <v>0</v>
      </c>
      <c r="AA585" s="2">
        <f t="shared" ref="AA585:AA603" si="244">AB585+AC585</f>
        <v>8463.6200000000008</v>
      </c>
      <c r="AB585" s="2">
        <v>0</v>
      </c>
      <c r="AC585" s="2">
        <v>8463.6200000000008</v>
      </c>
      <c r="AD585" s="16">
        <f t="shared" si="240"/>
        <v>423180.83999999997</v>
      </c>
      <c r="AE585" s="2">
        <v>2150</v>
      </c>
      <c r="AF585" s="2">
        <f t="shared" ref="AF585:AF603" si="245">AD585+AE585</f>
        <v>425330.83999999997</v>
      </c>
      <c r="AG585" s="38" t="s">
        <v>486</v>
      </c>
      <c r="AH585" s="29"/>
      <c r="AI585" s="118">
        <v>42318.080000000002</v>
      </c>
      <c r="AJ585" s="30">
        <v>0</v>
      </c>
      <c r="AK585" s="179"/>
    </row>
    <row r="586" spans="1:37" s="43" customFormat="1" ht="157.5" customHeight="1" x14ac:dyDescent="0.25">
      <c r="A586" s="6">
        <v>583</v>
      </c>
      <c r="B586" s="31">
        <v>151443</v>
      </c>
      <c r="C586" s="11">
        <v>1086</v>
      </c>
      <c r="D586" s="11" t="s">
        <v>1638</v>
      </c>
      <c r="E586" s="24" t="s">
        <v>2301</v>
      </c>
      <c r="F586" s="31" t="s">
        <v>2346</v>
      </c>
      <c r="G586" s="27" t="s">
        <v>2345</v>
      </c>
      <c r="H586" s="8" t="s">
        <v>151</v>
      </c>
      <c r="I586" s="46" t="s">
        <v>2925</v>
      </c>
      <c r="J586" s="25">
        <v>44743</v>
      </c>
      <c r="K586" s="25">
        <v>45108</v>
      </c>
      <c r="L586" s="26">
        <f t="shared" si="228"/>
        <v>78.400003406603687</v>
      </c>
      <c r="M586" s="11">
        <v>8</v>
      </c>
      <c r="N586" s="11" t="s">
        <v>691</v>
      </c>
      <c r="O586" s="11" t="s">
        <v>716</v>
      </c>
      <c r="P586" s="11" t="s">
        <v>274</v>
      </c>
      <c r="Q586" s="11" t="s">
        <v>34</v>
      </c>
      <c r="R586" s="2">
        <f t="shared" si="241"/>
        <v>322197.75</v>
      </c>
      <c r="S586" s="2">
        <v>0</v>
      </c>
      <c r="T586" s="2">
        <v>322197.75</v>
      </c>
      <c r="U586" s="2">
        <f t="shared" si="242"/>
        <v>80549.41</v>
      </c>
      <c r="V586" s="28">
        <v>0</v>
      </c>
      <c r="W586" s="28">
        <v>80549.41</v>
      </c>
      <c r="X586" s="2">
        <f t="shared" si="243"/>
        <v>0</v>
      </c>
      <c r="Y586" s="2">
        <v>0</v>
      </c>
      <c r="Z586" s="2">
        <v>0</v>
      </c>
      <c r="AA586" s="2">
        <f t="shared" si="244"/>
        <v>8219.34</v>
      </c>
      <c r="AB586" s="2">
        <v>0</v>
      </c>
      <c r="AC586" s="2">
        <v>8219.34</v>
      </c>
      <c r="AD586" s="16">
        <f t="shared" si="240"/>
        <v>410966.50000000006</v>
      </c>
      <c r="AE586" s="2">
        <v>0</v>
      </c>
      <c r="AF586" s="2">
        <f t="shared" si="245"/>
        <v>410966.50000000006</v>
      </c>
      <c r="AG586" s="38" t="s">
        <v>486</v>
      </c>
      <c r="AH586" s="29"/>
      <c r="AI586" s="118">
        <v>41096.65</v>
      </c>
      <c r="AJ586" s="30">
        <v>0</v>
      </c>
      <c r="AK586" s="179"/>
    </row>
    <row r="587" spans="1:37" s="43" customFormat="1" ht="173.25" x14ac:dyDescent="0.25">
      <c r="A587" s="6">
        <v>584</v>
      </c>
      <c r="B587" s="31">
        <v>151482</v>
      </c>
      <c r="C587" s="11">
        <v>963</v>
      </c>
      <c r="D587" s="11" t="s">
        <v>1638</v>
      </c>
      <c r="E587" s="24" t="s">
        <v>2301</v>
      </c>
      <c r="F587" s="31" t="s">
        <v>2354</v>
      </c>
      <c r="G587" s="27" t="s">
        <v>2355</v>
      </c>
      <c r="H587" s="8" t="s">
        <v>151</v>
      </c>
      <c r="I587" s="46" t="s">
        <v>2926</v>
      </c>
      <c r="J587" s="25">
        <v>44746</v>
      </c>
      <c r="K587" s="25">
        <v>45173</v>
      </c>
      <c r="L587" s="26">
        <f t="shared" si="228"/>
        <v>78.400000705183658</v>
      </c>
      <c r="M587" s="11">
        <v>8</v>
      </c>
      <c r="N587" s="11" t="s">
        <v>691</v>
      </c>
      <c r="O587" s="11" t="s">
        <v>2356</v>
      </c>
      <c r="P587" s="11" t="s">
        <v>274</v>
      </c>
      <c r="Q587" s="11" t="s">
        <v>34</v>
      </c>
      <c r="R587" s="2">
        <f t="shared" si="241"/>
        <v>329083.07</v>
      </c>
      <c r="S587" s="2">
        <v>0</v>
      </c>
      <c r="T587" s="2">
        <v>329083.07</v>
      </c>
      <c r="U587" s="2">
        <f t="shared" si="242"/>
        <v>82270.759999999995</v>
      </c>
      <c r="V587" s="28">
        <v>0</v>
      </c>
      <c r="W587" s="28">
        <v>82270.759999999995</v>
      </c>
      <c r="X587" s="2">
        <f t="shared" si="243"/>
        <v>0</v>
      </c>
      <c r="Y587" s="2">
        <v>0</v>
      </c>
      <c r="Z587" s="2">
        <v>0</v>
      </c>
      <c r="AA587" s="2">
        <f t="shared" si="244"/>
        <v>8394.98</v>
      </c>
      <c r="AB587" s="2">
        <v>0</v>
      </c>
      <c r="AC587" s="2">
        <v>8394.98</v>
      </c>
      <c r="AD587" s="16">
        <f t="shared" si="240"/>
        <v>419748.81</v>
      </c>
      <c r="AE587" s="2">
        <v>0</v>
      </c>
      <c r="AF587" s="2">
        <f t="shared" si="245"/>
        <v>419748.81</v>
      </c>
      <c r="AG587" s="38" t="s">
        <v>486</v>
      </c>
      <c r="AH587" s="29"/>
      <c r="AI587" s="118">
        <v>41974.879999999997</v>
      </c>
      <c r="AJ587" s="30">
        <v>0</v>
      </c>
      <c r="AK587" s="179"/>
    </row>
    <row r="588" spans="1:37" s="43" customFormat="1" ht="157.5" x14ac:dyDescent="0.25">
      <c r="A588" s="6">
        <v>585</v>
      </c>
      <c r="B588" s="31">
        <v>151411</v>
      </c>
      <c r="C588" s="11">
        <v>1084</v>
      </c>
      <c r="D588" s="11" t="s">
        <v>1638</v>
      </c>
      <c r="E588" s="24" t="s">
        <v>2301</v>
      </c>
      <c r="F588" s="31" t="s">
        <v>2371</v>
      </c>
      <c r="G588" s="27" t="s">
        <v>2370</v>
      </c>
      <c r="H588" s="8" t="s">
        <v>151</v>
      </c>
      <c r="I588" s="46" t="s">
        <v>2372</v>
      </c>
      <c r="J588" s="25">
        <v>44750</v>
      </c>
      <c r="K588" s="25">
        <v>45177</v>
      </c>
      <c r="L588" s="26">
        <f t="shared" si="228"/>
        <v>78.399998581950825</v>
      </c>
      <c r="M588" s="11">
        <v>8</v>
      </c>
      <c r="N588" s="11" t="s">
        <v>261</v>
      </c>
      <c r="O588" s="11" t="s">
        <v>261</v>
      </c>
      <c r="P588" s="11" t="s">
        <v>274</v>
      </c>
      <c r="Q588" s="11" t="s">
        <v>34</v>
      </c>
      <c r="R588" s="2">
        <f t="shared" si="241"/>
        <v>331723.33</v>
      </c>
      <c r="S588" s="2">
        <v>0</v>
      </c>
      <c r="T588" s="2">
        <v>331723.33</v>
      </c>
      <c r="U588" s="2">
        <f t="shared" si="242"/>
        <v>82930.84</v>
      </c>
      <c r="V588" s="28">
        <v>0</v>
      </c>
      <c r="W588" s="28">
        <v>82930.84</v>
      </c>
      <c r="X588" s="2">
        <f t="shared" si="243"/>
        <v>0</v>
      </c>
      <c r="Y588" s="2">
        <v>0</v>
      </c>
      <c r="Z588" s="2">
        <v>0</v>
      </c>
      <c r="AA588" s="2">
        <f t="shared" si="244"/>
        <v>8462.33</v>
      </c>
      <c r="AB588" s="2">
        <v>0</v>
      </c>
      <c r="AC588" s="2">
        <v>8462.33</v>
      </c>
      <c r="AD588" s="16">
        <f t="shared" si="240"/>
        <v>423116.50000000006</v>
      </c>
      <c r="AE588" s="2">
        <v>0</v>
      </c>
      <c r="AF588" s="2">
        <f t="shared" si="245"/>
        <v>423116.50000000006</v>
      </c>
      <c r="AG588" s="38" t="s">
        <v>486</v>
      </c>
      <c r="AH588" s="29"/>
      <c r="AI588" s="118">
        <v>42310</v>
      </c>
      <c r="AJ588" s="30">
        <v>0</v>
      </c>
      <c r="AK588" s="179"/>
    </row>
    <row r="589" spans="1:37" s="43" customFormat="1" ht="141.75" x14ac:dyDescent="0.25">
      <c r="A589" s="6">
        <v>586</v>
      </c>
      <c r="B589" s="31">
        <v>150612</v>
      </c>
      <c r="C589" s="11">
        <v>958</v>
      </c>
      <c r="D589" s="11" t="s">
        <v>1638</v>
      </c>
      <c r="E589" s="24" t="s">
        <v>2301</v>
      </c>
      <c r="F589" s="31" t="s">
        <v>2378</v>
      </c>
      <c r="G589" s="27" t="s">
        <v>2377</v>
      </c>
      <c r="H589" s="8" t="s">
        <v>151</v>
      </c>
      <c r="I589" s="46" t="s">
        <v>2379</v>
      </c>
      <c r="J589" s="25">
        <v>44753</v>
      </c>
      <c r="K589" s="25">
        <v>45118</v>
      </c>
      <c r="L589" s="26">
        <f t="shared" si="228"/>
        <v>78.400002825610386</v>
      </c>
      <c r="M589" s="11">
        <v>8</v>
      </c>
      <c r="N589" s="11" t="s">
        <v>261</v>
      </c>
      <c r="O589" s="11" t="s">
        <v>261</v>
      </c>
      <c r="P589" s="11" t="s">
        <v>274</v>
      </c>
      <c r="Q589" s="11" t="s">
        <v>34</v>
      </c>
      <c r="R589" s="2">
        <f t="shared" si="241"/>
        <v>332954.62</v>
      </c>
      <c r="S589" s="2">
        <v>0</v>
      </c>
      <c r="T589" s="2">
        <v>332954.62</v>
      </c>
      <c r="U589" s="2">
        <f t="shared" si="242"/>
        <v>83238.64</v>
      </c>
      <c r="V589" s="28">
        <v>0</v>
      </c>
      <c r="W589" s="28">
        <v>83238.64</v>
      </c>
      <c r="X589" s="2">
        <f t="shared" si="243"/>
        <v>0</v>
      </c>
      <c r="Y589" s="2">
        <v>0</v>
      </c>
      <c r="Z589" s="2">
        <v>0</v>
      </c>
      <c r="AA589" s="2">
        <f t="shared" si="244"/>
        <v>8493.74</v>
      </c>
      <c r="AB589" s="2">
        <v>0</v>
      </c>
      <c r="AC589" s="2">
        <v>8493.74</v>
      </c>
      <c r="AD589" s="16">
        <f t="shared" si="240"/>
        <v>424687</v>
      </c>
      <c r="AE589" s="2">
        <v>0</v>
      </c>
      <c r="AF589" s="2">
        <f t="shared" si="245"/>
        <v>424687</v>
      </c>
      <c r="AG589" s="38" t="s">
        <v>486</v>
      </c>
      <c r="AH589" s="29"/>
      <c r="AI589" s="118">
        <v>42468.7</v>
      </c>
      <c r="AJ589" s="30">
        <v>0</v>
      </c>
      <c r="AK589" s="179"/>
    </row>
    <row r="590" spans="1:37" s="43" customFormat="1" ht="141.75" x14ac:dyDescent="0.25">
      <c r="A590" s="6">
        <v>587</v>
      </c>
      <c r="B590" s="31">
        <v>151037</v>
      </c>
      <c r="C590" s="11">
        <v>964</v>
      </c>
      <c r="D590" s="11" t="s">
        <v>1638</v>
      </c>
      <c r="E590" s="24" t="s">
        <v>2301</v>
      </c>
      <c r="F590" s="31" t="s">
        <v>2381</v>
      </c>
      <c r="G590" s="27" t="s">
        <v>2380</v>
      </c>
      <c r="H590" s="8" t="s">
        <v>151</v>
      </c>
      <c r="I590" s="46" t="s">
        <v>2927</v>
      </c>
      <c r="J590" s="25">
        <v>44753</v>
      </c>
      <c r="K590" s="25">
        <v>45180</v>
      </c>
      <c r="L590" s="26">
        <f t="shared" si="228"/>
        <v>78.400002120199403</v>
      </c>
      <c r="M590" s="11">
        <v>8</v>
      </c>
      <c r="N590" s="11" t="s">
        <v>261</v>
      </c>
      <c r="O590" s="11" t="s">
        <v>261</v>
      </c>
      <c r="P590" s="11" t="s">
        <v>274</v>
      </c>
      <c r="Q590" s="11" t="s">
        <v>34</v>
      </c>
      <c r="R590" s="2">
        <f t="shared" si="241"/>
        <v>295821.24</v>
      </c>
      <c r="S590" s="2">
        <v>0</v>
      </c>
      <c r="T590" s="2">
        <v>295821.24</v>
      </c>
      <c r="U590" s="2">
        <f t="shared" si="242"/>
        <v>73955.3</v>
      </c>
      <c r="V590" s="28">
        <v>0</v>
      </c>
      <c r="W590" s="28">
        <v>73955.3</v>
      </c>
      <c r="X590" s="2">
        <f t="shared" si="243"/>
        <v>0</v>
      </c>
      <c r="Y590" s="2">
        <v>0</v>
      </c>
      <c r="Z590" s="2">
        <v>0</v>
      </c>
      <c r="AA590" s="2">
        <f t="shared" si="244"/>
        <v>7546.46</v>
      </c>
      <c r="AB590" s="2">
        <v>0</v>
      </c>
      <c r="AC590" s="2">
        <v>7546.46</v>
      </c>
      <c r="AD590" s="16">
        <f t="shared" si="240"/>
        <v>377323</v>
      </c>
      <c r="AE590" s="2">
        <v>0</v>
      </c>
      <c r="AF590" s="2">
        <f t="shared" si="245"/>
        <v>377323</v>
      </c>
      <c r="AG590" s="38" t="s">
        <v>486</v>
      </c>
      <c r="AH590" s="29"/>
      <c r="AI590" s="118">
        <v>37732.300000000003</v>
      </c>
      <c r="AJ590" s="30">
        <v>0</v>
      </c>
      <c r="AK590" s="179"/>
    </row>
    <row r="591" spans="1:37" s="43" customFormat="1" ht="204.75" customHeight="1" x14ac:dyDescent="0.25">
      <c r="A591" s="6">
        <v>588</v>
      </c>
      <c r="B591" s="31">
        <v>151409</v>
      </c>
      <c r="C591" s="11">
        <v>896</v>
      </c>
      <c r="D591" s="11" t="s">
        <v>1638</v>
      </c>
      <c r="E591" s="24" t="s">
        <v>2301</v>
      </c>
      <c r="F591" s="31" t="s">
        <v>2433</v>
      </c>
      <c r="G591" s="27" t="s">
        <v>2432</v>
      </c>
      <c r="H591" s="8" t="s">
        <v>151</v>
      </c>
      <c r="I591" s="46" t="s">
        <v>2434</v>
      </c>
      <c r="J591" s="25">
        <v>44762</v>
      </c>
      <c r="K591" s="25">
        <v>45127</v>
      </c>
      <c r="L591" s="26">
        <f t="shared" si="228"/>
        <v>78.399999911675167</v>
      </c>
      <c r="M591" s="11">
        <v>8</v>
      </c>
      <c r="N591" s="11" t="s">
        <v>691</v>
      </c>
      <c r="O591" s="11" t="s">
        <v>2435</v>
      </c>
      <c r="P591" s="11" t="s">
        <v>274</v>
      </c>
      <c r="Q591" s="11" t="s">
        <v>34</v>
      </c>
      <c r="R591" s="2">
        <f t="shared" si="241"/>
        <v>284042.40000000002</v>
      </c>
      <c r="S591" s="2">
        <v>0</v>
      </c>
      <c r="T591" s="2">
        <v>284042.40000000002</v>
      </c>
      <c r="U591" s="2">
        <f t="shared" si="242"/>
        <v>71010.600000000006</v>
      </c>
      <c r="V591" s="28">
        <v>0</v>
      </c>
      <c r="W591" s="28">
        <v>71010.600000000006</v>
      </c>
      <c r="X591" s="2">
        <f t="shared" si="243"/>
        <v>0</v>
      </c>
      <c r="Y591" s="2">
        <v>0</v>
      </c>
      <c r="Z591" s="2">
        <v>0</v>
      </c>
      <c r="AA591" s="2">
        <f t="shared" si="244"/>
        <v>7245.98</v>
      </c>
      <c r="AB591" s="2">
        <v>0</v>
      </c>
      <c r="AC591" s="2">
        <v>7245.98</v>
      </c>
      <c r="AD591" s="16">
        <f t="shared" si="240"/>
        <v>362298.98</v>
      </c>
      <c r="AE591" s="2">
        <v>0</v>
      </c>
      <c r="AF591" s="2">
        <f t="shared" si="245"/>
        <v>362298.98</v>
      </c>
      <c r="AG591" s="38" t="s">
        <v>486</v>
      </c>
      <c r="AH591" s="29"/>
      <c r="AI591" s="118">
        <v>35505.300000000003</v>
      </c>
      <c r="AJ591" s="30">
        <v>0</v>
      </c>
      <c r="AK591" s="179"/>
    </row>
    <row r="592" spans="1:37" s="43" customFormat="1" ht="220.5" customHeight="1" x14ac:dyDescent="0.25">
      <c r="A592" s="6">
        <v>589</v>
      </c>
      <c r="B592" s="31">
        <v>151435</v>
      </c>
      <c r="C592" s="11">
        <v>1085</v>
      </c>
      <c r="D592" s="11" t="s">
        <v>1638</v>
      </c>
      <c r="E592" s="24" t="s">
        <v>2301</v>
      </c>
      <c r="F592" s="31" t="s">
        <v>2594</v>
      </c>
      <c r="G592" s="27" t="s">
        <v>2593</v>
      </c>
      <c r="H592" s="8" t="s">
        <v>151</v>
      </c>
      <c r="I592" s="46" t="s">
        <v>2928</v>
      </c>
      <c r="J592" s="25">
        <v>44774</v>
      </c>
      <c r="K592" s="25">
        <v>45200</v>
      </c>
      <c r="L592" s="26">
        <f t="shared" si="228"/>
        <v>78.400002490219634</v>
      </c>
      <c r="M592" s="11">
        <v>8</v>
      </c>
      <c r="N592" s="11" t="s">
        <v>137</v>
      </c>
      <c r="O592" s="11" t="s">
        <v>137</v>
      </c>
      <c r="P592" s="11" t="s">
        <v>274</v>
      </c>
      <c r="Q592" s="11" t="s">
        <v>34</v>
      </c>
      <c r="R592" s="2">
        <f t="shared" si="241"/>
        <v>294682.45</v>
      </c>
      <c r="S592" s="2">
        <v>0</v>
      </c>
      <c r="T592" s="2">
        <v>294682.45</v>
      </c>
      <c r="U592" s="2">
        <f t="shared" si="242"/>
        <v>73670.600000000006</v>
      </c>
      <c r="V592" s="28">
        <v>0</v>
      </c>
      <c r="W592" s="28">
        <v>73670.600000000006</v>
      </c>
      <c r="X592" s="2">
        <f t="shared" si="243"/>
        <v>0</v>
      </c>
      <c r="Y592" s="2">
        <v>0</v>
      </c>
      <c r="Z592" s="2">
        <v>0</v>
      </c>
      <c r="AA592" s="2">
        <f t="shared" si="244"/>
        <v>7517.41</v>
      </c>
      <c r="AB592" s="2">
        <v>0</v>
      </c>
      <c r="AC592" s="2">
        <v>7517.41</v>
      </c>
      <c r="AD592" s="16">
        <f t="shared" si="240"/>
        <v>375870.46</v>
      </c>
      <c r="AE592" s="2">
        <v>0</v>
      </c>
      <c r="AF592" s="2">
        <f t="shared" si="245"/>
        <v>375870.46</v>
      </c>
      <c r="AG592" s="38" t="s">
        <v>486</v>
      </c>
      <c r="AH592" s="29"/>
      <c r="AI592" s="118">
        <v>37500</v>
      </c>
      <c r="AJ592" s="30">
        <v>0</v>
      </c>
      <c r="AK592" s="179"/>
    </row>
    <row r="593" spans="1:37" s="43" customFormat="1" ht="141.75" x14ac:dyDescent="0.25">
      <c r="A593" s="6">
        <v>590</v>
      </c>
      <c r="B593" s="31">
        <v>151211</v>
      </c>
      <c r="C593" s="11">
        <v>1077</v>
      </c>
      <c r="D593" s="11" t="s">
        <v>1638</v>
      </c>
      <c r="E593" s="24" t="s">
        <v>2301</v>
      </c>
      <c r="F593" s="31" t="s">
        <v>2592</v>
      </c>
      <c r="G593" s="27" t="s">
        <v>521</v>
      </c>
      <c r="H593" s="8" t="s">
        <v>151</v>
      </c>
      <c r="I593" s="46" t="s">
        <v>2929</v>
      </c>
      <c r="J593" s="25">
        <v>44774</v>
      </c>
      <c r="K593" s="25">
        <v>45200</v>
      </c>
      <c r="L593" s="26">
        <f t="shared" si="228"/>
        <v>78.400002077069672</v>
      </c>
      <c r="M593" s="11">
        <v>8</v>
      </c>
      <c r="N593" s="11" t="s">
        <v>137</v>
      </c>
      <c r="O593" s="11" t="s">
        <v>137</v>
      </c>
      <c r="P593" s="11" t="s">
        <v>274</v>
      </c>
      <c r="Q593" s="11" t="s">
        <v>34</v>
      </c>
      <c r="R593" s="2">
        <f t="shared" si="241"/>
        <v>301963.88</v>
      </c>
      <c r="S593" s="2">
        <v>0</v>
      </c>
      <c r="T593" s="2">
        <v>301963.88</v>
      </c>
      <c r="U593" s="2">
        <f t="shared" si="242"/>
        <v>75490.960000000006</v>
      </c>
      <c r="V593" s="28">
        <v>0</v>
      </c>
      <c r="W593" s="28">
        <v>75490.960000000006</v>
      </c>
      <c r="X593" s="2">
        <f t="shared" si="243"/>
        <v>0</v>
      </c>
      <c r="Y593" s="2">
        <v>0</v>
      </c>
      <c r="Z593" s="2">
        <v>0</v>
      </c>
      <c r="AA593" s="2">
        <f t="shared" si="244"/>
        <v>7703.16</v>
      </c>
      <c r="AB593" s="2">
        <v>0</v>
      </c>
      <c r="AC593" s="2">
        <v>7703.16</v>
      </c>
      <c r="AD593" s="16">
        <f t="shared" si="240"/>
        <v>385158</v>
      </c>
      <c r="AE593" s="2">
        <v>0</v>
      </c>
      <c r="AF593" s="2">
        <f t="shared" si="245"/>
        <v>385158</v>
      </c>
      <c r="AG593" s="38" t="s">
        <v>486</v>
      </c>
      <c r="AH593" s="29"/>
      <c r="AI593" s="118">
        <v>38515</v>
      </c>
      <c r="AJ593" s="30">
        <v>0</v>
      </c>
      <c r="AK593" s="179"/>
    </row>
    <row r="594" spans="1:37" s="43" customFormat="1" ht="220.5" x14ac:dyDescent="0.25">
      <c r="A594" s="6">
        <v>591</v>
      </c>
      <c r="B594" s="31">
        <v>151576</v>
      </c>
      <c r="C594" s="11">
        <v>1098</v>
      </c>
      <c r="D594" s="11" t="s">
        <v>1638</v>
      </c>
      <c r="E594" s="24" t="s">
        <v>2301</v>
      </c>
      <c r="F594" s="31" t="s">
        <v>3131</v>
      </c>
      <c r="G594" s="27" t="s">
        <v>3130</v>
      </c>
      <c r="H594" s="8" t="s">
        <v>151</v>
      </c>
      <c r="I594" s="46" t="s">
        <v>3132</v>
      </c>
      <c r="J594" s="25">
        <v>44790</v>
      </c>
      <c r="K594" s="25">
        <v>45216</v>
      </c>
      <c r="L594" s="26">
        <f t="shared" si="228"/>
        <v>78.399997607769961</v>
      </c>
      <c r="M594" s="11">
        <v>8</v>
      </c>
      <c r="N594" s="11" t="s">
        <v>691</v>
      </c>
      <c r="O594" s="11" t="s">
        <v>3133</v>
      </c>
      <c r="P594" s="11" t="s">
        <v>274</v>
      </c>
      <c r="Q594" s="11" t="s">
        <v>34</v>
      </c>
      <c r="R594" s="2">
        <f t="shared" si="241"/>
        <v>327727.67</v>
      </c>
      <c r="S594" s="2">
        <v>0</v>
      </c>
      <c r="T594" s="2">
        <v>327727.67</v>
      </c>
      <c r="U594" s="2">
        <f t="shared" si="242"/>
        <v>81931.92</v>
      </c>
      <c r="V594" s="28">
        <v>0</v>
      </c>
      <c r="W594" s="28">
        <v>81931.92</v>
      </c>
      <c r="X594" s="2">
        <f t="shared" si="243"/>
        <v>0</v>
      </c>
      <c r="Y594" s="2">
        <v>0</v>
      </c>
      <c r="Z594" s="2">
        <v>0</v>
      </c>
      <c r="AA594" s="2">
        <f t="shared" si="244"/>
        <v>8360.41</v>
      </c>
      <c r="AB594" s="2">
        <v>0</v>
      </c>
      <c r="AC594" s="2">
        <v>8360.41</v>
      </c>
      <c r="AD594" s="16">
        <f t="shared" si="240"/>
        <v>418019.99999999994</v>
      </c>
      <c r="AE594" s="2">
        <v>0</v>
      </c>
      <c r="AF594" s="2">
        <f t="shared" si="245"/>
        <v>418019.99999999994</v>
      </c>
      <c r="AG594" s="38" t="s">
        <v>486</v>
      </c>
      <c r="AH594" s="29"/>
      <c r="AI594" s="118">
        <v>41800</v>
      </c>
      <c r="AJ594" s="30">
        <v>0</v>
      </c>
      <c r="AK594" s="179"/>
    </row>
    <row r="595" spans="1:37" s="43" customFormat="1" ht="267.75" x14ac:dyDescent="0.25">
      <c r="A595" s="6">
        <v>592</v>
      </c>
      <c r="B595" s="31">
        <v>151510</v>
      </c>
      <c r="C595" s="11">
        <v>1078</v>
      </c>
      <c r="D595" s="11" t="s">
        <v>1638</v>
      </c>
      <c r="E595" s="24" t="s">
        <v>2301</v>
      </c>
      <c r="F595" s="31" t="s">
        <v>3219</v>
      </c>
      <c r="G595" s="27" t="s">
        <v>3176</v>
      </c>
      <c r="H595" s="8" t="s">
        <v>151</v>
      </c>
      <c r="I595" s="46" t="s">
        <v>3221</v>
      </c>
      <c r="J595" s="25">
        <v>44803</v>
      </c>
      <c r="K595" s="25">
        <v>44985</v>
      </c>
      <c r="L595" s="26">
        <f t="shared" si="228"/>
        <v>78.40000261872072</v>
      </c>
      <c r="M595" s="11">
        <v>8</v>
      </c>
      <c r="N595" s="11" t="s">
        <v>691</v>
      </c>
      <c r="O595" s="11" t="s">
        <v>3220</v>
      </c>
      <c r="P595" s="11" t="s">
        <v>274</v>
      </c>
      <c r="Q595" s="11" t="s">
        <v>34</v>
      </c>
      <c r="R595" s="2">
        <f t="shared" si="241"/>
        <v>332913.71000000002</v>
      </c>
      <c r="S595" s="2">
        <v>0</v>
      </c>
      <c r="T595" s="2">
        <v>332913.71000000002</v>
      </c>
      <c r="U595" s="2">
        <f t="shared" si="242"/>
        <v>83228.42</v>
      </c>
      <c r="V595" s="2">
        <v>0</v>
      </c>
      <c r="W595" s="28">
        <v>83228.42</v>
      </c>
      <c r="X595" s="2">
        <f t="shared" si="243"/>
        <v>0</v>
      </c>
      <c r="Y595" s="2">
        <v>0</v>
      </c>
      <c r="Z595" s="2">
        <v>0</v>
      </c>
      <c r="AA595" s="2">
        <f t="shared" si="244"/>
        <v>8492.69</v>
      </c>
      <c r="AB595" s="2">
        <v>0</v>
      </c>
      <c r="AC595" s="2">
        <v>8492.69</v>
      </c>
      <c r="AD595" s="16">
        <f t="shared" si="240"/>
        <v>424634.82</v>
      </c>
      <c r="AE595" s="2">
        <v>0</v>
      </c>
      <c r="AF595" s="2">
        <f t="shared" si="245"/>
        <v>424634.82</v>
      </c>
      <c r="AG595" s="38" t="s">
        <v>486</v>
      </c>
      <c r="AH595" s="29"/>
      <c r="AI595" s="118">
        <v>0</v>
      </c>
      <c r="AJ595" s="118">
        <v>0</v>
      </c>
      <c r="AK595" s="179"/>
    </row>
    <row r="596" spans="1:37" s="43" customFormat="1" ht="283.5" x14ac:dyDescent="0.25">
      <c r="A596" s="6">
        <v>593</v>
      </c>
      <c r="B596" s="31">
        <v>151513</v>
      </c>
      <c r="C596" s="11">
        <v>1080</v>
      </c>
      <c r="D596" s="11" t="s">
        <v>1638</v>
      </c>
      <c r="E596" s="24" t="s">
        <v>2301</v>
      </c>
      <c r="F596" s="31" t="s">
        <v>3223</v>
      </c>
      <c r="G596" s="27" t="s">
        <v>3222</v>
      </c>
      <c r="H596" s="8" t="s">
        <v>151</v>
      </c>
      <c r="I596" s="46" t="s">
        <v>3225</v>
      </c>
      <c r="J596" s="25">
        <v>44804</v>
      </c>
      <c r="K596" s="25">
        <v>44985</v>
      </c>
      <c r="L596" s="26">
        <f t="shared" ref="L596:L603" si="246">R596/AD596*100</f>
        <v>78.400001111178014</v>
      </c>
      <c r="M596" s="11">
        <v>8</v>
      </c>
      <c r="N596" s="11" t="s">
        <v>691</v>
      </c>
      <c r="O596" s="11" t="s">
        <v>3224</v>
      </c>
      <c r="P596" s="11" t="s">
        <v>274</v>
      </c>
      <c r="Q596" s="11" t="s">
        <v>34</v>
      </c>
      <c r="R596" s="2">
        <f t="shared" si="241"/>
        <v>333023.15000000002</v>
      </c>
      <c r="S596" s="2">
        <v>0</v>
      </c>
      <c r="T596" s="2">
        <v>333023.15000000002</v>
      </c>
      <c r="U596" s="2">
        <f t="shared" si="242"/>
        <v>83255.78</v>
      </c>
      <c r="V596" s="2">
        <v>0</v>
      </c>
      <c r="W596" s="28">
        <v>83255.78</v>
      </c>
      <c r="X596" s="2">
        <f t="shared" si="243"/>
        <v>0</v>
      </c>
      <c r="Y596" s="2">
        <v>0</v>
      </c>
      <c r="Z596" s="2">
        <v>0</v>
      </c>
      <c r="AA596" s="2">
        <f t="shared" si="244"/>
        <v>8495.49</v>
      </c>
      <c r="AB596" s="2">
        <v>0</v>
      </c>
      <c r="AC596" s="2">
        <v>8495.49</v>
      </c>
      <c r="AD596" s="16">
        <f t="shared" si="240"/>
        <v>424774.42000000004</v>
      </c>
      <c r="AE596" s="2">
        <v>0</v>
      </c>
      <c r="AF596" s="2">
        <f t="shared" si="245"/>
        <v>424774.42000000004</v>
      </c>
      <c r="AG596" s="38" t="s">
        <v>486</v>
      </c>
      <c r="AH596" s="29"/>
      <c r="AI596" s="118">
        <v>0</v>
      </c>
      <c r="AJ596" s="118">
        <v>0</v>
      </c>
      <c r="AK596" s="179"/>
    </row>
    <row r="597" spans="1:37" s="43" customFormat="1" ht="283.5" x14ac:dyDescent="0.25">
      <c r="A597" s="6">
        <v>594</v>
      </c>
      <c r="B597" s="31">
        <v>151359</v>
      </c>
      <c r="C597" s="11">
        <v>1088</v>
      </c>
      <c r="D597" s="11" t="s">
        <v>1638</v>
      </c>
      <c r="E597" s="24" t="s">
        <v>2301</v>
      </c>
      <c r="F597" s="31" t="s">
        <v>3227</v>
      </c>
      <c r="G597" s="27" t="s">
        <v>3226</v>
      </c>
      <c r="H597" s="8" t="s">
        <v>151</v>
      </c>
      <c r="I597" s="46" t="s">
        <v>3240</v>
      </c>
      <c r="J597" s="25">
        <v>44802</v>
      </c>
      <c r="K597" s="25">
        <v>45167</v>
      </c>
      <c r="L597" s="26">
        <f t="shared" si="246"/>
        <v>78.400001698451717</v>
      </c>
      <c r="M597" s="11">
        <v>8</v>
      </c>
      <c r="N597" s="11" t="s">
        <v>691</v>
      </c>
      <c r="O597" s="11" t="s">
        <v>691</v>
      </c>
      <c r="P597" s="11" t="s">
        <v>274</v>
      </c>
      <c r="Q597" s="11" t="s">
        <v>34</v>
      </c>
      <c r="R597" s="2">
        <f t="shared" si="241"/>
        <v>306500.33</v>
      </c>
      <c r="S597" s="2">
        <v>0</v>
      </c>
      <c r="T597" s="2">
        <v>306500.33</v>
      </c>
      <c r="U597" s="2">
        <f t="shared" si="242"/>
        <v>76625.08</v>
      </c>
      <c r="V597" s="2">
        <v>0</v>
      </c>
      <c r="W597" s="28">
        <v>76625.08</v>
      </c>
      <c r="X597" s="2">
        <f t="shared" si="243"/>
        <v>0</v>
      </c>
      <c r="Y597" s="2">
        <v>0</v>
      </c>
      <c r="Z597" s="2">
        <v>0</v>
      </c>
      <c r="AA597" s="2">
        <f t="shared" si="244"/>
        <v>7818.88</v>
      </c>
      <c r="AB597" s="2">
        <v>0</v>
      </c>
      <c r="AC597" s="2">
        <v>7818.88</v>
      </c>
      <c r="AD597" s="16">
        <f t="shared" si="240"/>
        <v>390944.29000000004</v>
      </c>
      <c r="AE597" s="2">
        <v>0</v>
      </c>
      <c r="AF597" s="2">
        <f t="shared" si="245"/>
        <v>390944.29000000004</v>
      </c>
      <c r="AG597" s="38" t="s">
        <v>486</v>
      </c>
      <c r="AH597" s="29"/>
      <c r="AI597" s="118">
        <v>0</v>
      </c>
      <c r="AJ597" s="118">
        <v>0</v>
      </c>
      <c r="AK597" s="179"/>
    </row>
    <row r="598" spans="1:37" s="43" customFormat="1" ht="157.5" x14ac:dyDescent="0.25">
      <c r="A598" s="6">
        <v>595</v>
      </c>
      <c r="B598" s="31">
        <v>151449</v>
      </c>
      <c r="C598" s="11">
        <v>1090</v>
      </c>
      <c r="D598" s="11" t="s">
        <v>1638</v>
      </c>
      <c r="E598" s="24" t="s">
        <v>2301</v>
      </c>
      <c r="F598" s="31" t="s">
        <v>3229</v>
      </c>
      <c r="G598" s="27" t="s">
        <v>3228</v>
      </c>
      <c r="H598" s="8" t="s">
        <v>151</v>
      </c>
      <c r="I598" s="46" t="s">
        <v>3241</v>
      </c>
      <c r="J598" s="25">
        <v>44799</v>
      </c>
      <c r="K598" s="25">
        <v>45225</v>
      </c>
      <c r="L598" s="26">
        <f t="shared" si="246"/>
        <v>78.399999070429516</v>
      </c>
      <c r="M598" s="11">
        <v>8</v>
      </c>
      <c r="N598" s="11" t="s">
        <v>137</v>
      </c>
      <c r="O598" s="11" t="s">
        <v>137</v>
      </c>
      <c r="P598" s="11" t="s">
        <v>274</v>
      </c>
      <c r="Q598" s="11" t="s">
        <v>34</v>
      </c>
      <c r="R598" s="2">
        <f t="shared" si="241"/>
        <v>323865.7</v>
      </c>
      <c r="S598" s="2">
        <v>0</v>
      </c>
      <c r="T598" s="2">
        <v>323865.7</v>
      </c>
      <c r="U598" s="2">
        <f t="shared" si="242"/>
        <v>80966.429999999993</v>
      </c>
      <c r="V598" s="2">
        <v>0</v>
      </c>
      <c r="W598" s="28">
        <v>80966.429999999993</v>
      </c>
      <c r="X598" s="2">
        <f t="shared" si="243"/>
        <v>0</v>
      </c>
      <c r="Y598" s="2">
        <v>0</v>
      </c>
      <c r="Z598" s="2">
        <v>0</v>
      </c>
      <c r="AA598" s="2">
        <f t="shared" si="244"/>
        <v>8261.8799999999992</v>
      </c>
      <c r="AB598" s="2">
        <v>0</v>
      </c>
      <c r="AC598" s="2">
        <v>8261.8799999999992</v>
      </c>
      <c r="AD598" s="16">
        <f t="shared" si="240"/>
        <v>413094.01</v>
      </c>
      <c r="AE598" s="2">
        <v>0</v>
      </c>
      <c r="AF598" s="2">
        <f t="shared" si="245"/>
        <v>413094.01</v>
      </c>
      <c r="AG598" s="38" t="s">
        <v>486</v>
      </c>
      <c r="AH598" s="29"/>
      <c r="AI598" s="118">
        <v>41309.4</v>
      </c>
      <c r="AJ598" s="118">
        <v>0</v>
      </c>
      <c r="AK598" s="179"/>
    </row>
    <row r="599" spans="1:37" s="43" customFormat="1" ht="252" x14ac:dyDescent="0.25">
      <c r="A599" s="6">
        <v>596</v>
      </c>
      <c r="B599" s="31">
        <v>151544</v>
      </c>
      <c r="C599" s="11">
        <v>1097</v>
      </c>
      <c r="D599" s="11" t="s">
        <v>1638</v>
      </c>
      <c r="E599" s="24" t="s">
        <v>2301</v>
      </c>
      <c r="F599" s="31" t="s">
        <v>3231</v>
      </c>
      <c r="G599" s="27" t="s">
        <v>3230</v>
      </c>
      <c r="H599" s="8" t="s">
        <v>151</v>
      </c>
      <c r="I599" s="46" t="s">
        <v>3232</v>
      </c>
      <c r="J599" s="25">
        <v>44804</v>
      </c>
      <c r="K599" s="25">
        <v>45230</v>
      </c>
      <c r="L599" s="26">
        <f t="shared" si="246"/>
        <v>78.399996680623858</v>
      </c>
      <c r="M599" s="11">
        <v>8</v>
      </c>
      <c r="N599" s="11" t="s">
        <v>137</v>
      </c>
      <c r="O599" s="11" t="s">
        <v>137</v>
      </c>
      <c r="P599" s="11" t="s">
        <v>274</v>
      </c>
      <c r="Q599" s="11" t="s">
        <v>34</v>
      </c>
      <c r="R599" s="2">
        <f t="shared" si="241"/>
        <v>330664.53000000003</v>
      </c>
      <c r="S599" s="2">
        <v>0</v>
      </c>
      <c r="T599" s="2">
        <v>330664.53000000003</v>
      </c>
      <c r="U599" s="2">
        <f t="shared" si="242"/>
        <v>82666.14</v>
      </c>
      <c r="V599" s="2">
        <v>0</v>
      </c>
      <c r="W599" s="28">
        <v>82666.14</v>
      </c>
      <c r="X599" s="2">
        <f t="shared" si="243"/>
        <v>0</v>
      </c>
      <c r="Y599" s="2">
        <v>0</v>
      </c>
      <c r="Z599" s="2">
        <v>0</v>
      </c>
      <c r="AA599" s="2">
        <f t="shared" si="244"/>
        <v>8435.33</v>
      </c>
      <c r="AB599" s="2">
        <v>0</v>
      </c>
      <c r="AC599" s="2">
        <v>8435.33</v>
      </c>
      <c r="AD599" s="16">
        <f t="shared" si="240"/>
        <v>421766.00000000006</v>
      </c>
      <c r="AE599" s="2">
        <v>0</v>
      </c>
      <c r="AF599" s="2">
        <f t="shared" si="245"/>
        <v>421766.00000000006</v>
      </c>
      <c r="AG599" s="38" t="s">
        <v>486</v>
      </c>
      <c r="AH599" s="29"/>
      <c r="AI599" s="118">
        <v>0</v>
      </c>
      <c r="AJ599" s="118">
        <v>0</v>
      </c>
      <c r="AK599" s="179"/>
    </row>
    <row r="600" spans="1:37" s="43" customFormat="1" ht="299.25" x14ac:dyDescent="0.25">
      <c r="A600" s="6">
        <v>597</v>
      </c>
      <c r="B600" s="31">
        <v>151480</v>
      </c>
      <c r="C600" s="11">
        <v>1093</v>
      </c>
      <c r="D600" s="11" t="s">
        <v>1638</v>
      </c>
      <c r="E600" s="24" t="s">
        <v>2301</v>
      </c>
      <c r="F600" s="31" t="s">
        <v>3249</v>
      </c>
      <c r="G600" s="27" t="s">
        <v>3248</v>
      </c>
      <c r="H600" s="8" t="s">
        <v>151</v>
      </c>
      <c r="I600" s="46" t="s">
        <v>3252</v>
      </c>
      <c r="J600" s="25">
        <v>44805</v>
      </c>
      <c r="K600" s="25">
        <v>45231</v>
      </c>
      <c r="L600" s="26">
        <f t="shared" si="246"/>
        <v>78.400004944717949</v>
      </c>
      <c r="M600" s="11">
        <v>8</v>
      </c>
      <c r="N600" s="11" t="s">
        <v>137</v>
      </c>
      <c r="O600" s="11" t="s">
        <v>137</v>
      </c>
      <c r="P600" s="11" t="s">
        <v>274</v>
      </c>
      <c r="Q600" s="11" t="s">
        <v>34</v>
      </c>
      <c r="R600" s="2">
        <f t="shared" si="241"/>
        <v>315837.65000000002</v>
      </c>
      <c r="S600" s="2">
        <v>0</v>
      </c>
      <c r="T600" s="2">
        <v>315837.65000000002</v>
      </c>
      <c r="U600" s="2">
        <f t="shared" si="242"/>
        <v>78959.39</v>
      </c>
      <c r="V600" s="2">
        <v>0</v>
      </c>
      <c r="W600" s="28">
        <v>78959.39</v>
      </c>
      <c r="X600" s="2">
        <f t="shared" si="243"/>
        <v>0</v>
      </c>
      <c r="Y600" s="2">
        <v>0</v>
      </c>
      <c r="Z600" s="2">
        <v>0</v>
      </c>
      <c r="AA600" s="2">
        <f t="shared" si="244"/>
        <v>8057.08</v>
      </c>
      <c r="AB600" s="2">
        <v>0</v>
      </c>
      <c r="AC600" s="2">
        <v>8057.08</v>
      </c>
      <c r="AD600" s="16">
        <f t="shared" si="240"/>
        <v>402854.12000000005</v>
      </c>
      <c r="AE600" s="2">
        <v>0</v>
      </c>
      <c r="AF600" s="2">
        <f t="shared" si="245"/>
        <v>402854.12000000005</v>
      </c>
      <c r="AG600" s="38" t="s">
        <v>486</v>
      </c>
      <c r="AH600" s="29"/>
      <c r="AI600" s="118">
        <v>40110</v>
      </c>
      <c r="AJ600" s="118">
        <v>0</v>
      </c>
      <c r="AK600" s="179"/>
    </row>
    <row r="601" spans="1:37" s="43" customFormat="1" ht="141.75" x14ac:dyDescent="0.25">
      <c r="A601" s="6">
        <v>598</v>
      </c>
      <c r="B601" s="31">
        <v>151474</v>
      </c>
      <c r="C601" s="11">
        <v>1092</v>
      </c>
      <c r="D601" s="11" t="s">
        <v>1638</v>
      </c>
      <c r="E601" s="24" t="s">
        <v>2301</v>
      </c>
      <c r="F601" s="31" t="s">
        <v>3261</v>
      </c>
      <c r="G601" s="27" t="s">
        <v>3260</v>
      </c>
      <c r="H601" s="8" t="s">
        <v>151</v>
      </c>
      <c r="I601" s="46" t="s">
        <v>3262</v>
      </c>
      <c r="J601" s="25">
        <v>44810</v>
      </c>
      <c r="K601" s="25">
        <v>45236</v>
      </c>
      <c r="L601" s="26">
        <f t="shared" si="246"/>
        <v>78.400000136292874</v>
      </c>
      <c r="M601" s="11">
        <v>8</v>
      </c>
      <c r="N601" s="11" t="s">
        <v>691</v>
      </c>
      <c r="O601" s="11" t="s">
        <v>716</v>
      </c>
      <c r="P601" s="11" t="s">
        <v>274</v>
      </c>
      <c r="Q601" s="11" t="s">
        <v>34</v>
      </c>
      <c r="R601" s="2">
        <f t="shared" si="241"/>
        <v>322129.84999999998</v>
      </c>
      <c r="S601" s="2">
        <v>0</v>
      </c>
      <c r="T601" s="2">
        <v>322129.84999999998</v>
      </c>
      <c r="U601" s="2">
        <f t="shared" si="242"/>
        <v>80532.460000000006</v>
      </c>
      <c r="V601" s="2">
        <v>0</v>
      </c>
      <c r="W601" s="28">
        <v>80532.460000000006</v>
      </c>
      <c r="X601" s="2">
        <f t="shared" si="243"/>
        <v>0</v>
      </c>
      <c r="Y601" s="2">
        <v>0</v>
      </c>
      <c r="Z601" s="2">
        <v>0</v>
      </c>
      <c r="AA601" s="2">
        <f t="shared" si="244"/>
        <v>8217.6</v>
      </c>
      <c r="AB601" s="2">
        <v>0</v>
      </c>
      <c r="AC601" s="2">
        <v>8217.6</v>
      </c>
      <c r="AD601" s="16">
        <f t="shared" si="240"/>
        <v>410879.91</v>
      </c>
      <c r="AE601" s="2">
        <v>0</v>
      </c>
      <c r="AF601" s="2">
        <f t="shared" si="245"/>
        <v>410879.91</v>
      </c>
      <c r="AG601" s="38" t="s">
        <v>486</v>
      </c>
      <c r="AH601" s="29"/>
      <c r="AI601" s="118">
        <v>0</v>
      </c>
      <c r="AJ601" s="118">
        <v>0</v>
      </c>
      <c r="AK601" s="179"/>
    </row>
    <row r="602" spans="1:37" s="43" customFormat="1" ht="362.25" x14ac:dyDescent="0.25">
      <c r="A602" s="6">
        <v>599</v>
      </c>
      <c r="B602" s="31">
        <v>151512</v>
      </c>
      <c r="C602" s="11">
        <v>1079</v>
      </c>
      <c r="D602" s="11" t="s">
        <v>1638</v>
      </c>
      <c r="E602" s="24" t="s">
        <v>2301</v>
      </c>
      <c r="F602" s="31" t="s">
        <v>3269</v>
      </c>
      <c r="G602" s="27" t="s">
        <v>3268</v>
      </c>
      <c r="H602" s="8" t="s">
        <v>151</v>
      </c>
      <c r="I602" s="46" t="s">
        <v>3270</v>
      </c>
      <c r="J602" s="25">
        <v>44816</v>
      </c>
      <c r="K602" s="25">
        <v>44997</v>
      </c>
      <c r="L602" s="26">
        <f t="shared" si="246"/>
        <v>78.400002994791478</v>
      </c>
      <c r="M602" s="11">
        <v>8</v>
      </c>
      <c r="N602" s="11" t="s">
        <v>691</v>
      </c>
      <c r="O602" s="11" t="s">
        <v>3271</v>
      </c>
      <c r="P602" s="11" t="s">
        <v>274</v>
      </c>
      <c r="Q602" s="11" t="s">
        <v>34</v>
      </c>
      <c r="R602" s="2">
        <f t="shared" si="241"/>
        <v>332994.15000000002</v>
      </c>
      <c r="S602" s="2">
        <v>0</v>
      </c>
      <c r="T602" s="2">
        <v>332994.15000000002</v>
      </c>
      <c r="U602" s="2">
        <f t="shared" si="242"/>
        <v>83248.539999999994</v>
      </c>
      <c r="V602" s="2">
        <v>0</v>
      </c>
      <c r="W602" s="28">
        <v>83248.539999999994</v>
      </c>
      <c r="X602" s="2">
        <f t="shared" si="243"/>
        <v>0</v>
      </c>
      <c r="Y602" s="2">
        <v>0</v>
      </c>
      <c r="Z602" s="2">
        <v>0</v>
      </c>
      <c r="AA602" s="2">
        <f t="shared" si="244"/>
        <v>8494.73</v>
      </c>
      <c r="AB602" s="2">
        <v>0</v>
      </c>
      <c r="AC602" s="2">
        <v>8494.73</v>
      </c>
      <c r="AD602" s="16">
        <f t="shared" si="240"/>
        <v>424737.42</v>
      </c>
      <c r="AE602" s="2">
        <v>0</v>
      </c>
      <c r="AF602" s="2">
        <f t="shared" si="245"/>
        <v>424737.42</v>
      </c>
      <c r="AG602" s="38" t="s">
        <v>486</v>
      </c>
      <c r="AH602" s="29"/>
      <c r="AI602" s="118">
        <v>0</v>
      </c>
      <c r="AJ602" s="118">
        <v>0</v>
      </c>
      <c r="AK602" s="179"/>
    </row>
    <row r="603" spans="1:37" s="43" customFormat="1" ht="157.5" x14ac:dyDescent="0.25">
      <c r="A603" s="6">
        <v>600</v>
      </c>
      <c r="B603" s="31">
        <v>151542</v>
      </c>
      <c r="C603" s="11">
        <v>1096</v>
      </c>
      <c r="D603" s="11" t="s">
        <v>1638</v>
      </c>
      <c r="E603" s="24" t="s">
        <v>2301</v>
      </c>
      <c r="F603" s="31" t="s">
        <v>3273</v>
      </c>
      <c r="G603" s="27" t="s">
        <v>3272</v>
      </c>
      <c r="H603" s="8" t="s">
        <v>151</v>
      </c>
      <c r="I603" s="46" t="s">
        <v>3274</v>
      </c>
      <c r="J603" s="25">
        <v>44816</v>
      </c>
      <c r="K603" s="25">
        <v>45181</v>
      </c>
      <c r="L603" s="26">
        <f t="shared" si="246"/>
        <v>78.399999026766352</v>
      </c>
      <c r="M603" s="11">
        <v>8</v>
      </c>
      <c r="N603" s="11" t="s">
        <v>691</v>
      </c>
      <c r="O603" s="11" t="s">
        <v>3275</v>
      </c>
      <c r="P603" s="11" t="s">
        <v>274</v>
      </c>
      <c r="Q603" s="11" t="s">
        <v>34</v>
      </c>
      <c r="R603" s="2">
        <f t="shared" si="241"/>
        <v>322224.78000000003</v>
      </c>
      <c r="S603" s="2">
        <v>0</v>
      </c>
      <c r="T603" s="2">
        <v>322224.78000000003</v>
      </c>
      <c r="U603" s="2">
        <f t="shared" si="242"/>
        <v>80556.2</v>
      </c>
      <c r="V603" s="2">
        <v>0</v>
      </c>
      <c r="W603" s="28">
        <v>80556.2</v>
      </c>
      <c r="X603" s="2">
        <f t="shared" si="243"/>
        <v>0</v>
      </c>
      <c r="Y603" s="2">
        <v>0</v>
      </c>
      <c r="Z603" s="2">
        <v>0</v>
      </c>
      <c r="AA603" s="2">
        <f t="shared" si="244"/>
        <v>8220.02</v>
      </c>
      <c r="AB603" s="2">
        <v>0</v>
      </c>
      <c r="AC603" s="2">
        <v>8220.02</v>
      </c>
      <c r="AD603" s="16">
        <f t="shared" si="240"/>
        <v>411001.00000000006</v>
      </c>
      <c r="AE603" s="2">
        <v>0</v>
      </c>
      <c r="AF603" s="2">
        <f t="shared" si="245"/>
        <v>411001.00000000006</v>
      </c>
      <c r="AG603" s="38" t="s">
        <v>486</v>
      </c>
      <c r="AH603" s="29"/>
      <c r="AI603" s="118">
        <v>0</v>
      </c>
      <c r="AJ603" s="118">
        <v>0</v>
      </c>
      <c r="AK603" s="179"/>
    </row>
    <row r="604" spans="1:37" s="43" customFormat="1" ht="283.5" x14ac:dyDescent="0.25">
      <c r="A604" s="6">
        <v>601</v>
      </c>
      <c r="B604" s="31">
        <v>119193</v>
      </c>
      <c r="C604" s="11">
        <v>2</v>
      </c>
      <c r="D604" s="11" t="s">
        <v>143</v>
      </c>
      <c r="E604" s="24" t="s">
        <v>107</v>
      </c>
      <c r="F604" s="11" t="s">
        <v>35</v>
      </c>
      <c r="G604" s="27" t="s">
        <v>1348</v>
      </c>
      <c r="H604" s="8" t="s">
        <v>151</v>
      </c>
      <c r="I604" s="46" t="s">
        <v>36</v>
      </c>
      <c r="J604" s="25">
        <v>42459</v>
      </c>
      <c r="K604" s="25">
        <v>43373</v>
      </c>
      <c r="L604" s="26">
        <f t="shared" ref="L604:L668" si="247">R604/AD604*100</f>
        <v>83.983862816086358</v>
      </c>
      <c r="M604" s="11" t="s">
        <v>136</v>
      </c>
      <c r="N604" s="11" t="s">
        <v>261</v>
      </c>
      <c r="O604" s="11" t="s">
        <v>261</v>
      </c>
      <c r="P604" s="27" t="s">
        <v>138</v>
      </c>
      <c r="Q604" s="11" t="s">
        <v>34</v>
      </c>
      <c r="R604" s="2">
        <f t="shared" ref="R604:R636" si="248">S604+T604</f>
        <v>11141147.18</v>
      </c>
      <c r="S604" s="2">
        <v>8984364.5299999993</v>
      </c>
      <c r="T604" s="2">
        <v>2156782.65</v>
      </c>
      <c r="U604" s="2">
        <f t="shared" ref="U604:U611" si="249">V604+W604</f>
        <v>0</v>
      </c>
      <c r="V604" s="28">
        <v>0</v>
      </c>
      <c r="W604" s="28">
        <v>0</v>
      </c>
      <c r="X604" s="2">
        <f t="shared" ref="X604:X636" si="250">Y604+Z604</f>
        <v>2124671.7600000002</v>
      </c>
      <c r="Y604" s="2">
        <v>1585476.09</v>
      </c>
      <c r="Z604" s="2">
        <v>539195.67000000004</v>
      </c>
      <c r="AA604" s="2">
        <f t="shared" ref="AA604:AA636" si="251">AB604+AC604</f>
        <v>0</v>
      </c>
      <c r="AB604" s="2">
        <v>0</v>
      </c>
      <c r="AC604" s="2">
        <v>0</v>
      </c>
      <c r="AD604" s="16">
        <f t="shared" si="240"/>
        <v>13265818.939999999</v>
      </c>
      <c r="AE604" s="2">
        <v>0</v>
      </c>
      <c r="AF604" s="2">
        <f t="shared" ref="AF604:AF636" si="252">AD604+AE604</f>
        <v>13265818.939999999</v>
      </c>
      <c r="AG604" s="21" t="s">
        <v>857</v>
      </c>
      <c r="AH604" s="29" t="s">
        <v>275</v>
      </c>
      <c r="AI604" s="118">
        <v>11115534.15</v>
      </c>
      <c r="AJ604" s="30">
        <v>0</v>
      </c>
      <c r="AK604" s="179"/>
    </row>
    <row r="605" spans="1:37" s="179" customFormat="1" ht="141.75" x14ac:dyDescent="0.25">
      <c r="A605" s="6">
        <v>602</v>
      </c>
      <c r="B605" s="31">
        <v>118575</v>
      </c>
      <c r="C605" s="11">
        <v>7</v>
      </c>
      <c r="D605" s="11" t="s">
        <v>143</v>
      </c>
      <c r="E605" s="10" t="s">
        <v>107</v>
      </c>
      <c r="F605" s="11" t="s">
        <v>45</v>
      </c>
      <c r="G605" s="11" t="s">
        <v>1714</v>
      </c>
      <c r="H605" s="8" t="s">
        <v>151</v>
      </c>
      <c r="I605" s="46" t="s">
        <v>46</v>
      </c>
      <c r="J605" s="25">
        <v>42592</v>
      </c>
      <c r="K605" s="25">
        <v>44783</v>
      </c>
      <c r="L605" s="26">
        <f>R605/AD605*100</f>
        <v>83.983862823517285</v>
      </c>
      <c r="M605" s="11" t="s">
        <v>136</v>
      </c>
      <c r="N605" s="11" t="s">
        <v>261</v>
      </c>
      <c r="O605" s="11" t="s">
        <v>261</v>
      </c>
      <c r="P605" s="27" t="s">
        <v>138</v>
      </c>
      <c r="Q605" s="11" t="s">
        <v>34</v>
      </c>
      <c r="R605" s="2">
        <f>S605+T605</f>
        <v>8244072.25</v>
      </c>
      <c r="S605" s="2">
        <v>6648125.9800000004</v>
      </c>
      <c r="T605" s="2">
        <v>1595946.27</v>
      </c>
      <c r="U605" s="2">
        <f>V605+W605</f>
        <v>0</v>
      </c>
      <c r="V605" s="28">
        <v>0</v>
      </c>
      <c r="W605" s="28">
        <v>0</v>
      </c>
      <c r="X605" s="2">
        <f>Y605+Z605</f>
        <v>1572185.27</v>
      </c>
      <c r="Y605" s="2">
        <v>1173198.73</v>
      </c>
      <c r="Z605" s="2">
        <v>398986.54</v>
      </c>
      <c r="AA605" s="2">
        <f>AB605+AC605</f>
        <v>0</v>
      </c>
      <c r="AB605" s="2">
        <v>0</v>
      </c>
      <c r="AC605" s="2">
        <v>0</v>
      </c>
      <c r="AD605" s="16">
        <f t="shared" si="240"/>
        <v>9816257.5199999996</v>
      </c>
      <c r="AE605" s="2">
        <v>0</v>
      </c>
      <c r="AF605" s="2">
        <f>AD605+AE605</f>
        <v>9816257.5199999996</v>
      </c>
      <c r="AG605" s="38" t="s">
        <v>857</v>
      </c>
      <c r="AH605" s="29" t="s">
        <v>1770</v>
      </c>
      <c r="AI605" s="30">
        <f>2526006.82+91434.08+29139.88+39881.42+45202.63+320744.33+2197750.47</f>
        <v>5250159.63</v>
      </c>
      <c r="AJ605" s="30">
        <v>0</v>
      </c>
    </row>
    <row r="606" spans="1:37" s="179" customFormat="1" ht="204.75" x14ac:dyDescent="0.25">
      <c r="A606" s="6">
        <v>603</v>
      </c>
      <c r="B606" s="31">
        <v>117842</v>
      </c>
      <c r="C606" s="11">
        <v>3</v>
      </c>
      <c r="D606" s="11" t="s">
        <v>143</v>
      </c>
      <c r="E606" s="10" t="s">
        <v>107</v>
      </c>
      <c r="F606" s="11" t="s">
        <v>37</v>
      </c>
      <c r="G606" s="11" t="s">
        <v>1349</v>
      </c>
      <c r="H606" s="11" t="s">
        <v>162</v>
      </c>
      <c r="I606" s="46" t="s">
        <v>38</v>
      </c>
      <c r="J606" s="25">
        <v>42534</v>
      </c>
      <c r="K606" s="25">
        <v>43585</v>
      </c>
      <c r="L606" s="26">
        <f t="shared" si="247"/>
        <v>83.983864495221582</v>
      </c>
      <c r="M606" s="11" t="s">
        <v>136</v>
      </c>
      <c r="N606" s="11" t="s">
        <v>261</v>
      </c>
      <c r="O606" s="11" t="s">
        <v>261</v>
      </c>
      <c r="P606" s="27" t="s">
        <v>138</v>
      </c>
      <c r="Q606" s="11" t="s">
        <v>34</v>
      </c>
      <c r="R606" s="2">
        <f t="shared" si="248"/>
        <v>15396417.879999999</v>
      </c>
      <c r="S606" s="2">
        <v>12415869.539999999</v>
      </c>
      <c r="T606" s="2">
        <v>2980548.34</v>
      </c>
      <c r="U606" s="2">
        <f t="shared" si="249"/>
        <v>0</v>
      </c>
      <c r="V606" s="28">
        <v>0</v>
      </c>
      <c r="W606" s="28">
        <v>0</v>
      </c>
      <c r="X606" s="2">
        <f t="shared" si="250"/>
        <v>2936172.52</v>
      </c>
      <c r="Y606" s="2">
        <v>2191035.59</v>
      </c>
      <c r="Z606" s="2">
        <v>745136.93</v>
      </c>
      <c r="AA606" s="2">
        <f t="shared" si="251"/>
        <v>0</v>
      </c>
      <c r="AB606" s="2">
        <v>0</v>
      </c>
      <c r="AC606" s="2">
        <v>0</v>
      </c>
      <c r="AD606" s="16">
        <f t="shared" si="240"/>
        <v>18332590.399999999</v>
      </c>
      <c r="AE606" s="2">
        <v>0</v>
      </c>
      <c r="AF606" s="2">
        <f t="shared" si="252"/>
        <v>18332590.399999999</v>
      </c>
      <c r="AG606" s="21" t="s">
        <v>857</v>
      </c>
      <c r="AH606" s="29" t="s">
        <v>946</v>
      </c>
      <c r="AI606" s="30">
        <f>12217325.54+8762.76</f>
        <v>12226088.299999999</v>
      </c>
      <c r="AJ606" s="130">
        <v>0</v>
      </c>
    </row>
    <row r="607" spans="1:37" s="179" customFormat="1" ht="204.75" x14ac:dyDescent="0.25">
      <c r="A607" s="6">
        <v>604</v>
      </c>
      <c r="B607" s="31">
        <v>118291</v>
      </c>
      <c r="C607" s="11">
        <v>4</v>
      </c>
      <c r="D607" s="11" t="s">
        <v>143</v>
      </c>
      <c r="E607" s="10" t="s">
        <v>107</v>
      </c>
      <c r="F607" s="11" t="s">
        <v>39</v>
      </c>
      <c r="G607" s="11" t="s">
        <v>1350</v>
      </c>
      <c r="H607" s="11" t="s">
        <v>161</v>
      </c>
      <c r="I607" s="46" t="s">
        <v>40</v>
      </c>
      <c r="J607" s="25">
        <v>42459</v>
      </c>
      <c r="K607" s="25">
        <v>43220</v>
      </c>
      <c r="L607" s="26">
        <f t="shared" si="247"/>
        <v>83.983862772799696</v>
      </c>
      <c r="M607" s="11" t="s">
        <v>136</v>
      </c>
      <c r="N607" s="11" t="s">
        <v>261</v>
      </c>
      <c r="O607" s="11" t="s">
        <v>261</v>
      </c>
      <c r="P607" s="27" t="s">
        <v>138</v>
      </c>
      <c r="Q607" s="11" t="s">
        <v>34</v>
      </c>
      <c r="R607" s="2">
        <f t="shared" si="248"/>
        <v>9512414.3200000003</v>
      </c>
      <c r="S607" s="2">
        <v>7670933.3799999999</v>
      </c>
      <c r="T607" s="2">
        <v>1841480.94</v>
      </c>
      <c r="U607" s="2">
        <f t="shared" si="249"/>
        <v>0</v>
      </c>
      <c r="V607" s="28">
        <v>0</v>
      </c>
      <c r="W607" s="28">
        <v>0</v>
      </c>
      <c r="X607" s="2">
        <f t="shared" si="250"/>
        <v>1814064.3699999999</v>
      </c>
      <c r="Y607" s="2">
        <v>1353694.13</v>
      </c>
      <c r="Z607" s="2">
        <v>460370.24</v>
      </c>
      <c r="AA607" s="2">
        <f t="shared" si="251"/>
        <v>0</v>
      </c>
      <c r="AB607" s="2">
        <v>0</v>
      </c>
      <c r="AC607" s="2">
        <v>0</v>
      </c>
      <c r="AD607" s="16">
        <f t="shared" si="240"/>
        <v>11326478.689999999</v>
      </c>
      <c r="AE607" s="2">
        <v>0</v>
      </c>
      <c r="AF607" s="2">
        <f t="shared" si="252"/>
        <v>11326478.689999999</v>
      </c>
      <c r="AG607" s="21" t="s">
        <v>857</v>
      </c>
      <c r="AH607" s="29" t="s">
        <v>173</v>
      </c>
      <c r="AI607" s="30">
        <v>8671071.8500000015</v>
      </c>
      <c r="AJ607" s="130">
        <v>0</v>
      </c>
    </row>
    <row r="608" spans="1:37" s="179" customFormat="1" ht="141.75" x14ac:dyDescent="0.25">
      <c r="A608" s="6">
        <v>605</v>
      </c>
      <c r="B608" s="31">
        <v>118957</v>
      </c>
      <c r="C608" s="11">
        <v>5</v>
      </c>
      <c r="D608" s="11" t="s">
        <v>143</v>
      </c>
      <c r="E608" s="10" t="s">
        <v>107</v>
      </c>
      <c r="F608" s="11" t="s">
        <v>41</v>
      </c>
      <c r="G608" s="27" t="s">
        <v>1351</v>
      </c>
      <c r="H608" s="11" t="s">
        <v>162</v>
      </c>
      <c r="I608" s="46" t="s">
        <v>42</v>
      </c>
      <c r="J608" s="25">
        <v>42900</v>
      </c>
      <c r="K608" s="25">
        <v>43904</v>
      </c>
      <c r="L608" s="26">
        <f t="shared" si="247"/>
        <v>83.983863090563631</v>
      </c>
      <c r="M608" s="11" t="s">
        <v>136</v>
      </c>
      <c r="N608" s="11" t="s">
        <v>261</v>
      </c>
      <c r="O608" s="11" t="s">
        <v>261</v>
      </c>
      <c r="P608" s="27" t="s">
        <v>138</v>
      </c>
      <c r="Q608" s="11" t="s">
        <v>34</v>
      </c>
      <c r="R608" s="2">
        <f t="shared" si="248"/>
        <v>4555318.21</v>
      </c>
      <c r="S608" s="2">
        <v>3673467.24</v>
      </c>
      <c r="T608" s="2">
        <v>881850.97</v>
      </c>
      <c r="U608" s="2">
        <f t="shared" si="249"/>
        <v>0</v>
      </c>
      <c r="V608" s="28">
        <v>0</v>
      </c>
      <c r="W608" s="28">
        <v>0</v>
      </c>
      <c r="X608" s="2">
        <f t="shared" si="250"/>
        <v>868721.65</v>
      </c>
      <c r="Y608" s="2">
        <v>648258.93000000005</v>
      </c>
      <c r="Z608" s="2">
        <v>220462.72</v>
      </c>
      <c r="AA608" s="2">
        <f t="shared" si="251"/>
        <v>0</v>
      </c>
      <c r="AB608" s="2">
        <v>0</v>
      </c>
      <c r="AC608" s="2">
        <v>0</v>
      </c>
      <c r="AD608" s="16">
        <f t="shared" si="240"/>
        <v>5424039.8600000003</v>
      </c>
      <c r="AE608" s="2">
        <v>0</v>
      </c>
      <c r="AF608" s="2">
        <f t="shared" si="252"/>
        <v>5424039.8600000003</v>
      </c>
      <c r="AG608" s="38" t="s">
        <v>857</v>
      </c>
      <c r="AH608" s="29" t="s">
        <v>1404</v>
      </c>
      <c r="AI608" s="30">
        <f>3853955.63+273692.26</f>
        <v>4127647.8899999997</v>
      </c>
      <c r="AJ608" s="130">
        <v>0</v>
      </c>
    </row>
    <row r="609" spans="1:37" s="179" customFormat="1" ht="141.75" x14ac:dyDescent="0.25">
      <c r="A609" s="6">
        <v>606</v>
      </c>
      <c r="B609" s="31">
        <v>118448</v>
      </c>
      <c r="C609" s="11">
        <v>6</v>
      </c>
      <c r="D609" s="11" t="s">
        <v>143</v>
      </c>
      <c r="E609" s="10" t="s">
        <v>107</v>
      </c>
      <c r="F609" s="11" t="s">
        <v>43</v>
      </c>
      <c r="G609" s="11" t="s">
        <v>1349</v>
      </c>
      <c r="H609" s="8" t="s">
        <v>151</v>
      </c>
      <c r="I609" s="46" t="s">
        <v>44</v>
      </c>
      <c r="J609" s="25">
        <v>42458</v>
      </c>
      <c r="K609" s="25">
        <v>43706</v>
      </c>
      <c r="L609" s="26">
        <f t="shared" si="247"/>
        <v>83.983862365752103</v>
      </c>
      <c r="M609" s="11" t="s">
        <v>136</v>
      </c>
      <c r="N609" s="11" t="s">
        <v>261</v>
      </c>
      <c r="O609" s="11" t="s">
        <v>261</v>
      </c>
      <c r="P609" s="27" t="s">
        <v>138</v>
      </c>
      <c r="Q609" s="11" t="s">
        <v>34</v>
      </c>
      <c r="R609" s="2">
        <f t="shared" si="248"/>
        <v>15459786.27</v>
      </c>
      <c r="S609" s="2">
        <v>12466970.77</v>
      </c>
      <c r="T609" s="2">
        <v>2992815.5</v>
      </c>
      <c r="U609" s="2">
        <f t="shared" si="249"/>
        <v>0</v>
      </c>
      <c r="V609" s="28">
        <v>0</v>
      </c>
      <c r="W609" s="28">
        <v>0</v>
      </c>
      <c r="X609" s="2">
        <f t="shared" si="250"/>
        <v>2948257.6500000004</v>
      </c>
      <c r="Y609" s="2">
        <v>2200053.66</v>
      </c>
      <c r="Z609" s="2">
        <v>748203.99</v>
      </c>
      <c r="AA609" s="2">
        <f t="shared" si="251"/>
        <v>0</v>
      </c>
      <c r="AB609" s="2">
        <v>0</v>
      </c>
      <c r="AC609" s="2">
        <v>0</v>
      </c>
      <c r="AD609" s="16">
        <f t="shared" si="240"/>
        <v>18408043.920000002</v>
      </c>
      <c r="AE609" s="2">
        <v>0</v>
      </c>
      <c r="AF609" s="2">
        <f t="shared" si="252"/>
        <v>18408043.920000002</v>
      </c>
      <c r="AG609" s="21" t="s">
        <v>857</v>
      </c>
      <c r="AH609" s="29" t="s">
        <v>1064</v>
      </c>
      <c r="AI609" s="30">
        <v>12495255.649999997</v>
      </c>
      <c r="AJ609" s="130">
        <v>0</v>
      </c>
      <c r="AK609" s="43"/>
    </row>
    <row r="610" spans="1:37" s="179" customFormat="1" ht="141.75" x14ac:dyDescent="0.25">
      <c r="A610" s="6">
        <v>607</v>
      </c>
      <c r="B610" s="31">
        <v>119240</v>
      </c>
      <c r="C610" s="11">
        <v>54</v>
      </c>
      <c r="D610" s="11" t="s">
        <v>145</v>
      </c>
      <c r="E610" s="10" t="s">
        <v>123</v>
      </c>
      <c r="F610" s="11" t="s">
        <v>97</v>
      </c>
      <c r="G610" s="11" t="s">
        <v>94</v>
      </c>
      <c r="H610" s="8" t="s">
        <v>151</v>
      </c>
      <c r="I610" s="46" t="s">
        <v>98</v>
      </c>
      <c r="J610" s="25">
        <v>42943</v>
      </c>
      <c r="K610" s="25">
        <v>44254</v>
      </c>
      <c r="L610" s="26">
        <f t="shared" si="247"/>
        <v>83.983862702386219</v>
      </c>
      <c r="M610" s="11" t="s">
        <v>136</v>
      </c>
      <c r="N610" s="11" t="s">
        <v>261</v>
      </c>
      <c r="O610" s="11" t="s">
        <v>261</v>
      </c>
      <c r="P610" s="27" t="s">
        <v>138</v>
      </c>
      <c r="Q610" s="11" t="s">
        <v>34</v>
      </c>
      <c r="R610" s="2">
        <f t="shared" si="248"/>
        <v>11805482.9</v>
      </c>
      <c r="S610" s="2">
        <v>9520093.4299999997</v>
      </c>
      <c r="T610" s="2">
        <v>2285389.4700000002</v>
      </c>
      <c r="U610" s="2">
        <f t="shared" si="249"/>
        <v>0</v>
      </c>
      <c r="V610" s="28">
        <v>0</v>
      </c>
      <c r="W610" s="28">
        <v>0</v>
      </c>
      <c r="X610" s="2">
        <f t="shared" si="250"/>
        <v>2251363.88</v>
      </c>
      <c r="Y610" s="2">
        <v>1680016.48</v>
      </c>
      <c r="Z610" s="2">
        <v>571347.4</v>
      </c>
      <c r="AA610" s="2">
        <f t="shared" si="251"/>
        <v>0</v>
      </c>
      <c r="AB610" s="2">
        <v>0</v>
      </c>
      <c r="AC610" s="2">
        <v>0</v>
      </c>
      <c r="AD610" s="16">
        <f t="shared" si="240"/>
        <v>14056846.780000001</v>
      </c>
      <c r="AE610" s="2">
        <v>216877.5</v>
      </c>
      <c r="AF610" s="2">
        <f t="shared" si="252"/>
        <v>14273724.280000001</v>
      </c>
      <c r="AG610" s="38" t="s">
        <v>857</v>
      </c>
      <c r="AH610" s="29" t="s">
        <v>1585</v>
      </c>
      <c r="AI610" s="30">
        <f>10551997.58+45332.4+60208.97+567096.84+164236.95</f>
        <v>11388872.74</v>
      </c>
      <c r="AJ610" s="130">
        <v>0</v>
      </c>
    </row>
    <row r="611" spans="1:37" s="179" customFormat="1" ht="236.25" x14ac:dyDescent="0.25">
      <c r="A611" s="6">
        <v>608</v>
      </c>
      <c r="B611" s="31">
        <v>122100</v>
      </c>
      <c r="C611" s="11">
        <v>8</v>
      </c>
      <c r="D611" s="11" t="s">
        <v>143</v>
      </c>
      <c r="E611" s="10" t="s">
        <v>107</v>
      </c>
      <c r="F611" s="11" t="s">
        <v>47</v>
      </c>
      <c r="G611" s="11" t="s">
        <v>1716</v>
      </c>
      <c r="H611" s="8" t="s">
        <v>151</v>
      </c>
      <c r="I611" s="46" t="s">
        <v>48</v>
      </c>
      <c r="J611" s="25">
        <v>42661</v>
      </c>
      <c r="K611" s="25">
        <v>43756</v>
      </c>
      <c r="L611" s="26">
        <f t="shared" si="247"/>
        <v>83.983862943976007</v>
      </c>
      <c r="M611" s="11" t="s">
        <v>136</v>
      </c>
      <c r="N611" s="11" t="s">
        <v>261</v>
      </c>
      <c r="O611" s="11" t="s">
        <v>261</v>
      </c>
      <c r="P611" s="27" t="s">
        <v>138</v>
      </c>
      <c r="Q611" s="11" t="s">
        <v>34</v>
      </c>
      <c r="R611" s="2">
        <f t="shared" si="248"/>
        <v>1681184.87</v>
      </c>
      <c r="S611" s="2">
        <v>1355729.12</v>
      </c>
      <c r="T611" s="2">
        <v>325455.75</v>
      </c>
      <c r="U611" s="2">
        <f t="shared" si="249"/>
        <v>0</v>
      </c>
      <c r="V611" s="28">
        <v>0</v>
      </c>
      <c r="W611" s="28">
        <v>0</v>
      </c>
      <c r="X611" s="2">
        <f t="shared" si="250"/>
        <v>320610.25</v>
      </c>
      <c r="Y611" s="2">
        <v>239246.31</v>
      </c>
      <c r="Z611" s="2">
        <v>81363.94</v>
      </c>
      <c r="AA611" s="2">
        <f t="shared" si="251"/>
        <v>0</v>
      </c>
      <c r="AB611" s="2">
        <v>0</v>
      </c>
      <c r="AC611" s="2">
        <v>0</v>
      </c>
      <c r="AD611" s="16">
        <f t="shared" si="240"/>
        <v>2001795.12</v>
      </c>
      <c r="AE611" s="2">
        <v>0</v>
      </c>
      <c r="AF611" s="2">
        <f t="shared" si="252"/>
        <v>2001795.12</v>
      </c>
      <c r="AG611" s="21" t="s">
        <v>857</v>
      </c>
      <c r="AH611" s="29" t="s">
        <v>1052</v>
      </c>
      <c r="AI611" s="30">
        <v>1110336.8299999998</v>
      </c>
      <c r="AJ611" s="130">
        <v>0</v>
      </c>
    </row>
    <row r="612" spans="1:37" s="179" customFormat="1" ht="173.25" x14ac:dyDescent="0.25">
      <c r="A612" s="6">
        <v>609</v>
      </c>
      <c r="B612" s="31">
        <v>120313</v>
      </c>
      <c r="C612" s="11">
        <v>9</v>
      </c>
      <c r="D612" s="11" t="s">
        <v>143</v>
      </c>
      <c r="E612" s="10" t="s">
        <v>107</v>
      </c>
      <c r="F612" s="11" t="s">
        <v>49</v>
      </c>
      <c r="G612" s="27" t="s">
        <v>1717</v>
      </c>
      <c r="H612" s="11" t="s">
        <v>164</v>
      </c>
      <c r="I612" s="46" t="s">
        <v>50</v>
      </c>
      <c r="J612" s="25">
        <v>42538</v>
      </c>
      <c r="K612" s="25">
        <v>43633</v>
      </c>
      <c r="L612" s="26">
        <f t="shared" si="247"/>
        <v>83.983862848864632</v>
      </c>
      <c r="M612" s="11" t="s">
        <v>136</v>
      </c>
      <c r="N612" s="11" t="s">
        <v>261</v>
      </c>
      <c r="O612" s="11" t="s">
        <v>261</v>
      </c>
      <c r="P612" s="27" t="s">
        <v>138</v>
      </c>
      <c r="Q612" s="11" t="s">
        <v>34</v>
      </c>
      <c r="R612" s="2">
        <f t="shared" si="248"/>
        <v>30189820.119999997</v>
      </c>
      <c r="S612" s="2">
        <v>24345459.629999999</v>
      </c>
      <c r="T612" s="2">
        <v>5844360.4900000002</v>
      </c>
      <c r="U612" s="2">
        <v>1966327.81</v>
      </c>
      <c r="V612" s="28">
        <v>1453132.81</v>
      </c>
      <c r="W612" s="28">
        <v>513195</v>
      </c>
      <c r="X612" s="2">
        <f t="shared" si="250"/>
        <v>3791019.8899999997</v>
      </c>
      <c r="Y612" s="2">
        <v>2843124.76</v>
      </c>
      <c r="Z612" s="2">
        <v>947895.13</v>
      </c>
      <c r="AA612" s="2">
        <f t="shared" si="251"/>
        <v>0</v>
      </c>
      <c r="AB612" s="2">
        <v>0</v>
      </c>
      <c r="AC612" s="2">
        <v>0</v>
      </c>
      <c r="AD612" s="16">
        <f t="shared" si="240"/>
        <v>35947167.819999993</v>
      </c>
      <c r="AE612" s="2">
        <v>0</v>
      </c>
      <c r="AF612" s="2">
        <f t="shared" si="252"/>
        <v>35947167.819999993</v>
      </c>
      <c r="AG612" s="21" t="s">
        <v>857</v>
      </c>
      <c r="AH612" s="29" t="s">
        <v>984</v>
      </c>
      <c r="AI612" s="30">
        <v>26274093.779999994</v>
      </c>
      <c r="AJ612" s="130">
        <v>1669405.63</v>
      </c>
    </row>
    <row r="613" spans="1:37" s="179" customFormat="1" ht="330.75" x14ac:dyDescent="0.25">
      <c r="A613" s="6">
        <v>610</v>
      </c>
      <c r="B613" s="31">
        <v>121644</v>
      </c>
      <c r="C613" s="11">
        <v>10</v>
      </c>
      <c r="D613" s="11" t="s">
        <v>143</v>
      </c>
      <c r="E613" s="10" t="s">
        <v>107</v>
      </c>
      <c r="F613" s="11" t="s">
        <v>1877</v>
      </c>
      <c r="G613" s="11" t="s">
        <v>1716</v>
      </c>
      <c r="H613" s="8" t="s">
        <v>151</v>
      </c>
      <c r="I613" s="46" t="s">
        <v>51</v>
      </c>
      <c r="J613" s="25">
        <v>42538</v>
      </c>
      <c r="K613" s="25">
        <v>43298</v>
      </c>
      <c r="L613" s="26">
        <f t="shared" si="247"/>
        <v>83.983862739322618</v>
      </c>
      <c r="M613" s="11" t="s">
        <v>136</v>
      </c>
      <c r="N613" s="11" t="s">
        <v>261</v>
      </c>
      <c r="O613" s="11" t="s">
        <v>261</v>
      </c>
      <c r="P613" s="27" t="s">
        <v>138</v>
      </c>
      <c r="Q613" s="11" t="s">
        <v>34</v>
      </c>
      <c r="R613" s="2">
        <f t="shared" si="248"/>
        <v>2777962.48</v>
      </c>
      <c r="S613" s="2">
        <v>2240184.71</v>
      </c>
      <c r="T613" s="2">
        <v>537777.77</v>
      </c>
      <c r="U613" s="2">
        <f t="shared" ref="U613:U644" si="253">V613+W613</f>
        <v>0</v>
      </c>
      <c r="V613" s="28">
        <v>0</v>
      </c>
      <c r="W613" s="28">
        <v>0</v>
      </c>
      <c r="X613" s="2">
        <f t="shared" si="250"/>
        <v>529771.16</v>
      </c>
      <c r="Y613" s="2">
        <v>395326.72000000003</v>
      </c>
      <c r="Z613" s="2">
        <v>134444.44</v>
      </c>
      <c r="AA613" s="2">
        <f t="shared" si="251"/>
        <v>0</v>
      </c>
      <c r="AB613" s="2">
        <v>0</v>
      </c>
      <c r="AC613" s="2">
        <v>0</v>
      </c>
      <c r="AD613" s="16">
        <f t="shared" si="240"/>
        <v>3307733.64</v>
      </c>
      <c r="AE613" s="2">
        <v>192499.20000000001</v>
      </c>
      <c r="AF613" s="2">
        <f t="shared" si="252"/>
        <v>3500232.8400000003</v>
      </c>
      <c r="AG613" s="21" t="s">
        <v>857</v>
      </c>
      <c r="AH613" s="29" t="s">
        <v>195</v>
      </c>
      <c r="AI613" s="30">
        <v>2635526.38</v>
      </c>
      <c r="AJ613" s="130">
        <v>0</v>
      </c>
    </row>
    <row r="614" spans="1:37" s="179" customFormat="1" ht="252" x14ac:dyDescent="0.25">
      <c r="A614" s="6">
        <v>611</v>
      </c>
      <c r="B614" s="31">
        <v>118305</v>
      </c>
      <c r="C614" s="11">
        <v>11</v>
      </c>
      <c r="D614" s="11" t="s">
        <v>143</v>
      </c>
      <c r="E614" s="10" t="s">
        <v>107</v>
      </c>
      <c r="F614" s="11" t="s">
        <v>53</v>
      </c>
      <c r="G614" s="11" t="s">
        <v>52</v>
      </c>
      <c r="H614" s="11" t="s">
        <v>164</v>
      </c>
      <c r="I614" s="46" t="s">
        <v>54</v>
      </c>
      <c r="J614" s="25">
        <v>42467</v>
      </c>
      <c r="K614" s="25">
        <v>43562</v>
      </c>
      <c r="L614" s="26">
        <f t="shared" si="247"/>
        <v>83.98386392846011</v>
      </c>
      <c r="M614" s="11" t="s">
        <v>136</v>
      </c>
      <c r="N614" s="11" t="s">
        <v>261</v>
      </c>
      <c r="O614" s="11" t="s">
        <v>261</v>
      </c>
      <c r="P614" s="27" t="s">
        <v>138</v>
      </c>
      <c r="Q614" s="11" t="s">
        <v>34</v>
      </c>
      <c r="R614" s="2">
        <f t="shared" si="248"/>
        <v>13566063.25</v>
      </c>
      <c r="S614" s="2">
        <v>10939848.08</v>
      </c>
      <c r="T614" s="2">
        <v>2626215.17</v>
      </c>
      <c r="U614" s="2">
        <f t="shared" si="253"/>
        <v>0</v>
      </c>
      <c r="V614" s="28">
        <v>0</v>
      </c>
      <c r="W614" s="28">
        <v>0</v>
      </c>
      <c r="X614" s="2">
        <f t="shared" si="250"/>
        <v>2587115.0099999998</v>
      </c>
      <c r="Y614" s="2">
        <v>1930561.24</v>
      </c>
      <c r="Z614" s="2">
        <v>656553.77</v>
      </c>
      <c r="AA614" s="2">
        <f t="shared" si="251"/>
        <v>0</v>
      </c>
      <c r="AB614" s="2">
        <v>0</v>
      </c>
      <c r="AC614" s="2">
        <v>0</v>
      </c>
      <c r="AD614" s="16">
        <f t="shared" si="240"/>
        <v>16153178.26</v>
      </c>
      <c r="AE614" s="2">
        <v>0</v>
      </c>
      <c r="AF614" s="2">
        <f t="shared" si="252"/>
        <v>16153178.26</v>
      </c>
      <c r="AG614" s="21" t="s">
        <v>857</v>
      </c>
      <c r="AH614" s="29" t="s">
        <v>876</v>
      </c>
      <c r="AI614" s="30">
        <v>12427497.709999997</v>
      </c>
      <c r="AJ614" s="130">
        <v>0</v>
      </c>
    </row>
    <row r="615" spans="1:37" s="179" customFormat="1" ht="157.5" x14ac:dyDescent="0.25">
      <c r="A615" s="6">
        <v>612</v>
      </c>
      <c r="B615" s="31">
        <v>118349</v>
      </c>
      <c r="C615" s="11">
        <v>13</v>
      </c>
      <c r="D615" s="11" t="s">
        <v>143</v>
      </c>
      <c r="E615" s="10" t="s">
        <v>107</v>
      </c>
      <c r="F615" s="11" t="s">
        <v>56</v>
      </c>
      <c r="G615" s="11" t="s">
        <v>55</v>
      </c>
      <c r="H615" s="11" t="s">
        <v>162</v>
      </c>
      <c r="I615" s="46" t="s">
        <v>57</v>
      </c>
      <c r="J615" s="25">
        <v>42663</v>
      </c>
      <c r="K615" s="25">
        <v>45097</v>
      </c>
      <c r="L615" s="26">
        <f t="shared" si="247"/>
        <v>83.983862819250106</v>
      </c>
      <c r="M615" s="11" t="s">
        <v>136</v>
      </c>
      <c r="N615" s="11" t="s">
        <v>261</v>
      </c>
      <c r="O615" s="11" t="s">
        <v>261</v>
      </c>
      <c r="P615" s="27" t="s">
        <v>138</v>
      </c>
      <c r="Q615" s="11" t="s">
        <v>34</v>
      </c>
      <c r="R615" s="2">
        <f t="shared" si="248"/>
        <v>8904385.9900000002</v>
      </c>
      <c r="S615" s="2">
        <v>7180611.5199999996</v>
      </c>
      <c r="T615" s="2">
        <v>1723774.47</v>
      </c>
      <c r="U615" s="2">
        <f t="shared" si="253"/>
        <v>0</v>
      </c>
      <c r="V615" s="28">
        <v>0</v>
      </c>
      <c r="W615" s="28">
        <v>0</v>
      </c>
      <c r="X615" s="2">
        <f t="shared" si="250"/>
        <v>1698110.3599999999</v>
      </c>
      <c r="Y615" s="2">
        <v>1267166.72</v>
      </c>
      <c r="Z615" s="2">
        <v>430943.64</v>
      </c>
      <c r="AA615" s="2">
        <f t="shared" si="251"/>
        <v>0</v>
      </c>
      <c r="AB615" s="2">
        <v>0</v>
      </c>
      <c r="AC615" s="2">
        <v>0</v>
      </c>
      <c r="AD615" s="16">
        <f t="shared" si="240"/>
        <v>10602496.35</v>
      </c>
      <c r="AE615" s="2">
        <v>0</v>
      </c>
      <c r="AF615" s="2">
        <f t="shared" si="252"/>
        <v>10602496.35</v>
      </c>
      <c r="AG615" s="38" t="s">
        <v>486</v>
      </c>
      <c r="AH615" s="29" t="s">
        <v>1834</v>
      </c>
      <c r="AI615" s="30">
        <f>3218564.52+133092.52+172302.6+92594.73+28511.69</f>
        <v>3645066.06</v>
      </c>
      <c r="AJ615" s="130">
        <v>0</v>
      </c>
    </row>
    <row r="616" spans="1:37" s="179" customFormat="1" ht="362.25" x14ac:dyDescent="0.25">
      <c r="A616" s="6">
        <v>613</v>
      </c>
      <c r="B616" s="31">
        <v>120068</v>
      </c>
      <c r="C616" s="11">
        <v>55</v>
      </c>
      <c r="D616" s="11" t="s">
        <v>145</v>
      </c>
      <c r="E616" s="10" t="s">
        <v>123</v>
      </c>
      <c r="F616" s="11" t="s">
        <v>100</v>
      </c>
      <c r="G616" s="11" t="s">
        <v>99</v>
      </c>
      <c r="H616" s="11" t="s">
        <v>157</v>
      </c>
      <c r="I616" s="46" t="s">
        <v>101</v>
      </c>
      <c r="J616" s="25">
        <v>43060</v>
      </c>
      <c r="K616" s="25">
        <v>44186</v>
      </c>
      <c r="L616" s="26">
        <f t="shared" si="247"/>
        <v>83.983862867470734</v>
      </c>
      <c r="M616" s="11" t="s">
        <v>136</v>
      </c>
      <c r="N616" s="11" t="s">
        <v>261</v>
      </c>
      <c r="O616" s="11" t="s">
        <v>261</v>
      </c>
      <c r="P616" s="11" t="s">
        <v>138</v>
      </c>
      <c r="Q616" s="11" t="s">
        <v>34</v>
      </c>
      <c r="R616" s="2">
        <f t="shared" si="248"/>
        <v>8678209.1799999997</v>
      </c>
      <c r="S616" s="2">
        <v>6998219.6100000003</v>
      </c>
      <c r="T616" s="2">
        <v>1679989.57</v>
      </c>
      <c r="U616" s="2">
        <f t="shared" si="253"/>
        <v>0</v>
      </c>
      <c r="V616" s="28">
        <v>0</v>
      </c>
      <c r="W616" s="28">
        <v>0</v>
      </c>
      <c r="X616" s="2">
        <f t="shared" si="250"/>
        <v>1654977.3199999998</v>
      </c>
      <c r="Y616" s="2">
        <v>1234979.93</v>
      </c>
      <c r="Z616" s="2">
        <v>419997.39</v>
      </c>
      <c r="AA616" s="2">
        <f t="shared" si="251"/>
        <v>0</v>
      </c>
      <c r="AB616" s="2">
        <v>0</v>
      </c>
      <c r="AC616" s="2">
        <v>0</v>
      </c>
      <c r="AD616" s="16">
        <f t="shared" si="240"/>
        <v>10333186.5</v>
      </c>
      <c r="AE616" s="2">
        <v>0</v>
      </c>
      <c r="AF616" s="2">
        <f t="shared" si="252"/>
        <v>10333186.5</v>
      </c>
      <c r="AG616" s="38" t="s">
        <v>857</v>
      </c>
      <c r="AH616" s="29" t="s">
        <v>1395</v>
      </c>
      <c r="AI616" s="30">
        <f>1310147.31+3031843.03+2328598.7+128384.45</f>
        <v>6798973.4900000002</v>
      </c>
      <c r="AJ616" s="130">
        <v>0</v>
      </c>
    </row>
    <row r="617" spans="1:37" s="179" customFormat="1" ht="220.5" x14ac:dyDescent="0.25">
      <c r="A617" s="6">
        <v>614</v>
      </c>
      <c r="B617" s="31">
        <v>117846</v>
      </c>
      <c r="C617" s="11">
        <v>16</v>
      </c>
      <c r="D617" s="11" t="s">
        <v>143</v>
      </c>
      <c r="E617" s="10" t="s">
        <v>107</v>
      </c>
      <c r="F617" s="11" t="s">
        <v>108</v>
      </c>
      <c r="G617" s="11" t="s">
        <v>1772</v>
      </c>
      <c r="H617" s="11" t="s">
        <v>166</v>
      </c>
      <c r="I617" s="46" t="s">
        <v>109</v>
      </c>
      <c r="J617" s="25">
        <v>42884</v>
      </c>
      <c r="K617" s="25">
        <v>44498</v>
      </c>
      <c r="L617" s="26">
        <f t="shared" si="247"/>
        <v>83.983862369886609</v>
      </c>
      <c r="M617" s="11" t="s">
        <v>136</v>
      </c>
      <c r="N617" s="11" t="s">
        <v>261</v>
      </c>
      <c r="O617" s="11" t="s">
        <v>261</v>
      </c>
      <c r="P617" s="27" t="s">
        <v>138</v>
      </c>
      <c r="Q617" s="11" t="s">
        <v>34</v>
      </c>
      <c r="R617" s="2">
        <f t="shared" si="248"/>
        <v>12294746.960000001</v>
      </c>
      <c r="S617" s="2">
        <v>9914642.3000000007</v>
      </c>
      <c r="T617" s="2">
        <v>2380104.66</v>
      </c>
      <c r="U617" s="2">
        <f t="shared" si="253"/>
        <v>0</v>
      </c>
      <c r="V617" s="28">
        <v>0</v>
      </c>
      <c r="W617" s="28">
        <v>0</v>
      </c>
      <c r="X617" s="2">
        <f t="shared" si="250"/>
        <v>2344669.0099999998</v>
      </c>
      <c r="Y617" s="2">
        <v>1749642.76</v>
      </c>
      <c r="Z617" s="2">
        <v>595026.25</v>
      </c>
      <c r="AA617" s="2">
        <f t="shared" si="251"/>
        <v>0</v>
      </c>
      <c r="AB617" s="2">
        <v>0</v>
      </c>
      <c r="AC617" s="2">
        <v>0</v>
      </c>
      <c r="AD617" s="16">
        <f t="shared" si="240"/>
        <v>14639415.970000001</v>
      </c>
      <c r="AE617" s="2">
        <v>0</v>
      </c>
      <c r="AF617" s="2">
        <f t="shared" si="252"/>
        <v>14639415.970000001</v>
      </c>
      <c r="AG617" s="38" t="s">
        <v>857</v>
      </c>
      <c r="AH617" s="29" t="s">
        <v>1782</v>
      </c>
      <c r="AI617" s="30">
        <f>7066989.6+1435399.58+120715.89+409904.19+253858.38+392955.44+1293967.21</f>
        <v>10973790.289999999</v>
      </c>
      <c r="AJ617" s="130">
        <v>0</v>
      </c>
    </row>
    <row r="618" spans="1:37" s="179" customFormat="1" ht="157.5" x14ac:dyDescent="0.25">
      <c r="A618" s="6">
        <v>615</v>
      </c>
      <c r="B618" s="31">
        <v>117841</v>
      </c>
      <c r="C618" s="11">
        <v>17</v>
      </c>
      <c r="D618" s="11" t="s">
        <v>143</v>
      </c>
      <c r="E618" s="10" t="s">
        <v>107</v>
      </c>
      <c r="F618" s="11" t="s">
        <v>60</v>
      </c>
      <c r="G618" s="11" t="s">
        <v>1349</v>
      </c>
      <c r="H618" s="8" t="s">
        <v>151</v>
      </c>
      <c r="I618" s="46" t="s">
        <v>555</v>
      </c>
      <c r="J618" s="25">
        <v>42482</v>
      </c>
      <c r="K618" s="25">
        <v>43760</v>
      </c>
      <c r="L618" s="26">
        <f t="shared" si="247"/>
        <v>83.983862907570995</v>
      </c>
      <c r="M618" s="11" t="s">
        <v>136</v>
      </c>
      <c r="N618" s="11" t="s">
        <v>261</v>
      </c>
      <c r="O618" s="11" t="s">
        <v>261</v>
      </c>
      <c r="P618" s="27" t="s">
        <v>138</v>
      </c>
      <c r="Q618" s="11" t="s">
        <v>34</v>
      </c>
      <c r="R618" s="2">
        <f t="shared" si="248"/>
        <v>9778588.4399999995</v>
      </c>
      <c r="S618" s="2">
        <v>7885579.6299999999</v>
      </c>
      <c r="T618" s="2">
        <v>1893008.81</v>
      </c>
      <c r="U618" s="2">
        <f t="shared" si="253"/>
        <v>0</v>
      </c>
      <c r="V618" s="28">
        <v>0</v>
      </c>
      <c r="W618" s="28">
        <v>0</v>
      </c>
      <c r="X618" s="2">
        <f t="shared" si="250"/>
        <v>1864825.07</v>
      </c>
      <c r="Y618" s="2">
        <v>1391572.85</v>
      </c>
      <c r="Z618" s="2">
        <v>473252.22</v>
      </c>
      <c r="AA618" s="2">
        <f t="shared" si="251"/>
        <v>0</v>
      </c>
      <c r="AB618" s="2">
        <v>0</v>
      </c>
      <c r="AC618" s="2">
        <v>0</v>
      </c>
      <c r="AD618" s="16">
        <f t="shared" si="240"/>
        <v>11643413.51</v>
      </c>
      <c r="AE618" s="2">
        <v>0</v>
      </c>
      <c r="AF618" s="2">
        <f t="shared" si="252"/>
        <v>11643413.51</v>
      </c>
      <c r="AG618" s="21" t="s">
        <v>857</v>
      </c>
      <c r="AH618" s="29" t="s">
        <v>554</v>
      </c>
      <c r="AI618" s="30">
        <v>7520803.0899999999</v>
      </c>
      <c r="AJ618" s="130">
        <v>0</v>
      </c>
    </row>
    <row r="619" spans="1:37" s="179" customFormat="1" ht="141.75" x14ac:dyDescent="0.25">
      <c r="A619" s="6">
        <v>616</v>
      </c>
      <c r="B619" s="31">
        <v>119195</v>
      </c>
      <c r="C619" s="11">
        <v>18</v>
      </c>
      <c r="D619" s="11" t="s">
        <v>143</v>
      </c>
      <c r="E619" s="10" t="s">
        <v>107</v>
      </c>
      <c r="F619" s="11" t="s">
        <v>61</v>
      </c>
      <c r="G619" s="27" t="s">
        <v>1737</v>
      </c>
      <c r="H619" s="8" t="s">
        <v>151</v>
      </c>
      <c r="I619" s="46" t="s">
        <v>62</v>
      </c>
      <c r="J619" s="25">
        <v>42464</v>
      </c>
      <c r="K619" s="25">
        <v>43528</v>
      </c>
      <c r="L619" s="26">
        <f t="shared" si="247"/>
        <v>83.983863126060598</v>
      </c>
      <c r="M619" s="11" t="s">
        <v>136</v>
      </c>
      <c r="N619" s="11" t="s">
        <v>261</v>
      </c>
      <c r="O619" s="11" t="s">
        <v>261</v>
      </c>
      <c r="P619" s="27" t="s">
        <v>138</v>
      </c>
      <c r="Q619" s="11" t="s">
        <v>34</v>
      </c>
      <c r="R619" s="2">
        <f t="shared" si="248"/>
        <v>3168878.46</v>
      </c>
      <c r="S619" s="2">
        <v>2555424.39</v>
      </c>
      <c r="T619" s="2">
        <v>613454.06999999995</v>
      </c>
      <c r="U619" s="2">
        <f t="shared" si="253"/>
        <v>0</v>
      </c>
      <c r="V619" s="28">
        <v>0</v>
      </c>
      <c r="W619" s="28">
        <v>0</v>
      </c>
      <c r="X619" s="2">
        <f t="shared" si="250"/>
        <v>604320.75</v>
      </c>
      <c r="Y619" s="2">
        <v>450957.23</v>
      </c>
      <c r="Z619" s="2">
        <v>153363.51999999999</v>
      </c>
      <c r="AA619" s="2">
        <f t="shared" si="251"/>
        <v>0</v>
      </c>
      <c r="AB619" s="2">
        <v>0</v>
      </c>
      <c r="AC619" s="2">
        <v>0</v>
      </c>
      <c r="AD619" s="16">
        <f t="shared" si="240"/>
        <v>3773199.21</v>
      </c>
      <c r="AE619" s="2">
        <v>0</v>
      </c>
      <c r="AF619" s="2">
        <f t="shared" si="252"/>
        <v>3773199.21</v>
      </c>
      <c r="AG619" s="21" t="s">
        <v>857</v>
      </c>
      <c r="AH619" s="29" t="s">
        <v>1207</v>
      </c>
      <c r="AI619" s="30">
        <v>2945136.28</v>
      </c>
      <c r="AJ619" s="130">
        <v>0</v>
      </c>
    </row>
    <row r="620" spans="1:37" s="179" customFormat="1" ht="189" x14ac:dyDescent="0.25">
      <c r="A620" s="6">
        <v>617</v>
      </c>
      <c r="B620" s="31">
        <v>118157</v>
      </c>
      <c r="C620" s="11">
        <v>19</v>
      </c>
      <c r="D620" s="11" t="s">
        <v>143</v>
      </c>
      <c r="E620" s="10" t="s">
        <v>107</v>
      </c>
      <c r="F620" s="11" t="s">
        <v>63</v>
      </c>
      <c r="G620" s="11" t="s">
        <v>1397</v>
      </c>
      <c r="H620" s="8" t="s">
        <v>151</v>
      </c>
      <c r="I620" s="46" t="s">
        <v>64</v>
      </c>
      <c r="J620" s="25">
        <v>42446</v>
      </c>
      <c r="K620" s="25">
        <v>43541</v>
      </c>
      <c r="L620" s="26">
        <f t="shared" si="247"/>
        <v>83.983862865891041</v>
      </c>
      <c r="M620" s="11" t="s">
        <v>136</v>
      </c>
      <c r="N620" s="11" t="s">
        <v>261</v>
      </c>
      <c r="O620" s="11" t="s">
        <v>261</v>
      </c>
      <c r="P620" s="27" t="s">
        <v>138</v>
      </c>
      <c r="Q620" s="11" t="s">
        <v>34</v>
      </c>
      <c r="R620" s="2">
        <f t="shared" si="248"/>
        <v>3627735.48</v>
      </c>
      <c r="S620" s="2">
        <v>2925452.6</v>
      </c>
      <c r="T620" s="2">
        <v>702282.88</v>
      </c>
      <c r="U620" s="2">
        <f t="shared" si="253"/>
        <v>0</v>
      </c>
      <c r="V620" s="28">
        <v>0</v>
      </c>
      <c r="W620" s="28">
        <v>0</v>
      </c>
      <c r="X620" s="2">
        <f t="shared" si="250"/>
        <v>691827.06</v>
      </c>
      <c r="Y620" s="2">
        <v>516256.34</v>
      </c>
      <c r="Z620" s="2">
        <v>175570.72</v>
      </c>
      <c r="AA620" s="2">
        <f t="shared" si="251"/>
        <v>0</v>
      </c>
      <c r="AB620" s="2">
        <v>0</v>
      </c>
      <c r="AC620" s="2">
        <v>0</v>
      </c>
      <c r="AD620" s="16">
        <f t="shared" si="240"/>
        <v>4319562.54</v>
      </c>
      <c r="AE620" s="2">
        <v>0</v>
      </c>
      <c r="AF620" s="2">
        <f t="shared" si="252"/>
        <v>4319562.54</v>
      </c>
      <c r="AG620" s="21" t="s">
        <v>857</v>
      </c>
      <c r="AH620" s="29" t="s">
        <v>585</v>
      </c>
      <c r="AI620" s="30">
        <v>2216294.58</v>
      </c>
      <c r="AJ620" s="130">
        <v>0</v>
      </c>
    </row>
    <row r="621" spans="1:37" s="179" customFormat="1" ht="141.75" x14ac:dyDescent="0.25">
      <c r="A621" s="6">
        <v>618</v>
      </c>
      <c r="B621" s="31">
        <v>119988</v>
      </c>
      <c r="C621" s="11">
        <v>62</v>
      </c>
      <c r="D621" s="32" t="s">
        <v>1639</v>
      </c>
      <c r="E621" s="10" t="s">
        <v>129</v>
      </c>
      <c r="F621" s="11" t="s">
        <v>131</v>
      </c>
      <c r="G621" s="11" t="s">
        <v>99</v>
      </c>
      <c r="H621" s="27" t="s">
        <v>171</v>
      </c>
      <c r="I621" s="46" t="s">
        <v>132</v>
      </c>
      <c r="J621" s="25">
        <v>43060</v>
      </c>
      <c r="K621" s="25">
        <v>44276</v>
      </c>
      <c r="L621" s="26">
        <f t="shared" si="247"/>
        <v>83.983862758059558</v>
      </c>
      <c r="M621" s="11" t="s">
        <v>136</v>
      </c>
      <c r="N621" s="11" t="s">
        <v>261</v>
      </c>
      <c r="O621" s="11" t="s">
        <v>261</v>
      </c>
      <c r="P621" s="27" t="s">
        <v>138</v>
      </c>
      <c r="Q621" s="11" t="s">
        <v>34</v>
      </c>
      <c r="R621" s="2">
        <f t="shared" si="248"/>
        <v>2116755.06</v>
      </c>
      <c r="S621" s="2">
        <v>1706978.54</v>
      </c>
      <c r="T621" s="2">
        <v>409776.52</v>
      </c>
      <c r="U621" s="2">
        <f t="shared" si="253"/>
        <v>0</v>
      </c>
      <c r="V621" s="28">
        <v>0</v>
      </c>
      <c r="W621" s="28">
        <v>0</v>
      </c>
      <c r="X621" s="2">
        <f t="shared" si="250"/>
        <v>403675.64</v>
      </c>
      <c r="Y621" s="2">
        <v>301231.5</v>
      </c>
      <c r="Z621" s="2">
        <v>102444.14</v>
      </c>
      <c r="AA621" s="2">
        <f t="shared" si="251"/>
        <v>0</v>
      </c>
      <c r="AB621" s="2">
        <v>0</v>
      </c>
      <c r="AC621" s="2">
        <v>0</v>
      </c>
      <c r="AD621" s="16">
        <f t="shared" si="240"/>
        <v>2520430.7000000002</v>
      </c>
      <c r="AE621" s="2"/>
      <c r="AF621" s="2">
        <f t="shared" si="252"/>
        <v>2520430.7000000002</v>
      </c>
      <c r="AG621" s="38" t="s">
        <v>857</v>
      </c>
      <c r="AH621" s="29" t="s">
        <v>1722</v>
      </c>
      <c r="AI621" s="30">
        <f>438530.17+107239.86+867004.39+29421.22+76833.49+304177.28</f>
        <v>1823206.41</v>
      </c>
      <c r="AJ621" s="130">
        <v>0</v>
      </c>
    </row>
    <row r="622" spans="1:37" s="179" customFormat="1" ht="409.5" x14ac:dyDescent="0.25">
      <c r="A622" s="6">
        <v>619</v>
      </c>
      <c r="B622" s="31">
        <v>118158</v>
      </c>
      <c r="C622" s="11">
        <v>21</v>
      </c>
      <c r="D622" s="11" t="s">
        <v>143</v>
      </c>
      <c r="E622" s="10" t="s">
        <v>107</v>
      </c>
      <c r="F622" s="11" t="s">
        <v>67</v>
      </c>
      <c r="G622" s="11" t="s">
        <v>1397</v>
      </c>
      <c r="H622" s="11" t="s">
        <v>365</v>
      </c>
      <c r="I622" s="46" t="s">
        <v>68</v>
      </c>
      <c r="J622" s="25">
        <v>42516</v>
      </c>
      <c r="K622" s="25">
        <v>43703</v>
      </c>
      <c r="L622" s="26">
        <f t="shared" si="247"/>
        <v>83.983862895923082</v>
      </c>
      <c r="M622" s="11" t="s">
        <v>136</v>
      </c>
      <c r="N622" s="11" t="s">
        <v>261</v>
      </c>
      <c r="O622" s="11" t="s">
        <v>261</v>
      </c>
      <c r="P622" s="27" t="s">
        <v>138</v>
      </c>
      <c r="Q622" s="11" t="s">
        <v>34</v>
      </c>
      <c r="R622" s="2">
        <f t="shared" si="248"/>
        <v>11413787.699999999</v>
      </c>
      <c r="S622" s="2">
        <v>9204225.3699999992</v>
      </c>
      <c r="T622" s="2">
        <v>2209562.33</v>
      </c>
      <c r="U622" s="2">
        <f t="shared" si="253"/>
        <v>0</v>
      </c>
      <c r="V622" s="28">
        <v>0</v>
      </c>
      <c r="W622" s="28">
        <v>0</v>
      </c>
      <c r="X622" s="2">
        <f t="shared" si="250"/>
        <v>2176665.64</v>
      </c>
      <c r="Y622" s="2">
        <v>1624275.04</v>
      </c>
      <c r="Z622" s="2">
        <v>552390.6</v>
      </c>
      <c r="AA622" s="2">
        <f t="shared" si="251"/>
        <v>0</v>
      </c>
      <c r="AB622" s="2">
        <v>0</v>
      </c>
      <c r="AC622" s="2">
        <v>0</v>
      </c>
      <c r="AD622" s="16">
        <f t="shared" si="240"/>
        <v>13590453.34</v>
      </c>
      <c r="AE622" s="2">
        <v>16355.96</v>
      </c>
      <c r="AF622" s="2">
        <f t="shared" si="252"/>
        <v>13606809.300000001</v>
      </c>
      <c r="AG622" s="21" t="s">
        <v>857</v>
      </c>
      <c r="AH622" s="29" t="s">
        <v>1053</v>
      </c>
      <c r="AI622" s="30">
        <v>9335165.3400000017</v>
      </c>
      <c r="AJ622" s="130">
        <v>0</v>
      </c>
      <c r="AK622" s="43"/>
    </row>
    <row r="623" spans="1:37" s="179" customFormat="1" ht="204.75" x14ac:dyDescent="0.25">
      <c r="A623" s="6">
        <v>620</v>
      </c>
      <c r="B623" s="31">
        <v>118159</v>
      </c>
      <c r="C623" s="11">
        <v>22</v>
      </c>
      <c r="D623" s="11" t="s">
        <v>143</v>
      </c>
      <c r="E623" s="10" t="s">
        <v>107</v>
      </c>
      <c r="F623" s="11" t="s">
        <v>69</v>
      </c>
      <c r="G623" s="11" t="s">
        <v>1397</v>
      </c>
      <c r="H623" s="11" t="s">
        <v>158</v>
      </c>
      <c r="I623" s="46" t="s">
        <v>70</v>
      </c>
      <c r="J623" s="25">
        <v>42446</v>
      </c>
      <c r="K623" s="25">
        <v>43176</v>
      </c>
      <c r="L623" s="26">
        <f t="shared" si="247"/>
        <v>83.983862881462997</v>
      </c>
      <c r="M623" s="11" t="s">
        <v>136</v>
      </c>
      <c r="N623" s="11" t="s">
        <v>261</v>
      </c>
      <c r="O623" s="11" t="s">
        <v>261</v>
      </c>
      <c r="P623" s="27" t="s">
        <v>138</v>
      </c>
      <c r="Q623" s="11" t="s">
        <v>34</v>
      </c>
      <c r="R623" s="2">
        <f t="shared" si="248"/>
        <v>13490539.449999999</v>
      </c>
      <c r="S623" s="2">
        <v>10878944.699999999</v>
      </c>
      <c r="T623" s="2">
        <v>2611594.75</v>
      </c>
      <c r="U623" s="2">
        <f t="shared" si="253"/>
        <v>0</v>
      </c>
      <c r="V623" s="28">
        <v>0</v>
      </c>
      <c r="W623" s="28">
        <v>0</v>
      </c>
      <c r="X623" s="2">
        <f t="shared" si="250"/>
        <v>2572712.4500000002</v>
      </c>
      <c r="Y623" s="2">
        <v>1919813.76</v>
      </c>
      <c r="Z623" s="2">
        <v>652898.68999999994</v>
      </c>
      <c r="AA623" s="2">
        <f t="shared" si="251"/>
        <v>0</v>
      </c>
      <c r="AB623" s="2">
        <v>0</v>
      </c>
      <c r="AC623" s="2">
        <v>0</v>
      </c>
      <c r="AD623" s="16">
        <f t="shared" si="240"/>
        <v>16063251.899999999</v>
      </c>
      <c r="AE623" s="2">
        <v>0</v>
      </c>
      <c r="AF623" s="2">
        <f t="shared" si="252"/>
        <v>16063251.899999999</v>
      </c>
      <c r="AG623" s="21" t="s">
        <v>857</v>
      </c>
      <c r="AH623" s="29" t="s">
        <v>172</v>
      </c>
      <c r="AI623" s="30">
        <v>12372517.5</v>
      </c>
      <c r="AJ623" s="130">
        <v>0</v>
      </c>
    </row>
    <row r="624" spans="1:37" s="179" customFormat="1" ht="267.75" x14ac:dyDescent="0.25">
      <c r="A624" s="6">
        <v>621</v>
      </c>
      <c r="B624" s="31">
        <v>118427</v>
      </c>
      <c r="C624" s="11">
        <v>23</v>
      </c>
      <c r="D624" s="11" t="s">
        <v>143</v>
      </c>
      <c r="E624" s="10" t="s">
        <v>107</v>
      </c>
      <c r="F624" s="11" t="s">
        <v>72</v>
      </c>
      <c r="G624" s="11" t="s">
        <v>71</v>
      </c>
      <c r="H624" s="8" t="s">
        <v>151</v>
      </c>
      <c r="I624" s="46" t="s">
        <v>73</v>
      </c>
      <c r="J624" s="25">
        <v>42459</v>
      </c>
      <c r="K624" s="25">
        <v>43524</v>
      </c>
      <c r="L624" s="26">
        <f t="shared" si="247"/>
        <v>83.983862468884851</v>
      </c>
      <c r="M624" s="11" t="s">
        <v>136</v>
      </c>
      <c r="N624" s="11" t="s">
        <v>261</v>
      </c>
      <c r="O624" s="11" t="s">
        <v>261</v>
      </c>
      <c r="P624" s="27" t="s">
        <v>138</v>
      </c>
      <c r="Q624" s="11" t="s">
        <v>34</v>
      </c>
      <c r="R624" s="2">
        <f t="shared" si="248"/>
        <v>6252507.0099999998</v>
      </c>
      <c r="S624" s="2">
        <v>5042102.18</v>
      </c>
      <c r="T624" s="2">
        <v>1210404.83</v>
      </c>
      <c r="U624" s="2">
        <f t="shared" si="253"/>
        <v>0</v>
      </c>
      <c r="V624" s="28">
        <v>0</v>
      </c>
      <c r="W624" s="28">
        <v>0</v>
      </c>
      <c r="X624" s="2">
        <f t="shared" si="250"/>
        <v>1192383.98</v>
      </c>
      <c r="Y624" s="2">
        <v>889782.73</v>
      </c>
      <c r="Z624" s="2">
        <v>302601.25</v>
      </c>
      <c r="AA624" s="2">
        <f t="shared" si="251"/>
        <v>0</v>
      </c>
      <c r="AB624" s="2">
        <v>0</v>
      </c>
      <c r="AC624" s="2">
        <v>0</v>
      </c>
      <c r="AD624" s="16">
        <f t="shared" si="240"/>
        <v>7444890.9900000002</v>
      </c>
      <c r="AE624" s="2">
        <v>0</v>
      </c>
      <c r="AF624" s="2">
        <f t="shared" si="252"/>
        <v>7444890.9900000002</v>
      </c>
      <c r="AG624" s="21" t="s">
        <v>857</v>
      </c>
      <c r="AH624" s="136" t="s">
        <v>967</v>
      </c>
      <c r="AI624" s="30">
        <f>6243692.52+7195.7</f>
        <v>6250888.2199999997</v>
      </c>
      <c r="AJ624" s="130">
        <v>0</v>
      </c>
    </row>
    <row r="625" spans="1:109" s="179" customFormat="1" ht="141.75" x14ac:dyDescent="0.25">
      <c r="A625" s="6">
        <v>622</v>
      </c>
      <c r="B625" s="31">
        <v>118584</v>
      </c>
      <c r="C625" s="11">
        <v>24</v>
      </c>
      <c r="D625" s="11" t="s">
        <v>143</v>
      </c>
      <c r="E625" s="10" t="s">
        <v>107</v>
      </c>
      <c r="F625" s="11" t="s">
        <v>75</v>
      </c>
      <c r="G625" s="11" t="s">
        <v>74</v>
      </c>
      <c r="H625" s="8" t="s">
        <v>151</v>
      </c>
      <c r="I625" s="46" t="s">
        <v>76</v>
      </c>
      <c r="J625" s="25">
        <v>42454</v>
      </c>
      <c r="K625" s="25">
        <v>43610</v>
      </c>
      <c r="L625" s="26">
        <f t="shared" si="247"/>
        <v>83.983862869823341</v>
      </c>
      <c r="M625" s="11" t="s">
        <v>136</v>
      </c>
      <c r="N625" s="11" t="s">
        <v>261</v>
      </c>
      <c r="O625" s="11" t="s">
        <v>261</v>
      </c>
      <c r="P625" s="27" t="s">
        <v>138</v>
      </c>
      <c r="Q625" s="11" t="s">
        <v>34</v>
      </c>
      <c r="R625" s="2">
        <f t="shared" si="248"/>
        <v>2984368.02</v>
      </c>
      <c r="S625" s="2">
        <v>2406632.79</v>
      </c>
      <c r="T625" s="2">
        <v>577735.23</v>
      </c>
      <c r="U625" s="2">
        <f t="shared" si="253"/>
        <v>0</v>
      </c>
      <c r="V625" s="28">
        <v>0</v>
      </c>
      <c r="W625" s="28">
        <v>0</v>
      </c>
      <c r="X625" s="2">
        <f t="shared" si="250"/>
        <v>569133.71</v>
      </c>
      <c r="Y625" s="2">
        <v>424699.9</v>
      </c>
      <c r="Z625" s="2">
        <v>144433.81</v>
      </c>
      <c r="AA625" s="2">
        <f t="shared" si="251"/>
        <v>0</v>
      </c>
      <c r="AB625" s="2">
        <v>0</v>
      </c>
      <c r="AC625" s="2">
        <v>0</v>
      </c>
      <c r="AD625" s="16">
        <f t="shared" si="240"/>
        <v>3553501.73</v>
      </c>
      <c r="AE625" s="2"/>
      <c r="AF625" s="2">
        <f t="shared" si="252"/>
        <v>3553501.73</v>
      </c>
      <c r="AG625" s="21" t="s">
        <v>857</v>
      </c>
      <c r="AH625" s="29" t="s">
        <v>968</v>
      </c>
      <c r="AI625" s="30">
        <v>2743197.24</v>
      </c>
      <c r="AJ625" s="130">
        <v>0</v>
      </c>
    </row>
    <row r="626" spans="1:109" s="179" customFormat="1" ht="141.75" x14ac:dyDescent="0.25">
      <c r="A626" s="6">
        <v>623</v>
      </c>
      <c r="B626" s="31">
        <v>117835</v>
      </c>
      <c r="C626" s="11">
        <v>25</v>
      </c>
      <c r="D626" s="11" t="s">
        <v>143</v>
      </c>
      <c r="E626" s="10" t="s">
        <v>107</v>
      </c>
      <c r="F626" s="11" t="s">
        <v>77</v>
      </c>
      <c r="G626" s="11" t="s">
        <v>71</v>
      </c>
      <c r="H626" s="11" t="s">
        <v>169</v>
      </c>
      <c r="I626" s="46" t="s">
        <v>78</v>
      </c>
      <c r="J626" s="25">
        <v>42459</v>
      </c>
      <c r="K626" s="25">
        <v>43464</v>
      </c>
      <c r="L626" s="26">
        <f t="shared" si="247"/>
        <v>83.983862877433253</v>
      </c>
      <c r="M626" s="11" t="s">
        <v>136</v>
      </c>
      <c r="N626" s="11" t="s">
        <v>261</v>
      </c>
      <c r="O626" s="11" t="s">
        <v>261</v>
      </c>
      <c r="P626" s="27" t="s">
        <v>138</v>
      </c>
      <c r="Q626" s="11" t="s">
        <v>34</v>
      </c>
      <c r="R626" s="2">
        <f t="shared" si="248"/>
        <v>11174376.890000001</v>
      </c>
      <c r="S626" s="2">
        <v>9011161.3900000006</v>
      </c>
      <c r="T626" s="2">
        <v>2163215.5</v>
      </c>
      <c r="U626" s="2">
        <f t="shared" si="253"/>
        <v>0</v>
      </c>
      <c r="V626" s="28">
        <v>0</v>
      </c>
      <c r="W626" s="28">
        <v>0</v>
      </c>
      <c r="X626" s="2">
        <f t="shared" si="250"/>
        <v>2131008.8199999998</v>
      </c>
      <c r="Y626" s="2">
        <v>1590204.95</v>
      </c>
      <c r="Z626" s="2">
        <v>540803.87</v>
      </c>
      <c r="AA626" s="2">
        <f t="shared" si="251"/>
        <v>0</v>
      </c>
      <c r="AB626" s="2">
        <v>0</v>
      </c>
      <c r="AC626" s="2">
        <v>0</v>
      </c>
      <c r="AD626" s="16">
        <f t="shared" si="240"/>
        <v>13305385.710000001</v>
      </c>
      <c r="AE626" s="2">
        <v>0</v>
      </c>
      <c r="AF626" s="2">
        <f t="shared" si="252"/>
        <v>13305385.710000001</v>
      </c>
      <c r="AG626" s="21" t="s">
        <v>857</v>
      </c>
      <c r="AH626" s="136" t="s">
        <v>851</v>
      </c>
      <c r="AI626" s="30">
        <v>11126144.500000002</v>
      </c>
      <c r="AJ626" s="130">
        <v>0</v>
      </c>
    </row>
    <row r="627" spans="1:109" s="179" customFormat="1" ht="189" x14ac:dyDescent="0.25">
      <c r="A627" s="6">
        <v>624</v>
      </c>
      <c r="B627" s="31">
        <v>118419</v>
      </c>
      <c r="C627" s="11">
        <v>26</v>
      </c>
      <c r="D627" s="11" t="s">
        <v>143</v>
      </c>
      <c r="E627" s="10" t="s">
        <v>107</v>
      </c>
      <c r="F627" s="11" t="s">
        <v>79</v>
      </c>
      <c r="G627" s="11" t="s">
        <v>71</v>
      </c>
      <c r="H627" s="8" t="s">
        <v>151</v>
      </c>
      <c r="I627" s="46" t="s">
        <v>80</v>
      </c>
      <c r="J627" s="25">
        <v>42458</v>
      </c>
      <c r="K627" s="25">
        <v>43553</v>
      </c>
      <c r="L627" s="26">
        <f t="shared" si="247"/>
        <v>83.983862783018438</v>
      </c>
      <c r="M627" s="11" t="s">
        <v>136</v>
      </c>
      <c r="N627" s="11" t="s">
        <v>261</v>
      </c>
      <c r="O627" s="11" t="s">
        <v>261</v>
      </c>
      <c r="P627" s="27" t="s">
        <v>138</v>
      </c>
      <c r="Q627" s="11" t="s">
        <v>34</v>
      </c>
      <c r="R627" s="2">
        <f t="shared" si="248"/>
        <v>3637178.37</v>
      </c>
      <c r="S627" s="2">
        <v>2933067.47</v>
      </c>
      <c r="T627" s="2">
        <v>704110.9</v>
      </c>
      <c r="U627" s="2">
        <f t="shared" si="253"/>
        <v>0</v>
      </c>
      <c r="V627" s="28">
        <v>0</v>
      </c>
      <c r="W627" s="28">
        <v>0</v>
      </c>
      <c r="X627" s="2">
        <f t="shared" si="250"/>
        <v>693627.87</v>
      </c>
      <c r="Y627" s="2">
        <v>517600.14</v>
      </c>
      <c r="Z627" s="2">
        <v>176027.73</v>
      </c>
      <c r="AA627" s="2">
        <f t="shared" si="251"/>
        <v>0</v>
      </c>
      <c r="AB627" s="2">
        <v>0</v>
      </c>
      <c r="AC627" s="2">
        <v>0</v>
      </c>
      <c r="AD627" s="16">
        <f t="shared" si="240"/>
        <v>4330806.24</v>
      </c>
      <c r="AE627" s="2">
        <v>0</v>
      </c>
      <c r="AF627" s="2">
        <f t="shared" si="252"/>
        <v>4330806.24</v>
      </c>
      <c r="AG627" s="21" t="s">
        <v>857</v>
      </c>
      <c r="AH627" s="29" t="s">
        <v>152</v>
      </c>
      <c r="AI627" s="30">
        <v>3290066.13</v>
      </c>
      <c r="AJ627" s="130">
        <v>0</v>
      </c>
    </row>
    <row r="628" spans="1:109" s="179" customFormat="1" ht="220.5" x14ac:dyDescent="0.25">
      <c r="A628" s="6">
        <v>625</v>
      </c>
      <c r="B628" s="31">
        <v>118319</v>
      </c>
      <c r="C628" s="11">
        <v>27</v>
      </c>
      <c r="D628" s="11" t="s">
        <v>143</v>
      </c>
      <c r="E628" s="10" t="s">
        <v>107</v>
      </c>
      <c r="F628" s="11" t="s">
        <v>1200</v>
      </c>
      <c r="G628" s="11" t="s">
        <v>1349</v>
      </c>
      <c r="H628" s="11" t="s">
        <v>163</v>
      </c>
      <c r="I628" s="46" t="s">
        <v>2930</v>
      </c>
      <c r="J628" s="25">
        <v>42585</v>
      </c>
      <c r="K628" s="25">
        <v>43680</v>
      </c>
      <c r="L628" s="26">
        <f t="shared" si="247"/>
        <v>83.983862824473448</v>
      </c>
      <c r="M628" s="11" t="s">
        <v>136</v>
      </c>
      <c r="N628" s="11" t="s">
        <v>261</v>
      </c>
      <c r="O628" s="11" t="s">
        <v>261</v>
      </c>
      <c r="P628" s="27" t="s">
        <v>138</v>
      </c>
      <c r="Q628" s="11" t="s">
        <v>34</v>
      </c>
      <c r="R628" s="2">
        <f t="shared" si="248"/>
        <v>17052953.060000002</v>
      </c>
      <c r="S628" s="2">
        <v>13751720.9</v>
      </c>
      <c r="T628" s="2">
        <v>3301232.16</v>
      </c>
      <c r="U628" s="2">
        <f t="shared" si="253"/>
        <v>0</v>
      </c>
      <c r="V628" s="28">
        <v>0</v>
      </c>
      <c r="W628" s="28">
        <v>0</v>
      </c>
      <c r="X628" s="2">
        <f t="shared" si="250"/>
        <v>3252082.32</v>
      </c>
      <c r="Y628" s="2">
        <v>2426774.2799999998</v>
      </c>
      <c r="Z628" s="2">
        <v>825308.04</v>
      </c>
      <c r="AA628" s="2">
        <f t="shared" si="251"/>
        <v>0</v>
      </c>
      <c r="AB628" s="2">
        <v>0</v>
      </c>
      <c r="AC628" s="2">
        <v>0</v>
      </c>
      <c r="AD628" s="16">
        <f t="shared" si="240"/>
        <v>20305035.380000003</v>
      </c>
      <c r="AE628" s="2">
        <v>0</v>
      </c>
      <c r="AF628" s="2">
        <f t="shared" si="252"/>
        <v>20305035.380000003</v>
      </c>
      <c r="AG628" s="21" t="s">
        <v>857</v>
      </c>
      <c r="AH628" s="29" t="s">
        <v>383</v>
      </c>
      <c r="AI628" s="30">
        <v>15213087.200000001</v>
      </c>
      <c r="AJ628" s="130">
        <v>0</v>
      </c>
    </row>
    <row r="629" spans="1:109" s="179" customFormat="1" ht="220.5" x14ac:dyDescent="0.25">
      <c r="A629" s="6">
        <v>626</v>
      </c>
      <c r="B629" s="31">
        <v>117834</v>
      </c>
      <c r="C629" s="11">
        <v>28</v>
      </c>
      <c r="D629" s="11" t="s">
        <v>143</v>
      </c>
      <c r="E629" s="10" t="s">
        <v>107</v>
      </c>
      <c r="F629" s="11" t="s">
        <v>81</v>
      </c>
      <c r="G629" s="11" t="s">
        <v>71</v>
      </c>
      <c r="H629" s="11" t="s">
        <v>165</v>
      </c>
      <c r="I629" s="46" t="s">
        <v>82</v>
      </c>
      <c r="J629" s="25">
        <v>42515</v>
      </c>
      <c r="K629" s="25">
        <v>44129</v>
      </c>
      <c r="L629" s="26">
        <f t="shared" si="247"/>
        <v>83.983862816553938</v>
      </c>
      <c r="M629" s="11" t="s">
        <v>136</v>
      </c>
      <c r="N629" s="11" t="s">
        <v>261</v>
      </c>
      <c r="O629" s="11" t="s">
        <v>261</v>
      </c>
      <c r="P629" s="27" t="s">
        <v>138</v>
      </c>
      <c r="Q629" s="11" t="s">
        <v>34</v>
      </c>
      <c r="R629" s="2">
        <f t="shared" si="248"/>
        <v>36908560.93</v>
      </c>
      <c r="S629" s="2">
        <v>29763538.75</v>
      </c>
      <c r="T629" s="2">
        <v>7145022.1799999997</v>
      </c>
      <c r="U629" s="2">
        <f t="shared" si="253"/>
        <v>0</v>
      </c>
      <c r="V629" s="28">
        <v>0</v>
      </c>
      <c r="W629" s="28">
        <v>0</v>
      </c>
      <c r="X629" s="2">
        <f t="shared" si="250"/>
        <v>7038644.75</v>
      </c>
      <c r="Y629" s="2">
        <v>5252389.17</v>
      </c>
      <c r="Z629" s="2">
        <v>1786255.58</v>
      </c>
      <c r="AA629" s="2">
        <f t="shared" si="251"/>
        <v>0</v>
      </c>
      <c r="AB629" s="2">
        <v>0</v>
      </c>
      <c r="AC629" s="2">
        <v>0</v>
      </c>
      <c r="AD629" s="16">
        <f t="shared" si="240"/>
        <v>43947205.68</v>
      </c>
      <c r="AE629" s="2">
        <v>0</v>
      </c>
      <c r="AF629" s="2">
        <f t="shared" si="252"/>
        <v>43947205.68</v>
      </c>
      <c r="AG629" s="38" t="s">
        <v>857</v>
      </c>
      <c r="AH629" s="29" t="s">
        <v>1621</v>
      </c>
      <c r="AI629" s="30">
        <f>23206973.77+90624.06+102769.12+61292.35+13166305.98</f>
        <v>36627965.280000001</v>
      </c>
      <c r="AJ629" s="130">
        <v>0</v>
      </c>
    </row>
    <row r="630" spans="1:109" s="179" customFormat="1" ht="236.25" x14ac:dyDescent="0.25">
      <c r="A630" s="6">
        <v>627</v>
      </c>
      <c r="B630" s="31">
        <v>119993</v>
      </c>
      <c r="C630" s="11">
        <v>29</v>
      </c>
      <c r="D630" s="11" t="s">
        <v>143</v>
      </c>
      <c r="E630" s="10" t="s">
        <v>107</v>
      </c>
      <c r="F630" s="11" t="s">
        <v>84</v>
      </c>
      <c r="G630" s="11" t="s">
        <v>83</v>
      </c>
      <c r="H630" s="11" t="s">
        <v>170</v>
      </c>
      <c r="I630" s="46" t="s">
        <v>85</v>
      </c>
      <c r="J630" s="25">
        <v>42569</v>
      </c>
      <c r="K630" s="25">
        <v>44030</v>
      </c>
      <c r="L630" s="26">
        <f t="shared" si="247"/>
        <v>83.98386282616714</v>
      </c>
      <c r="M630" s="11" t="s">
        <v>136</v>
      </c>
      <c r="N630" s="11" t="s">
        <v>261</v>
      </c>
      <c r="O630" s="11" t="s">
        <v>261</v>
      </c>
      <c r="P630" s="27" t="s">
        <v>138</v>
      </c>
      <c r="Q630" s="11" t="s">
        <v>34</v>
      </c>
      <c r="R630" s="2">
        <f t="shared" si="248"/>
        <v>35912411.909999996</v>
      </c>
      <c r="S630" s="2">
        <v>28960231.329999998</v>
      </c>
      <c r="T630" s="2">
        <v>6952180.5800000001</v>
      </c>
      <c r="U630" s="2">
        <f t="shared" si="253"/>
        <v>0</v>
      </c>
      <c r="V630" s="28">
        <v>0</v>
      </c>
      <c r="W630" s="28">
        <v>0</v>
      </c>
      <c r="X630" s="2">
        <f t="shared" si="250"/>
        <v>6848674.209999999</v>
      </c>
      <c r="Y630" s="2">
        <v>5110629.0599999996</v>
      </c>
      <c r="Z630" s="2">
        <v>1738045.15</v>
      </c>
      <c r="AA630" s="2">
        <f t="shared" si="251"/>
        <v>0</v>
      </c>
      <c r="AB630" s="2">
        <v>0</v>
      </c>
      <c r="AC630" s="2">
        <v>0</v>
      </c>
      <c r="AD630" s="16">
        <f t="shared" si="240"/>
        <v>42761086.119999997</v>
      </c>
      <c r="AE630" s="2">
        <v>0</v>
      </c>
      <c r="AF630" s="2">
        <f t="shared" si="252"/>
        <v>42761086.119999997</v>
      </c>
      <c r="AG630" s="38" t="s">
        <v>857</v>
      </c>
      <c r="AH630" s="136" t="s">
        <v>155</v>
      </c>
      <c r="AI630" s="30">
        <v>28176.63</v>
      </c>
      <c r="AJ630" s="130">
        <v>0</v>
      </c>
    </row>
    <row r="631" spans="1:109" s="179" customFormat="1" ht="409.5" x14ac:dyDescent="0.25">
      <c r="A631" s="6">
        <v>628</v>
      </c>
      <c r="B631" s="31">
        <v>118292</v>
      </c>
      <c r="C631" s="11">
        <v>30</v>
      </c>
      <c r="D631" s="11" t="s">
        <v>143</v>
      </c>
      <c r="E631" s="10" t="s">
        <v>107</v>
      </c>
      <c r="F631" s="11" t="s">
        <v>86</v>
      </c>
      <c r="G631" s="11" t="s">
        <v>1627</v>
      </c>
      <c r="H631" s="11" t="s">
        <v>160</v>
      </c>
      <c r="I631" s="46" t="s">
        <v>87</v>
      </c>
      <c r="J631" s="25">
        <v>42446</v>
      </c>
      <c r="K631" s="25">
        <v>43237</v>
      </c>
      <c r="L631" s="26">
        <f t="shared" si="247"/>
        <v>83.983862811384185</v>
      </c>
      <c r="M631" s="11" t="s">
        <v>136</v>
      </c>
      <c r="N631" s="11" t="s">
        <v>261</v>
      </c>
      <c r="O631" s="11" t="s">
        <v>261</v>
      </c>
      <c r="P631" s="27" t="s">
        <v>138</v>
      </c>
      <c r="Q631" s="11" t="s">
        <v>34</v>
      </c>
      <c r="R631" s="2">
        <f t="shared" si="248"/>
        <v>23983572.759999998</v>
      </c>
      <c r="S631" s="2">
        <v>19340661.859999999</v>
      </c>
      <c r="T631" s="2">
        <v>4642910.9000000004</v>
      </c>
      <c r="U631" s="2">
        <f t="shared" si="253"/>
        <v>0</v>
      </c>
      <c r="V631" s="28">
        <v>0</v>
      </c>
      <c r="W631" s="28">
        <v>0</v>
      </c>
      <c r="X631" s="2">
        <f t="shared" si="250"/>
        <v>4573785.71</v>
      </c>
      <c r="Y631" s="2">
        <v>3413057.98</v>
      </c>
      <c r="Z631" s="2">
        <v>1160727.73</v>
      </c>
      <c r="AA631" s="2">
        <f t="shared" si="251"/>
        <v>0</v>
      </c>
      <c r="AB631" s="2">
        <v>0</v>
      </c>
      <c r="AC631" s="2">
        <v>0</v>
      </c>
      <c r="AD631" s="16">
        <f t="shared" si="240"/>
        <v>28557358.469999999</v>
      </c>
      <c r="AE631" s="2">
        <v>54654.13</v>
      </c>
      <c r="AF631" s="2">
        <f t="shared" si="252"/>
        <v>28612012.599999998</v>
      </c>
      <c r="AG631" s="21" t="s">
        <v>857</v>
      </c>
      <c r="AH631" s="29" t="s">
        <v>389</v>
      </c>
      <c r="AI631" s="30">
        <v>20408812.109999996</v>
      </c>
      <c r="AJ631" s="130">
        <v>0</v>
      </c>
    </row>
    <row r="632" spans="1:109" s="179" customFormat="1" ht="141.75" x14ac:dyDescent="0.25">
      <c r="A632" s="6">
        <v>629</v>
      </c>
      <c r="B632" s="31">
        <v>120208</v>
      </c>
      <c r="C632" s="11">
        <v>47</v>
      </c>
      <c r="D632" s="11" t="s">
        <v>143</v>
      </c>
      <c r="E632" s="10" t="s">
        <v>110</v>
      </c>
      <c r="F632" s="11" t="s">
        <v>556</v>
      </c>
      <c r="G632" s="27" t="s">
        <v>1717</v>
      </c>
      <c r="H632" s="8" t="s">
        <v>151</v>
      </c>
      <c r="I632" s="46" t="s">
        <v>558</v>
      </c>
      <c r="J632" s="25">
        <v>42914</v>
      </c>
      <c r="K632" s="25">
        <v>44528</v>
      </c>
      <c r="L632" s="26">
        <f t="shared" si="247"/>
        <v>83.983862845530723</v>
      </c>
      <c r="M632" s="11" t="s">
        <v>136</v>
      </c>
      <c r="N632" s="11" t="s">
        <v>261</v>
      </c>
      <c r="O632" s="11" t="s">
        <v>261</v>
      </c>
      <c r="P632" s="27" t="s">
        <v>138</v>
      </c>
      <c r="Q632" s="11" t="s">
        <v>34</v>
      </c>
      <c r="R632" s="2">
        <f t="shared" si="248"/>
        <v>6033904.6100000003</v>
      </c>
      <c r="S632" s="2">
        <v>4865818.3600000003</v>
      </c>
      <c r="T632" s="2">
        <v>1168086.25</v>
      </c>
      <c r="U632" s="2">
        <f t="shared" si="253"/>
        <v>0</v>
      </c>
      <c r="V632" s="28">
        <v>0</v>
      </c>
      <c r="W632" s="28">
        <v>0</v>
      </c>
      <c r="X632" s="2">
        <f t="shared" si="250"/>
        <v>1150695.3899999999</v>
      </c>
      <c r="Y632" s="2">
        <v>858673.83</v>
      </c>
      <c r="Z632" s="2">
        <v>292021.56</v>
      </c>
      <c r="AA632" s="2">
        <f t="shared" si="251"/>
        <v>0</v>
      </c>
      <c r="AB632" s="2">
        <v>0</v>
      </c>
      <c r="AC632" s="2">
        <v>0</v>
      </c>
      <c r="AD632" s="16">
        <f t="shared" si="240"/>
        <v>7184600</v>
      </c>
      <c r="AE632" s="2">
        <v>0</v>
      </c>
      <c r="AF632" s="2">
        <f t="shared" si="252"/>
        <v>7184600</v>
      </c>
      <c r="AG632" s="38" t="s">
        <v>857</v>
      </c>
      <c r="AH632" s="29" t="s">
        <v>1763</v>
      </c>
      <c r="AI632" s="30">
        <f>2526629.1+206280.33+105340.32</f>
        <v>2838249.75</v>
      </c>
      <c r="AJ632" s="130">
        <v>0</v>
      </c>
    </row>
    <row r="633" spans="1:109" s="179" customFormat="1" ht="189" x14ac:dyDescent="0.25">
      <c r="A633" s="6">
        <v>630</v>
      </c>
      <c r="B633" s="31">
        <v>119991</v>
      </c>
      <c r="C633" s="11">
        <v>48</v>
      </c>
      <c r="D633" s="11" t="s">
        <v>143</v>
      </c>
      <c r="E633" s="10" t="s">
        <v>110</v>
      </c>
      <c r="F633" s="11" t="s">
        <v>111</v>
      </c>
      <c r="G633" s="11" t="s">
        <v>83</v>
      </c>
      <c r="H633" s="8" t="s">
        <v>151</v>
      </c>
      <c r="I633" s="46" t="s">
        <v>112</v>
      </c>
      <c r="J633" s="25">
        <v>43004</v>
      </c>
      <c r="K633" s="25">
        <v>43916</v>
      </c>
      <c r="L633" s="26">
        <f t="shared" si="247"/>
        <v>83.9838628091575</v>
      </c>
      <c r="M633" s="11" t="s">
        <v>136</v>
      </c>
      <c r="N633" s="11" t="s">
        <v>261</v>
      </c>
      <c r="O633" s="11" t="s">
        <v>261</v>
      </c>
      <c r="P633" s="27" t="s">
        <v>138</v>
      </c>
      <c r="Q633" s="11" t="s">
        <v>34</v>
      </c>
      <c r="R633" s="2">
        <f t="shared" si="248"/>
        <v>12597407.540000001</v>
      </c>
      <c r="S633" s="2">
        <v>10158711.630000001</v>
      </c>
      <c r="T633" s="2">
        <v>2438695.91</v>
      </c>
      <c r="U633" s="2">
        <f t="shared" si="253"/>
        <v>0</v>
      </c>
      <c r="V633" s="28">
        <v>0</v>
      </c>
      <c r="W633" s="28">
        <v>0</v>
      </c>
      <c r="X633" s="2">
        <f t="shared" si="250"/>
        <v>2402387.7999999998</v>
      </c>
      <c r="Y633" s="2">
        <v>1792713.82</v>
      </c>
      <c r="Z633" s="2">
        <v>609673.98</v>
      </c>
      <c r="AA633" s="2">
        <f t="shared" si="251"/>
        <v>0</v>
      </c>
      <c r="AB633" s="2">
        <v>0</v>
      </c>
      <c r="AC633" s="2">
        <v>0</v>
      </c>
      <c r="AD633" s="16">
        <f t="shared" si="240"/>
        <v>14999795.34</v>
      </c>
      <c r="AE633" s="2">
        <v>2999990</v>
      </c>
      <c r="AF633" s="2">
        <f t="shared" si="252"/>
        <v>17999785.34</v>
      </c>
      <c r="AG633" s="38" t="s">
        <v>857</v>
      </c>
      <c r="AH633" s="22" t="s">
        <v>151</v>
      </c>
      <c r="AI633" s="30">
        <v>0</v>
      </c>
      <c r="AJ633" s="137">
        <v>0</v>
      </c>
    </row>
    <row r="634" spans="1:109" s="185" customFormat="1" ht="252" x14ac:dyDescent="0.25">
      <c r="A634" s="6">
        <v>631</v>
      </c>
      <c r="B634" s="31">
        <v>119992</v>
      </c>
      <c r="C634" s="11">
        <v>49</v>
      </c>
      <c r="D634" s="11" t="s">
        <v>143</v>
      </c>
      <c r="E634" s="10" t="s">
        <v>110</v>
      </c>
      <c r="F634" s="11" t="s">
        <v>113</v>
      </c>
      <c r="G634" s="11" t="s">
        <v>83</v>
      </c>
      <c r="H634" s="8" t="s">
        <v>151</v>
      </c>
      <c r="I634" s="46" t="s">
        <v>114</v>
      </c>
      <c r="J634" s="25">
        <v>43004</v>
      </c>
      <c r="K634" s="25">
        <v>43916</v>
      </c>
      <c r="L634" s="26">
        <f t="shared" si="247"/>
        <v>83.98386278575461</v>
      </c>
      <c r="M634" s="11" t="s">
        <v>136</v>
      </c>
      <c r="N634" s="11" t="s">
        <v>261</v>
      </c>
      <c r="O634" s="11" t="s">
        <v>261</v>
      </c>
      <c r="P634" s="27" t="s">
        <v>138</v>
      </c>
      <c r="Q634" s="11" t="s">
        <v>34</v>
      </c>
      <c r="R634" s="2">
        <f t="shared" si="248"/>
        <v>11755282.280000001</v>
      </c>
      <c r="S634" s="2">
        <v>9479610.9800000004</v>
      </c>
      <c r="T634" s="2">
        <v>2275671.2999999998</v>
      </c>
      <c r="U634" s="2">
        <f t="shared" si="253"/>
        <v>0</v>
      </c>
      <c r="V634" s="28">
        <v>0</v>
      </c>
      <c r="W634" s="28">
        <v>0</v>
      </c>
      <c r="X634" s="2">
        <f t="shared" si="250"/>
        <v>2241790.36</v>
      </c>
      <c r="Y634" s="2">
        <v>1672872.53</v>
      </c>
      <c r="Z634" s="2">
        <v>568917.82999999996</v>
      </c>
      <c r="AA634" s="2">
        <f t="shared" si="251"/>
        <v>0</v>
      </c>
      <c r="AB634" s="2">
        <v>0</v>
      </c>
      <c r="AC634" s="2">
        <v>0</v>
      </c>
      <c r="AD634" s="16">
        <f t="shared" si="240"/>
        <v>13997072.640000001</v>
      </c>
      <c r="AE634" s="2">
        <v>0</v>
      </c>
      <c r="AF634" s="2">
        <f t="shared" si="252"/>
        <v>13997072.640000001</v>
      </c>
      <c r="AG634" s="38" t="s">
        <v>857</v>
      </c>
      <c r="AH634" s="22" t="s">
        <v>151</v>
      </c>
      <c r="AI634" s="30">
        <v>0</v>
      </c>
      <c r="AJ634" s="137">
        <v>0</v>
      </c>
    </row>
    <row r="635" spans="1:109" s="185" customFormat="1" ht="173.25" x14ac:dyDescent="0.25">
      <c r="A635" s="6">
        <v>632</v>
      </c>
      <c r="B635" s="31">
        <v>119731</v>
      </c>
      <c r="C635" s="11">
        <v>51</v>
      </c>
      <c r="D635" s="11" t="s">
        <v>143</v>
      </c>
      <c r="E635" s="10" t="s">
        <v>110</v>
      </c>
      <c r="F635" s="11" t="s">
        <v>115</v>
      </c>
      <c r="G635" s="11" t="s">
        <v>55</v>
      </c>
      <c r="H635" s="8" t="s">
        <v>151</v>
      </c>
      <c r="I635" s="46" t="s">
        <v>116</v>
      </c>
      <c r="J635" s="25">
        <v>42956</v>
      </c>
      <c r="K635" s="25">
        <v>45147</v>
      </c>
      <c r="L635" s="26">
        <f t="shared" si="247"/>
        <v>83.983862780427785</v>
      </c>
      <c r="M635" s="11" t="s">
        <v>136</v>
      </c>
      <c r="N635" s="11" t="s">
        <v>261</v>
      </c>
      <c r="O635" s="11" t="s">
        <v>261</v>
      </c>
      <c r="P635" s="27" t="s">
        <v>138</v>
      </c>
      <c r="Q635" s="11" t="s">
        <v>34</v>
      </c>
      <c r="R635" s="2">
        <f t="shared" si="248"/>
        <v>10449475.91</v>
      </c>
      <c r="S635" s="2">
        <v>8426591.9100000001</v>
      </c>
      <c r="T635" s="2">
        <v>2022884</v>
      </c>
      <c r="U635" s="2">
        <f t="shared" si="253"/>
        <v>0</v>
      </c>
      <c r="V635" s="28">
        <v>0</v>
      </c>
      <c r="W635" s="28">
        <v>0</v>
      </c>
      <c r="X635" s="2">
        <f t="shared" si="250"/>
        <v>1992766.64</v>
      </c>
      <c r="Y635" s="2">
        <v>1487045.64</v>
      </c>
      <c r="Z635" s="2">
        <v>505721</v>
      </c>
      <c r="AA635" s="2">
        <f t="shared" si="251"/>
        <v>0</v>
      </c>
      <c r="AB635" s="2">
        <v>0</v>
      </c>
      <c r="AC635" s="2">
        <v>0</v>
      </c>
      <c r="AD635" s="16">
        <f t="shared" si="240"/>
        <v>12442242.550000001</v>
      </c>
      <c r="AE635" s="2">
        <v>0</v>
      </c>
      <c r="AF635" s="2">
        <f t="shared" si="252"/>
        <v>12442242.550000001</v>
      </c>
      <c r="AG635" s="38" t="s">
        <v>486</v>
      </c>
      <c r="AH635" s="29" t="s">
        <v>2542</v>
      </c>
      <c r="AI635" s="30">
        <f>751571.65+520506.47+372497.42+168509.52+160669.36+74116.93+114447.13+65215.99</f>
        <v>2227534.4700000002</v>
      </c>
      <c r="AJ635" s="137">
        <v>0</v>
      </c>
    </row>
    <row r="636" spans="1:109" s="185" customFormat="1" ht="220.5" x14ac:dyDescent="0.25">
      <c r="A636" s="6">
        <v>633</v>
      </c>
      <c r="B636" s="31">
        <v>119741</v>
      </c>
      <c r="C636" s="11">
        <v>63</v>
      </c>
      <c r="D636" s="32" t="s">
        <v>1639</v>
      </c>
      <c r="E636" s="10" t="s">
        <v>129</v>
      </c>
      <c r="F636" s="11" t="s">
        <v>134</v>
      </c>
      <c r="G636" s="11" t="s">
        <v>133</v>
      </c>
      <c r="H636" s="8" t="s">
        <v>151</v>
      </c>
      <c r="I636" s="46" t="s">
        <v>135</v>
      </c>
      <c r="J636" s="25">
        <v>43063</v>
      </c>
      <c r="K636" s="25">
        <v>44189</v>
      </c>
      <c r="L636" s="26">
        <f t="shared" si="247"/>
        <v>83.983863432139401</v>
      </c>
      <c r="M636" s="11" t="s">
        <v>136</v>
      </c>
      <c r="N636" s="11" t="s">
        <v>261</v>
      </c>
      <c r="O636" s="11" t="s">
        <v>261</v>
      </c>
      <c r="P636" s="27" t="s">
        <v>138</v>
      </c>
      <c r="Q636" s="11" t="s">
        <v>34</v>
      </c>
      <c r="R636" s="2">
        <f t="shared" si="248"/>
        <v>2142489.5299999998</v>
      </c>
      <c r="S636" s="2">
        <v>1727731.1199999994</v>
      </c>
      <c r="T636" s="2">
        <v>414758.41000000021</v>
      </c>
      <c r="U636" s="2">
        <f t="shared" si="253"/>
        <v>0</v>
      </c>
      <c r="V636" s="28">
        <v>0</v>
      </c>
      <c r="W636" s="28">
        <v>0</v>
      </c>
      <c r="X636" s="2">
        <f t="shared" si="250"/>
        <v>408583.31</v>
      </c>
      <c r="Y636" s="2">
        <v>304893.74</v>
      </c>
      <c r="Z636" s="2">
        <v>103689.57</v>
      </c>
      <c r="AA636" s="2">
        <f t="shared" si="251"/>
        <v>0</v>
      </c>
      <c r="AB636" s="2">
        <v>0</v>
      </c>
      <c r="AC636" s="2">
        <v>0</v>
      </c>
      <c r="AD636" s="16">
        <f t="shared" si="240"/>
        <v>2551072.84</v>
      </c>
      <c r="AE636" s="2">
        <v>0</v>
      </c>
      <c r="AF636" s="2">
        <f t="shared" si="252"/>
        <v>2551072.84</v>
      </c>
      <c r="AG636" s="38" t="s">
        <v>857</v>
      </c>
      <c r="AH636" s="29" t="s">
        <v>1671</v>
      </c>
      <c r="AI636" s="30">
        <f>1030343.44+458119.11+71702.9</f>
        <v>1560165.4499999997</v>
      </c>
      <c r="AJ636" s="137">
        <v>0</v>
      </c>
      <c r="AK636" s="179"/>
      <c r="AL636" s="179"/>
      <c r="AM636" s="179"/>
      <c r="AN636" s="179"/>
      <c r="AO636" s="179"/>
      <c r="AP636" s="179"/>
      <c r="AQ636" s="179"/>
      <c r="AR636" s="179"/>
      <c r="AS636" s="179"/>
      <c r="AT636" s="179"/>
      <c r="AU636" s="179"/>
      <c r="AV636" s="179"/>
      <c r="AW636" s="179"/>
      <c r="AX636" s="179"/>
      <c r="AY636" s="179"/>
      <c r="AZ636" s="179"/>
      <c r="BA636" s="179"/>
      <c r="BB636" s="179"/>
      <c r="BC636" s="179"/>
      <c r="BD636" s="179"/>
      <c r="BE636" s="179"/>
      <c r="BF636" s="179"/>
      <c r="BG636" s="179"/>
      <c r="BH636" s="179"/>
      <c r="BI636" s="179"/>
      <c r="BJ636" s="179"/>
      <c r="BK636" s="179"/>
      <c r="BL636" s="179"/>
      <c r="BM636" s="179"/>
      <c r="BN636" s="179"/>
      <c r="BO636" s="179"/>
      <c r="BP636" s="179"/>
      <c r="BQ636" s="179"/>
      <c r="BR636" s="179"/>
      <c r="BS636" s="179"/>
      <c r="BT636" s="179"/>
      <c r="BU636" s="179"/>
      <c r="BV636" s="179"/>
      <c r="BW636" s="179"/>
      <c r="BX636" s="179"/>
      <c r="BY636" s="179"/>
      <c r="BZ636" s="179"/>
      <c r="CA636" s="179"/>
      <c r="CB636" s="179"/>
      <c r="CC636" s="179"/>
      <c r="CD636" s="179"/>
      <c r="CE636" s="179"/>
      <c r="CF636" s="179"/>
      <c r="CG636" s="179"/>
      <c r="CH636" s="179"/>
      <c r="CI636" s="179"/>
      <c r="CJ636" s="179"/>
      <c r="CK636" s="179"/>
      <c r="CL636" s="179"/>
      <c r="CM636" s="179"/>
      <c r="CN636" s="179"/>
      <c r="CO636" s="179"/>
      <c r="CP636" s="179"/>
      <c r="CQ636" s="179"/>
      <c r="CR636" s="179"/>
      <c r="CS636" s="179"/>
      <c r="CT636" s="179"/>
      <c r="CU636" s="179"/>
      <c r="CV636" s="179"/>
      <c r="CW636" s="179"/>
      <c r="CX636" s="179"/>
      <c r="CY636" s="179"/>
      <c r="CZ636" s="179"/>
      <c r="DA636" s="179"/>
      <c r="DB636" s="179"/>
      <c r="DC636" s="179"/>
      <c r="DD636" s="179"/>
      <c r="DE636" s="179"/>
    </row>
    <row r="637" spans="1:109" s="185" customFormat="1" ht="267.75" x14ac:dyDescent="0.25">
      <c r="A637" s="6">
        <v>634</v>
      </c>
      <c r="B637" s="31">
        <v>119983</v>
      </c>
      <c r="C637" s="11">
        <v>58</v>
      </c>
      <c r="D637" s="11" t="s">
        <v>143</v>
      </c>
      <c r="E637" s="10" t="s">
        <v>110</v>
      </c>
      <c r="F637" s="11" t="s">
        <v>120</v>
      </c>
      <c r="G637" s="11" t="s">
        <v>1397</v>
      </c>
      <c r="H637" s="11" t="s">
        <v>159</v>
      </c>
      <c r="I637" s="46" t="s">
        <v>121</v>
      </c>
      <c r="J637" s="25">
        <v>42963</v>
      </c>
      <c r="K637" s="25">
        <v>44973</v>
      </c>
      <c r="L637" s="26">
        <f t="shared" si="247"/>
        <v>83.983863145848687</v>
      </c>
      <c r="M637" s="11" t="s">
        <v>136</v>
      </c>
      <c r="N637" s="11" t="s">
        <v>261</v>
      </c>
      <c r="O637" s="11" t="s">
        <v>261</v>
      </c>
      <c r="P637" s="27" t="s">
        <v>138</v>
      </c>
      <c r="Q637" s="11" t="s">
        <v>34</v>
      </c>
      <c r="R637" s="2">
        <f t="shared" ref="R637:R668" si="254">S637+T637</f>
        <v>7929466.1100000003</v>
      </c>
      <c r="S637" s="2">
        <v>6394423.5700000003</v>
      </c>
      <c r="T637" s="2">
        <v>1535042.54</v>
      </c>
      <c r="U637" s="2">
        <f t="shared" si="253"/>
        <v>0</v>
      </c>
      <c r="V637" s="28">
        <v>0</v>
      </c>
      <c r="W637" s="28">
        <v>0</v>
      </c>
      <c r="X637" s="2">
        <f t="shared" ref="X637:X668" si="255">Y637+Z637</f>
        <v>1512188.29</v>
      </c>
      <c r="Y637" s="2">
        <v>1128427.6499999999</v>
      </c>
      <c r="Z637" s="2">
        <v>383760.64000000001</v>
      </c>
      <c r="AA637" s="2">
        <f t="shared" ref="AA637:AA668" si="256">AB637+AC637</f>
        <v>0</v>
      </c>
      <c r="AB637" s="2">
        <v>0</v>
      </c>
      <c r="AC637" s="2">
        <v>0</v>
      </c>
      <c r="AD637" s="16">
        <f t="shared" si="240"/>
        <v>9441654.4000000004</v>
      </c>
      <c r="AE637" s="2">
        <v>655333</v>
      </c>
      <c r="AF637" s="2">
        <f t="shared" ref="AF637:AF668" si="257">AD637+AE637</f>
        <v>10096987.4</v>
      </c>
      <c r="AG637" s="38" t="s">
        <v>486</v>
      </c>
      <c r="AH637" s="29" t="s">
        <v>3165</v>
      </c>
      <c r="AI637" s="30">
        <f>27068+159937+61959.1+719797.57+221414.47+187753.57+107980.58+122867.55+589498.4</f>
        <v>2198276.2400000002</v>
      </c>
      <c r="AJ637" s="137">
        <v>0</v>
      </c>
    </row>
    <row r="638" spans="1:109" s="179" customFormat="1" ht="267.75" x14ac:dyDescent="0.25">
      <c r="A638" s="6">
        <v>635</v>
      </c>
      <c r="B638" s="31">
        <v>119957</v>
      </c>
      <c r="C638" s="11">
        <v>136</v>
      </c>
      <c r="D638" s="11" t="s">
        <v>146</v>
      </c>
      <c r="E638" s="10" t="s">
        <v>126</v>
      </c>
      <c r="F638" s="11" t="s">
        <v>127</v>
      </c>
      <c r="G638" s="11" t="s">
        <v>74</v>
      </c>
      <c r="H638" s="11" t="s">
        <v>1361</v>
      </c>
      <c r="I638" s="46" t="s">
        <v>128</v>
      </c>
      <c r="J638" s="25">
        <v>43047</v>
      </c>
      <c r="K638" s="25">
        <v>44812</v>
      </c>
      <c r="L638" s="26">
        <f t="shared" si="247"/>
        <v>83.983862817182768</v>
      </c>
      <c r="M638" s="11" t="s">
        <v>136</v>
      </c>
      <c r="N638" s="11" t="s">
        <v>261</v>
      </c>
      <c r="O638" s="11" t="s">
        <v>261</v>
      </c>
      <c r="P638" s="27" t="s">
        <v>138</v>
      </c>
      <c r="Q638" s="11" t="s">
        <v>34</v>
      </c>
      <c r="R638" s="2">
        <f t="shared" si="254"/>
        <v>30125053.869999997</v>
      </c>
      <c r="S638" s="2">
        <v>24293231.27</v>
      </c>
      <c r="T638" s="2">
        <v>5831822.5999999996</v>
      </c>
      <c r="U638" s="2">
        <f t="shared" si="253"/>
        <v>0</v>
      </c>
      <c r="V638" s="28">
        <v>0</v>
      </c>
      <c r="W638" s="28">
        <v>0</v>
      </c>
      <c r="X638" s="2">
        <f t="shared" si="255"/>
        <v>5744996.4699999997</v>
      </c>
      <c r="Y638" s="2">
        <v>4287040.8499999996</v>
      </c>
      <c r="Z638" s="2">
        <v>1457955.62</v>
      </c>
      <c r="AA638" s="2">
        <f t="shared" si="256"/>
        <v>0</v>
      </c>
      <c r="AB638" s="2">
        <v>0</v>
      </c>
      <c r="AC638" s="2">
        <v>0</v>
      </c>
      <c r="AD638" s="16">
        <f t="shared" si="240"/>
        <v>35870050.339999996</v>
      </c>
      <c r="AE638" s="2">
        <v>0</v>
      </c>
      <c r="AF638" s="2">
        <f t="shared" si="257"/>
        <v>35870050.339999996</v>
      </c>
      <c r="AG638" s="38" t="s">
        <v>857</v>
      </c>
      <c r="AH638" s="29" t="s">
        <v>2047</v>
      </c>
      <c r="AI638" s="30">
        <f>2761684.65+10585240.81+72837.53+264408.01+275499.82+1926939.26+6815712.67+179426.49+175361.67+1278103.53+187533.44+106549.06+45646.91+4903835.37</f>
        <v>29578779.220000003</v>
      </c>
      <c r="AJ638" s="137">
        <v>0</v>
      </c>
    </row>
    <row r="639" spans="1:109" s="179" customFormat="1" ht="141.75" x14ac:dyDescent="0.25">
      <c r="A639" s="6">
        <v>636</v>
      </c>
      <c r="B639" s="31">
        <v>110215</v>
      </c>
      <c r="C639" s="11">
        <v>139</v>
      </c>
      <c r="D639" s="11" t="s">
        <v>143</v>
      </c>
      <c r="E639" s="24" t="s">
        <v>270</v>
      </c>
      <c r="F639" s="27" t="s">
        <v>836</v>
      </c>
      <c r="G639" s="27" t="s">
        <v>837</v>
      </c>
      <c r="H639" s="8" t="s">
        <v>151</v>
      </c>
      <c r="I639" s="120" t="s">
        <v>838</v>
      </c>
      <c r="J639" s="25">
        <v>43357</v>
      </c>
      <c r="K639" s="25">
        <v>43844</v>
      </c>
      <c r="L639" s="26">
        <f t="shared" si="247"/>
        <v>82.304183894733001</v>
      </c>
      <c r="M639" s="11" t="s">
        <v>272</v>
      </c>
      <c r="N639" s="11" t="s">
        <v>186</v>
      </c>
      <c r="O639" s="11" t="s">
        <v>839</v>
      </c>
      <c r="P639" s="27" t="s">
        <v>274</v>
      </c>
      <c r="Q639" s="56" t="s">
        <v>34</v>
      </c>
      <c r="R639" s="2">
        <f t="shared" si="254"/>
        <v>799287.37</v>
      </c>
      <c r="S639" s="2">
        <v>644555.61</v>
      </c>
      <c r="T639" s="2">
        <v>154731.76</v>
      </c>
      <c r="U639" s="2">
        <f t="shared" si="253"/>
        <v>152428.06</v>
      </c>
      <c r="V639" s="28">
        <v>113745.12</v>
      </c>
      <c r="W639" s="28">
        <v>38682.94</v>
      </c>
      <c r="X639" s="2">
        <f t="shared" si="255"/>
        <v>0</v>
      </c>
      <c r="Y639" s="2">
        <v>0</v>
      </c>
      <c r="Z639" s="2">
        <v>0</v>
      </c>
      <c r="AA639" s="2">
        <f t="shared" si="256"/>
        <v>19422.77</v>
      </c>
      <c r="AB639" s="2">
        <v>15475.55</v>
      </c>
      <c r="AC639" s="2">
        <v>3947.22</v>
      </c>
      <c r="AD639" s="16">
        <f t="shared" si="240"/>
        <v>971138.2</v>
      </c>
      <c r="AE639" s="2">
        <v>0</v>
      </c>
      <c r="AF639" s="2">
        <f t="shared" si="257"/>
        <v>971138.2</v>
      </c>
      <c r="AG639" s="38" t="s">
        <v>857</v>
      </c>
      <c r="AH639" s="29" t="s">
        <v>1192</v>
      </c>
      <c r="AI639" s="30">
        <f>97000-12225.11+76329.94+54447.72+71579.61+92674.11+104473.49+126688.56+96579.85-13634.34-3831.78</f>
        <v>690082.05</v>
      </c>
      <c r="AJ639" s="130">
        <f>12225.11+10383.44+13650.58+17673.4+19923.6+24160.13+18418.25+13634.34+1533.19</f>
        <v>131602.04</v>
      </c>
    </row>
    <row r="640" spans="1:109" s="179" customFormat="1" ht="141.75" x14ac:dyDescent="0.25">
      <c r="A640" s="6">
        <v>637</v>
      </c>
      <c r="B640" s="31">
        <v>111983</v>
      </c>
      <c r="C640" s="11">
        <v>238</v>
      </c>
      <c r="D640" s="11" t="s">
        <v>143</v>
      </c>
      <c r="E640" s="24" t="s">
        <v>270</v>
      </c>
      <c r="F640" s="27" t="s">
        <v>512</v>
      </c>
      <c r="G640" s="11" t="s">
        <v>513</v>
      </c>
      <c r="H640" s="8" t="s">
        <v>151</v>
      </c>
      <c r="I640" s="12" t="s">
        <v>2931</v>
      </c>
      <c r="J640" s="25">
        <v>43270</v>
      </c>
      <c r="K640" s="25">
        <v>43880</v>
      </c>
      <c r="L640" s="26">
        <f t="shared" si="247"/>
        <v>82.304184684756876</v>
      </c>
      <c r="M640" s="11" t="s">
        <v>272</v>
      </c>
      <c r="N640" s="11" t="s">
        <v>261</v>
      </c>
      <c r="O640" s="11" t="s">
        <v>261</v>
      </c>
      <c r="P640" s="27" t="s">
        <v>274</v>
      </c>
      <c r="Q640" s="11" t="s">
        <v>34</v>
      </c>
      <c r="R640" s="2">
        <f t="shared" si="254"/>
        <v>768299.49</v>
      </c>
      <c r="S640" s="2">
        <v>619566.6</v>
      </c>
      <c r="T640" s="2">
        <v>148732.89000000001</v>
      </c>
      <c r="U640" s="2">
        <f t="shared" si="253"/>
        <v>146518.51</v>
      </c>
      <c r="V640" s="28">
        <v>109335.29</v>
      </c>
      <c r="W640" s="28">
        <v>37183.22</v>
      </c>
      <c r="X640" s="2">
        <f t="shared" si="255"/>
        <v>0</v>
      </c>
      <c r="Y640" s="2">
        <v>0</v>
      </c>
      <c r="Z640" s="2">
        <v>0</v>
      </c>
      <c r="AA640" s="2">
        <f t="shared" si="256"/>
        <v>18669.759999999998</v>
      </c>
      <c r="AB640" s="2">
        <v>14875.55</v>
      </c>
      <c r="AC640" s="2">
        <v>3794.21</v>
      </c>
      <c r="AD640" s="16">
        <f t="shared" si="240"/>
        <v>933487.76</v>
      </c>
      <c r="AE640" s="2">
        <v>0</v>
      </c>
      <c r="AF640" s="2">
        <f t="shared" si="257"/>
        <v>933487.76</v>
      </c>
      <c r="AG640" s="38" t="s">
        <v>857</v>
      </c>
      <c r="AH640" s="29" t="s">
        <v>1392</v>
      </c>
      <c r="AI640" s="30">
        <f>412300.12+97046.16+93000+18147.29+37314.74</f>
        <v>657808.31000000006</v>
      </c>
      <c r="AJ640" s="130">
        <f>11017.56+15316.94+17051+17506.62+36242.76+21196.3+7116.12</f>
        <v>125447.3</v>
      </c>
    </row>
    <row r="641" spans="1:36" s="179" customFormat="1" ht="204.75" x14ac:dyDescent="0.25">
      <c r="A641" s="6">
        <v>638</v>
      </c>
      <c r="B641" s="31">
        <v>115784</v>
      </c>
      <c r="C641" s="11">
        <v>388</v>
      </c>
      <c r="D641" s="138" t="s">
        <v>143</v>
      </c>
      <c r="E641" s="139" t="s">
        <v>373</v>
      </c>
      <c r="F641" s="27" t="s">
        <v>639</v>
      </c>
      <c r="G641" s="11" t="s">
        <v>1714</v>
      </c>
      <c r="H641" s="8" t="s">
        <v>151</v>
      </c>
      <c r="I641" s="120" t="s">
        <v>2932</v>
      </c>
      <c r="J641" s="25">
        <v>43297</v>
      </c>
      <c r="K641" s="25">
        <v>44393</v>
      </c>
      <c r="L641" s="26">
        <f t="shared" si="247"/>
        <v>83.98386387291859</v>
      </c>
      <c r="M641" s="11" t="s">
        <v>272</v>
      </c>
      <c r="N641" s="11" t="s">
        <v>261</v>
      </c>
      <c r="O641" s="11" t="s">
        <v>261</v>
      </c>
      <c r="P641" s="27" t="s">
        <v>138</v>
      </c>
      <c r="Q641" s="11" t="s">
        <v>34</v>
      </c>
      <c r="R641" s="2">
        <f t="shared" si="254"/>
        <v>2474673.11</v>
      </c>
      <c r="S641" s="2">
        <v>1995608.26</v>
      </c>
      <c r="T641" s="2">
        <v>479064.85</v>
      </c>
      <c r="U641" s="2">
        <f t="shared" si="253"/>
        <v>0</v>
      </c>
      <c r="V641" s="28">
        <v>0</v>
      </c>
      <c r="W641" s="28">
        <v>0</v>
      </c>
      <c r="X641" s="2">
        <f t="shared" si="255"/>
        <v>471932.34</v>
      </c>
      <c r="Y641" s="2">
        <v>352166.13</v>
      </c>
      <c r="Z641" s="2">
        <v>119766.21</v>
      </c>
      <c r="AA641" s="2">
        <f t="shared" si="256"/>
        <v>0</v>
      </c>
      <c r="AB641" s="2">
        <v>0</v>
      </c>
      <c r="AC641" s="2">
        <v>0</v>
      </c>
      <c r="AD641" s="16">
        <f t="shared" si="240"/>
        <v>2946605.4499999997</v>
      </c>
      <c r="AE641" s="2">
        <v>0</v>
      </c>
      <c r="AF641" s="2">
        <f t="shared" si="257"/>
        <v>2946605.4499999997</v>
      </c>
      <c r="AG641" s="38" t="s">
        <v>857</v>
      </c>
      <c r="AH641" s="29" t="s">
        <v>1629</v>
      </c>
      <c r="AI641" s="30">
        <f>547571.35+72285.77+349506.55+195854.16+304943.31</f>
        <v>1470161.14</v>
      </c>
      <c r="AJ641" s="130">
        <v>0</v>
      </c>
    </row>
    <row r="642" spans="1:36" s="179" customFormat="1" ht="141.75" x14ac:dyDescent="0.25">
      <c r="A642" s="6">
        <v>639</v>
      </c>
      <c r="B642" s="31">
        <v>120082</v>
      </c>
      <c r="C642" s="11">
        <v>56</v>
      </c>
      <c r="D642" s="11" t="s">
        <v>145</v>
      </c>
      <c r="E642" s="10" t="s">
        <v>123</v>
      </c>
      <c r="F642" s="11" t="s">
        <v>124</v>
      </c>
      <c r="G642" s="11" t="s">
        <v>122</v>
      </c>
      <c r="H642" s="11" t="s">
        <v>167</v>
      </c>
      <c r="I642" s="46" t="s">
        <v>125</v>
      </c>
      <c r="J642" s="25">
        <v>43006</v>
      </c>
      <c r="K642" s="25">
        <v>44893</v>
      </c>
      <c r="L642" s="26">
        <f t="shared" si="247"/>
        <v>83.983862982489967</v>
      </c>
      <c r="M642" s="11" t="s">
        <v>136</v>
      </c>
      <c r="N642" s="11" t="s">
        <v>261</v>
      </c>
      <c r="O642" s="11" t="s">
        <v>261</v>
      </c>
      <c r="P642" s="27" t="s">
        <v>138</v>
      </c>
      <c r="Q642" s="11" t="s">
        <v>34</v>
      </c>
      <c r="R642" s="2">
        <f t="shared" si="254"/>
        <v>4979483.55</v>
      </c>
      <c r="S642" s="2">
        <v>4015519.63</v>
      </c>
      <c r="T642" s="2">
        <v>963963.92</v>
      </c>
      <c r="U642" s="2">
        <f t="shared" si="253"/>
        <v>0</v>
      </c>
      <c r="V642" s="28">
        <v>0</v>
      </c>
      <c r="W642" s="28">
        <v>0</v>
      </c>
      <c r="X642" s="2">
        <f t="shared" si="255"/>
        <v>949612.08</v>
      </c>
      <c r="Y642" s="2">
        <v>708621.12</v>
      </c>
      <c r="Z642" s="2">
        <v>240990.96</v>
      </c>
      <c r="AA642" s="2">
        <f t="shared" si="256"/>
        <v>0</v>
      </c>
      <c r="AB642" s="2">
        <v>0</v>
      </c>
      <c r="AC642" s="2">
        <v>0</v>
      </c>
      <c r="AD642" s="16">
        <f t="shared" si="240"/>
        <v>5929095.6299999999</v>
      </c>
      <c r="AE642" s="2">
        <v>0</v>
      </c>
      <c r="AF642" s="2">
        <f t="shared" si="257"/>
        <v>5929095.6299999999</v>
      </c>
      <c r="AG642" s="38" t="s">
        <v>486</v>
      </c>
      <c r="AH642" s="29" t="s">
        <v>2253</v>
      </c>
      <c r="AI642" s="30">
        <f>15818.36+6578.46+48495.02+338393.1+955095.55+38821.54+1658562.29+51202.89</f>
        <v>3112967.2100000004</v>
      </c>
      <c r="AJ642" s="130">
        <v>0</v>
      </c>
    </row>
    <row r="643" spans="1:36" s="179" customFormat="1" ht="141.75" x14ac:dyDescent="0.25">
      <c r="A643" s="6">
        <v>640</v>
      </c>
      <c r="B643" s="31">
        <v>120126</v>
      </c>
      <c r="C643" s="11">
        <v>57</v>
      </c>
      <c r="D643" s="11" t="s">
        <v>145</v>
      </c>
      <c r="E643" s="10" t="s">
        <v>123</v>
      </c>
      <c r="F643" s="11" t="s">
        <v>102</v>
      </c>
      <c r="G643" s="11" t="s">
        <v>99</v>
      </c>
      <c r="H643" s="8" t="s">
        <v>151</v>
      </c>
      <c r="I643" s="46" t="s">
        <v>103</v>
      </c>
      <c r="J643" s="25">
        <v>43060</v>
      </c>
      <c r="K643" s="25">
        <v>44398</v>
      </c>
      <c r="L643" s="26">
        <f t="shared" si="247"/>
        <v>83.983863040591004</v>
      </c>
      <c r="M643" s="11" t="s">
        <v>136</v>
      </c>
      <c r="N643" s="11" t="s">
        <v>261</v>
      </c>
      <c r="O643" s="11" t="s">
        <v>261</v>
      </c>
      <c r="P643" s="27" t="s">
        <v>138</v>
      </c>
      <c r="Q643" s="11" t="s">
        <v>34</v>
      </c>
      <c r="R643" s="2">
        <f t="shared" si="254"/>
        <v>2709276.17</v>
      </c>
      <c r="S643" s="2">
        <v>2184795.1800000002</v>
      </c>
      <c r="T643" s="2">
        <v>524480.99</v>
      </c>
      <c r="U643" s="2">
        <f t="shared" si="253"/>
        <v>0</v>
      </c>
      <c r="V643" s="28">
        <v>0</v>
      </c>
      <c r="W643" s="28">
        <v>0</v>
      </c>
      <c r="X643" s="2">
        <f t="shared" si="255"/>
        <v>516672.33</v>
      </c>
      <c r="Y643" s="2">
        <v>385552.09</v>
      </c>
      <c r="Z643" s="2">
        <v>131120.24</v>
      </c>
      <c r="AA643" s="2">
        <f t="shared" si="256"/>
        <v>0</v>
      </c>
      <c r="AB643" s="2">
        <v>0</v>
      </c>
      <c r="AC643" s="2">
        <v>0</v>
      </c>
      <c r="AD643" s="16">
        <f t="shared" si="240"/>
        <v>3225948.5</v>
      </c>
      <c r="AE643" s="2">
        <v>0</v>
      </c>
      <c r="AF643" s="2">
        <f t="shared" si="257"/>
        <v>3225948.5</v>
      </c>
      <c r="AG643" s="38" t="s">
        <v>857</v>
      </c>
      <c r="AH643" s="41" t="s">
        <v>1746</v>
      </c>
      <c r="AI643" s="30">
        <f>159377.85+1198087.28+435707.45+7077952.51</f>
        <v>8871125.0899999999</v>
      </c>
      <c r="AJ643" s="130">
        <v>0</v>
      </c>
    </row>
    <row r="644" spans="1:36" s="179" customFormat="1" ht="346.5" x14ac:dyDescent="0.25">
      <c r="A644" s="6">
        <v>641</v>
      </c>
      <c r="B644" s="31">
        <v>116172</v>
      </c>
      <c r="C644" s="11">
        <v>391</v>
      </c>
      <c r="D644" s="11" t="s">
        <v>143</v>
      </c>
      <c r="E644" s="24" t="s">
        <v>373</v>
      </c>
      <c r="F644" s="27" t="s">
        <v>384</v>
      </c>
      <c r="G644" s="27" t="s">
        <v>1678</v>
      </c>
      <c r="H644" s="27" t="s">
        <v>385</v>
      </c>
      <c r="I644" s="12" t="s">
        <v>446</v>
      </c>
      <c r="J644" s="25">
        <v>43230</v>
      </c>
      <c r="K644" s="25">
        <v>44875</v>
      </c>
      <c r="L644" s="26">
        <f t="shared" si="247"/>
        <v>83.983863333706537</v>
      </c>
      <c r="M644" s="11" t="s">
        <v>272</v>
      </c>
      <c r="N644" s="11" t="s">
        <v>304</v>
      </c>
      <c r="O644" s="11" t="s">
        <v>304</v>
      </c>
      <c r="P644" s="27" t="s">
        <v>138</v>
      </c>
      <c r="Q644" s="11" t="s">
        <v>34</v>
      </c>
      <c r="R644" s="2">
        <f t="shared" si="254"/>
        <v>6129802.7699999996</v>
      </c>
      <c r="S644" s="2">
        <v>4943151.87</v>
      </c>
      <c r="T644" s="2">
        <v>1186650.8999999999</v>
      </c>
      <c r="U644" s="2">
        <f t="shared" si="253"/>
        <v>0</v>
      </c>
      <c r="V644" s="28">
        <v>0</v>
      </c>
      <c r="W644" s="28">
        <v>0</v>
      </c>
      <c r="X644" s="2">
        <f t="shared" si="255"/>
        <v>1168983.6000000001</v>
      </c>
      <c r="Y644" s="2">
        <v>872320.88</v>
      </c>
      <c r="Z644" s="2">
        <v>296662.71999999997</v>
      </c>
      <c r="AA644" s="2">
        <f t="shared" si="256"/>
        <v>0</v>
      </c>
      <c r="AB644" s="2">
        <v>0</v>
      </c>
      <c r="AC644" s="2">
        <v>0</v>
      </c>
      <c r="AD644" s="16">
        <f t="shared" si="240"/>
        <v>7298786.3699999992</v>
      </c>
      <c r="AE644" s="2">
        <v>416388</v>
      </c>
      <c r="AF644" s="2">
        <f t="shared" si="257"/>
        <v>7715174.3699999992</v>
      </c>
      <c r="AG644" s="38" t="s">
        <v>486</v>
      </c>
      <c r="AH644" s="29" t="s">
        <v>2191</v>
      </c>
      <c r="AI644" s="30">
        <f>306350.64+37282.12+71590.36+880535.54+1594555.41+28229.5+27006.69+605254.41+1669064.23+9399.48</f>
        <v>5229268.3800000008</v>
      </c>
      <c r="AJ644" s="130">
        <v>0</v>
      </c>
    </row>
    <row r="645" spans="1:36" s="185" customFormat="1" ht="204.75" x14ac:dyDescent="0.25">
      <c r="A645" s="6">
        <v>642</v>
      </c>
      <c r="B645" s="31">
        <v>118963</v>
      </c>
      <c r="C645" s="11">
        <v>34</v>
      </c>
      <c r="D645" s="32" t="s">
        <v>1639</v>
      </c>
      <c r="E645" s="10" t="s">
        <v>147</v>
      </c>
      <c r="F645" s="11" t="s">
        <v>88</v>
      </c>
      <c r="G645" s="11" t="s">
        <v>74</v>
      </c>
      <c r="H645" s="11" t="s">
        <v>463</v>
      </c>
      <c r="I645" s="46" t="s">
        <v>89</v>
      </c>
      <c r="J645" s="25">
        <v>42629</v>
      </c>
      <c r="K645" s="25">
        <v>43540</v>
      </c>
      <c r="L645" s="26">
        <f t="shared" si="247"/>
        <v>83.983862803496507</v>
      </c>
      <c r="M645" s="11" t="s">
        <v>136</v>
      </c>
      <c r="N645" s="11" t="s">
        <v>261</v>
      </c>
      <c r="O645" s="11" t="s">
        <v>261</v>
      </c>
      <c r="P645" s="27" t="s">
        <v>138</v>
      </c>
      <c r="Q645" s="11" t="s">
        <v>34</v>
      </c>
      <c r="R645" s="2">
        <f t="shared" si="254"/>
        <v>4117071.25</v>
      </c>
      <c r="S645" s="2">
        <v>3320059.26</v>
      </c>
      <c r="T645" s="2">
        <v>797011.99</v>
      </c>
      <c r="U645" s="2">
        <f t="shared" ref="U645:U676" si="258">V645+W645</f>
        <v>0</v>
      </c>
      <c r="V645" s="28">
        <v>0</v>
      </c>
      <c r="W645" s="28">
        <v>0</v>
      </c>
      <c r="X645" s="2">
        <f t="shared" si="255"/>
        <v>785145.81</v>
      </c>
      <c r="Y645" s="2">
        <v>585892.81000000006</v>
      </c>
      <c r="Z645" s="2">
        <v>199253</v>
      </c>
      <c r="AA645" s="2">
        <f t="shared" si="256"/>
        <v>0</v>
      </c>
      <c r="AB645" s="2">
        <v>0</v>
      </c>
      <c r="AC645" s="2">
        <v>0</v>
      </c>
      <c r="AD645" s="16">
        <f t="shared" ref="AD645:AD708" si="259">R645+U645+X645+AA645</f>
        <v>4902217.0600000005</v>
      </c>
      <c r="AE645" s="2">
        <v>0</v>
      </c>
      <c r="AF645" s="2">
        <f t="shared" si="257"/>
        <v>4902217.0600000005</v>
      </c>
      <c r="AG645" s="21" t="s">
        <v>857</v>
      </c>
      <c r="AH645" s="29" t="s">
        <v>153</v>
      </c>
      <c r="AI645" s="30">
        <f>1460741.83+228438.52+391513.86+234930.38+421082.6+869050.66+18896.37</f>
        <v>3624654.22</v>
      </c>
      <c r="AJ645" s="130">
        <v>0</v>
      </c>
    </row>
    <row r="646" spans="1:36" s="185" customFormat="1" ht="141.75" x14ac:dyDescent="0.25">
      <c r="A646" s="6">
        <v>643</v>
      </c>
      <c r="B646" s="31">
        <v>118964</v>
      </c>
      <c r="C646" s="11">
        <v>35</v>
      </c>
      <c r="D646" s="32" t="s">
        <v>1639</v>
      </c>
      <c r="E646" s="10" t="s">
        <v>147</v>
      </c>
      <c r="F646" s="11" t="s">
        <v>90</v>
      </c>
      <c r="G646" s="11" t="s">
        <v>74</v>
      </c>
      <c r="H646" s="11" t="s">
        <v>683</v>
      </c>
      <c r="I646" s="46" t="s">
        <v>91</v>
      </c>
      <c r="J646" s="25">
        <v>42670</v>
      </c>
      <c r="K646" s="25">
        <v>43796</v>
      </c>
      <c r="L646" s="26">
        <f t="shared" si="247"/>
        <v>83.983860041638508</v>
      </c>
      <c r="M646" s="11" t="s">
        <v>136</v>
      </c>
      <c r="N646" s="11" t="s">
        <v>261</v>
      </c>
      <c r="O646" s="11" t="s">
        <v>261</v>
      </c>
      <c r="P646" s="27" t="s">
        <v>138</v>
      </c>
      <c r="Q646" s="11" t="s">
        <v>34</v>
      </c>
      <c r="R646" s="2">
        <f t="shared" si="254"/>
        <v>1279634.26</v>
      </c>
      <c r="S646" s="2">
        <v>1031913.55</v>
      </c>
      <c r="T646" s="2">
        <v>247720.71</v>
      </c>
      <c r="U646" s="2">
        <f t="shared" si="258"/>
        <v>0</v>
      </c>
      <c r="V646" s="28">
        <v>0</v>
      </c>
      <c r="W646" s="28">
        <v>0</v>
      </c>
      <c r="X646" s="2">
        <f t="shared" si="255"/>
        <v>244032.62</v>
      </c>
      <c r="Y646" s="2">
        <v>182102.42</v>
      </c>
      <c r="Z646" s="2">
        <v>61930.2</v>
      </c>
      <c r="AA646" s="2">
        <f t="shared" si="256"/>
        <v>0</v>
      </c>
      <c r="AB646" s="2">
        <v>0</v>
      </c>
      <c r="AC646" s="2">
        <v>0</v>
      </c>
      <c r="AD646" s="16">
        <f t="shared" si="259"/>
        <v>1523666.88</v>
      </c>
      <c r="AE646" s="2">
        <v>0</v>
      </c>
      <c r="AF646" s="2">
        <f t="shared" si="257"/>
        <v>1523666.88</v>
      </c>
      <c r="AG646" s="21" t="s">
        <v>857</v>
      </c>
      <c r="AH646" s="29" t="s">
        <v>1205</v>
      </c>
      <c r="AI646" s="30">
        <f>122689.41+119337.51+49801.59+108022.55+173686.44+582492.4</f>
        <v>1156029.8999999999</v>
      </c>
      <c r="AJ646" s="130">
        <v>0</v>
      </c>
    </row>
    <row r="647" spans="1:36" s="185" customFormat="1" ht="141.75" x14ac:dyDescent="0.25">
      <c r="A647" s="6">
        <v>644</v>
      </c>
      <c r="B647" s="31">
        <v>119981</v>
      </c>
      <c r="C647" s="11">
        <v>36</v>
      </c>
      <c r="D647" s="32" t="s">
        <v>1639</v>
      </c>
      <c r="E647" s="10" t="s">
        <v>147</v>
      </c>
      <c r="F647" s="11" t="s">
        <v>92</v>
      </c>
      <c r="G647" s="11" t="s">
        <v>71</v>
      </c>
      <c r="H647" s="8" t="s">
        <v>151</v>
      </c>
      <c r="I647" s="46" t="s">
        <v>93</v>
      </c>
      <c r="J647" s="25">
        <v>42579</v>
      </c>
      <c r="K647" s="25">
        <v>43462</v>
      </c>
      <c r="L647" s="26">
        <f t="shared" si="247"/>
        <v>83.983863111728837</v>
      </c>
      <c r="M647" s="11" t="s">
        <v>136</v>
      </c>
      <c r="N647" s="11" t="s">
        <v>261</v>
      </c>
      <c r="O647" s="11" t="s">
        <v>261</v>
      </c>
      <c r="P647" s="27" t="s">
        <v>138</v>
      </c>
      <c r="Q647" s="11" t="s">
        <v>34</v>
      </c>
      <c r="R647" s="2">
        <f t="shared" si="254"/>
        <v>1627939.8599999999</v>
      </c>
      <c r="S647" s="2">
        <v>1312791.6599999999</v>
      </c>
      <c r="T647" s="2">
        <v>315148.2</v>
      </c>
      <c r="U647" s="2">
        <f t="shared" si="258"/>
        <v>0</v>
      </c>
      <c r="V647" s="28">
        <v>0</v>
      </c>
      <c r="W647" s="28">
        <v>0</v>
      </c>
      <c r="X647" s="2">
        <f t="shared" si="255"/>
        <v>310456.15999999997</v>
      </c>
      <c r="Y647" s="2">
        <v>231669.11</v>
      </c>
      <c r="Z647" s="2">
        <v>78787.05</v>
      </c>
      <c r="AA647" s="2">
        <f t="shared" si="256"/>
        <v>0</v>
      </c>
      <c r="AB647" s="2">
        <v>0</v>
      </c>
      <c r="AC647" s="2">
        <v>0</v>
      </c>
      <c r="AD647" s="16">
        <f t="shared" si="259"/>
        <v>1938396.0199999998</v>
      </c>
      <c r="AE647" s="2">
        <v>0</v>
      </c>
      <c r="AF647" s="2">
        <f t="shared" si="257"/>
        <v>1938396.0199999998</v>
      </c>
      <c r="AG647" s="21" t="s">
        <v>857</v>
      </c>
      <c r="AH647" s="29" t="s">
        <v>154</v>
      </c>
      <c r="AI647" s="30">
        <f>559604.06+125761.16+33457.13+622518.23+7475.79+33855.21+3996.8</f>
        <v>1386668.3800000001</v>
      </c>
      <c r="AJ647" s="130">
        <v>0</v>
      </c>
    </row>
    <row r="648" spans="1:36" s="185" customFormat="1" ht="157.5" x14ac:dyDescent="0.25">
      <c r="A648" s="6">
        <v>645</v>
      </c>
      <c r="B648" s="31">
        <v>120414</v>
      </c>
      <c r="C648" s="11">
        <v>61</v>
      </c>
      <c r="D648" s="32" t="s">
        <v>1639</v>
      </c>
      <c r="E648" s="10" t="s">
        <v>129</v>
      </c>
      <c r="F648" s="11" t="s">
        <v>130</v>
      </c>
      <c r="G648" s="27" t="s">
        <v>1717</v>
      </c>
      <c r="H648" s="8" t="s">
        <v>151</v>
      </c>
      <c r="I648" s="46" t="s">
        <v>557</v>
      </c>
      <c r="J648" s="25">
        <v>42893</v>
      </c>
      <c r="K648" s="25">
        <v>44172</v>
      </c>
      <c r="L648" s="26">
        <f t="shared" si="247"/>
        <v>83.983863338887815</v>
      </c>
      <c r="M648" s="11" t="s">
        <v>136</v>
      </c>
      <c r="N648" s="11" t="s">
        <v>261</v>
      </c>
      <c r="O648" s="11" t="s">
        <v>261</v>
      </c>
      <c r="P648" s="27" t="s">
        <v>138</v>
      </c>
      <c r="Q648" s="11" t="s">
        <v>34</v>
      </c>
      <c r="R648" s="2">
        <f t="shared" si="254"/>
        <v>4817465.95</v>
      </c>
      <c r="S648" s="2">
        <v>3884866.57</v>
      </c>
      <c r="T648" s="2">
        <v>932599.38</v>
      </c>
      <c r="U648" s="2">
        <f t="shared" si="258"/>
        <v>0</v>
      </c>
      <c r="V648" s="28">
        <v>0</v>
      </c>
      <c r="W648" s="28">
        <v>0</v>
      </c>
      <c r="X648" s="2">
        <f t="shared" si="255"/>
        <v>918714.5</v>
      </c>
      <c r="Y648" s="2">
        <v>685564.65</v>
      </c>
      <c r="Z648" s="2">
        <v>233149.85</v>
      </c>
      <c r="AA648" s="2">
        <f t="shared" si="256"/>
        <v>0</v>
      </c>
      <c r="AB648" s="2">
        <v>0</v>
      </c>
      <c r="AC648" s="2">
        <v>0</v>
      </c>
      <c r="AD648" s="16">
        <f t="shared" si="259"/>
        <v>5736180.4500000002</v>
      </c>
      <c r="AE648" s="2">
        <v>0</v>
      </c>
      <c r="AF648" s="2">
        <f t="shared" si="257"/>
        <v>5736180.4500000002</v>
      </c>
      <c r="AG648" s="38" t="s">
        <v>857</v>
      </c>
      <c r="AH648" s="29" t="s">
        <v>1606</v>
      </c>
      <c r="AI648" s="30">
        <f>2217957.44+326592.36+100825.99</f>
        <v>2645375.79</v>
      </c>
      <c r="AJ648" s="30">
        <v>116391.22</v>
      </c>
    </row>
    <row r="649" spans="1:36" s="179" customFormat="1" ht="267.75" x14ac:dyDescent="0.25">
      <c r="A649" s="6">
        <v>646</v>
      </c>
      <c r="B649" s="31">
        <v>116103</v>
      </c>
      <c r="C649" s="11">
        <v>393</v>
      </c>
      <c r="D649" s="11" t="s">
        <v>143</v>
      </c>
      <c r="E649" s="24" t="s">
        <v>373</v>
      </c>
      <c r="F649" s="27" t="s">
        <v>957</v>
      </c>
      <c r="G649" s="11" t="s">
        <v>1349</v>
      </c>
      <c r="H649" s="32" t="s">
        <v>958</v>
      </c>
      <c r="I649" s="12" t="s">
        <v>2933</v>
      </c>
      <c r="J649" s="25">
        <v>43453</v>
      </c>
      <c r="K649" s="25">
        <v>44246</v>
      </c>
      <c r="L649" s="26">
        <f t="shared" si="247"/>
        <v>83.983863795592953</v>
      </c>
      <c r="M649" s="11" t="s">
        <v>272</v>
      </c>
      <c r="N649" s="11" t="s">
        <v>261</v>
      </c>
      <c r="O649" s="11" t="s">
        <v>261</v>
      </c>
      <c r="P649" s="27" t="s">
        <v>138</v>
      </c>
      <c r="Q649" s="11" t="s">
        <v>34</v>
      </c>
      <c r="R649" s="2">
        <f t="shared" si="254"/>
        <v>6662642.3999999994</v>
      </c>
      <c r="S649" s="2">
        <v>5372840.6399999997</v>
      </c>
      <c r="T649" s="2">
        <v>1289801.76</v>
      </c>
      <c r="U649" s="2">
        <f t="shared" si="258"/>
        <v>545363.42999999993</v>
      </c>
      <c r="V649" s="28">
        <v>403028.04</v>
      </c>
      <c r="W649" s="28">
        <v>142335.39000000001</v>
      </c>
      <c r="X649" s="2">
        <f t="shared" si="255"/>
        <v>725235.27</v>
      </c>
      <c r="Y649" s="2">
        <v>545120.19999999995</v>
      </c>
      <c r="Z649" s="2">
        <v>180115.07</v>
      </c>
      <c r="AA649" s="2">
        <f t="shared" si="256"/>
        <v>0</v>
      </c>
      <c r="AB649" s="2">
        <v>0</v>
      </c>
      <c r="AC649" s="2">
        <v>0</v>
      </c>
      <c r="AD649" s="16">
        <f t="shared" si="259"/>
        <v>7933241.0999999996</v>
      </c>
      <c r="AE649" s="37">
        <v>0</v>
      </c>
      <c r="AF649" s="2">
        <f t="shared" si="257"/>
        <v>7933241.0999999996</v>
      </c>
      <c r="AG649" s="38" t="s">
        <v>857</v>
      </c>
      <c r="AH649" s="29" t="s">
        <v>1664</v>
      </c>
      <c r="AI649" s="30">
        <f>389096.78-1942.82+576398.08+532462.27+389096.78+1131389.5+389096.78+586124.42+279664.04+865075.11+534997.11</f>
        <v>5671458.0500000007</v>
      </c>
      <c r="AJ649" s="30">
        <f>30580.48+37794.48+82045.63+142291.25+54004.36+72124.7+46874.39</f>
        <v>465715.29000000004</v>
      </c>
    </row>
    <row r="650" spans="1:36" s="179" customFormat="1" ht="220.5" x14ac:dyDescent="0.25">
      <c r="A650" s="6">
        <v>647</v>
      </c>
      <c r="B650" s="31">
        <v>116097</v>
      </c>
      <c r="C650" s="11">
        <v>394</v>
      </c>
      <c r="D650" s="138" t="s">
        <v>143</v>
      </c>
      <c r="E650" s="32" t="s">
        <v>373</v>
      </c>
      <c r="F650" s="11" t="s">
        <v>1633</v>
      </c>
      <c r="G650" s="11" t="s">
        <v>1397</v>
      </c>
      <c r="H650" s="11" t="s">
        <v>422</v>
      </c>
      <c r="I650" s="120" t="s">
        <v>2934</v>
      </c>
      <c r="J650" s="25">
        <v>43284</v>
      </c>
      <c r="K650" s="25">
        <v>44898</v>
      </c>
      <c r="L650" s="26">
        <f t="shared" si="247"/>
        <v>83.983862774791262</v>
      </c>
      <c r="M650" s="11" t="s">
        <v>272</v>
      </c>
      <c r="N650" s="11" t="s">
        <v>261</v>
      </c>
      <c r="O650" s="11" t="s">
        <v>261</v>
      </c>
      <c r="P650" s="27" t="s">
        <v>138</v>
      </c>
      <c r="Q650" s="11" t="s">
        <v>34</v>
      </c>
      <c r="R650" s="2">
        <f t="shared" si="254"/>
        <v>6396515.5899999999</v>
      </c>
      <c r="S650" s="2">
        <v>5158232.53</v>
      </c>
      <c r="T650" s="2">
        <v>1238283.06</v>
      </c>
      <c r="U650" s="2">
        <f t="shared" si="258"/>
        <v>472527.32999999996</v>
      </c>
      <c r="V650" s="28">
        <v>349201.67</v>
      </c>
      <c r="W650" s="28">
        <v>123325.66</v>
      </c>
      <c r="X650" s="2">
        <f t="shared" si="255"/>
        <v>747319.77</v>
      </c>
      <c r="Y650" s="2">
        <v>561074.66</v>
      </c>
      <c r="Z650" s="2">
        <v>186245.11</v>
      </c>
      <c r="AA650" s="2">
        <f t="shared" si="256"/>
        <v>0</v>
      </c>
      <c r="AB650" s="2">
        <v>0</v>
      </c>
      <c r="AC650" s="2">
        <v>0</v>
      </c>
      <c r="AD650" s="16">
        <f t="shared" si="259"/>
        <v>7616362.6899999995</v>
      </c>
      <c r="AE650" s="2">
        <v>0</v>
      </c>
      <c r="AF650" s="2">
        <f t="shared" si="257"/>
        <v>7616362.6899999995</v>
      </c>
      <c r="AG650" s="38" t="s">
        <v>486</v>
      </c>
      <c r="AH650" s="29" t="s">
        <v>1992</v>
      </c>
      <c r="AI650" s="30">
        <f>253980+93643.83+161611.12+512990.05+229365.98+135687.68+57767.45+654694.55</f>
        <v>2099740.66</v>
      </c>
      <c r="AJ650" s="30">
        <f>4416.62+33006.45+50458.66+7659.81+6453.45+91375.8</f>
        <v>193370.79</v>
      </c>
    </row>
    <row r="651" spans="1:36" s="179" customFormat="1" ht="126" x14ac:dyDescent="0.25">
      <c r="A651" s="6">
        <v>648</v>
      </c>
      <c r="B651" s="31">
        <v>122485</v>
      </c>
      <c r="C651" s="11">
        <v>38</v>
      </c>
      <c r="D651" s="10" t="s">
        <v>141</v>
      </c>
      <c r="E651" s="10" t="s">
        <v>24</v>
      </c>
      <c r="F651" s="11" t="s">
        <v>26</v>
      </c>
      <c r="G651" s="27" t="s">
        <v>1717</v>
      </c>
      <c r="H651" s="8" t="s">
        <v>151</v>
      </c>
      <c r="I651" s="46" t="s">
        <v>27</v>
      </c>
      <c r="J651" s="25">
        <v>42488</v>
      </c>
      <c r="K651" s="25">
        <v>45288</v>
      </c>
      <c r="L651" s="26">
        <f t="shared" si="247"/>
        <v>84.695097599999997</v>
      </c>
      <c r="M651" s="11" t="s">
        <v>136</v>
      </c>
      <c r="N651" s="11" t="s">
        <v>261</v>
      </c>
      <c r="O651" s="11" t="s">
        <v>261</v>
      </c>
      <c r="P651" s="27" t="s">
        <v>138</v>
      </c>
      <c r="Q651" s="11" t="s">
        <v>25</v>
      </c>
      <c r="R651" s="2">
        <f t="shared" si="254"/>
        <v>16939019.52</v>
      </c>
      <c r="S651" s="2">
        <v>15963331.810000001</v>
      </c>
      <c r="T651" s="2">
        <v>975687.71</v>
      </c>
      <c r="U651" s="2">
        <f t="shared" si="258"/>
        <v>0</v>
      </c>
      <c r="V651" s="28">
        <v>0</v>
      </c>
      <c r="W651" s="28">
        <v>0</v>
      </c>
      <c r="X651" s="2">
        <f t="shared" si="255"/>
        <v>3060980.48</v>
      </c>
      <c r="Y651" s="2">
        <v>2817058.55</v>
      </c>
      <c r="Z651" s="2">
        <v>243921.93</v>
      </c>
      <c r="AA651" s="2">
        <f t="shared" si="256"/>
        <v>0</v>
      </c>
      <c r="AB651" s="2">
        <v>0</v>
      </c>
      <c r="AC651" s="2">
        <v>0</v>
      </c>
      <c r="AD651" s="16">
        <f t="shared" si="259"/>
        <v>20000000</v>
      </c>
      <c r="AE651" s="2">
        <v>200000</v>
      </c>
      <c r="AF651" s="2">
        <f t="shared" si="257"/>
        <v>20200000</v>
      </c>
      <c r="AG651" s="38" t="s">
        <v>486</v>
      </c>
      <c r="AH651" s="29" t="s">
        <v>852</v>
      </c>
      <c r="AI651" s="114">
        <f>367086.52+3723.41+1413.34+18873.79+125767.27+435205.03+779558.8</f>
        <v>1731628.1600000001</v>
      </c>
      <c r="AJ651" s="140">
        <v>0</v>
      </c>
    </row>
    <row r="652" spans="1:36" s="179" customFormat="1" ht="78.75" x14ac:dyDescent="0.25">
      <c r="A652" s="6">
        <v>649</v>
      </c>
      <c r="B652" s="31">
        <v>122484</v>
      </c>
      <c r="C652" s="11">
        <v>39</v>
      </c>
      <c r="D652" s="10" t="s">
        <v>140</v>
      </c>
      <c r="E652" s="10" t="s">
        <v>24</v>
      </c>
      <c r="F652" s="11" t="s">
        <v>29</v>
      </c>
      <c r="G652" s="27" t="s">
        <v>1717</v>
      </c>
      <c r="H652" s="8" t="s">
        <v>151</v>
      </c>
      <c r="I652" s="46" t="s">
        <v>30</v>
      </c>
      <c r="J652" s="25">
        <v>42488</v>
      </c>
      <c r="K652" s="25">
        <v>45288</v>
      </c>
      <c r="L652" s="26">
        <f t="shared" si="247"/>
        <v>84.695097596566526</v>
      </c>
      <c r="M652" s="11" t="s">
        <v>136</v>
      </c>
      <c r="N652" s="11" t="s">
        <v>261</v>
      </c>
      <c r="O652" s="11" t="s">
        <v>261</v>
      </c>
      <c r="P652" s="27" t="s">
        <v>138</v>
      </c>
      <c r="Q652" s="11" t="s">
        <v>28</v>
      </c>
      <c r="R652" s="2">
        <f t="shared" si="254"/>
        <v>59201873.219999999</v>
      </c>
      <c r="S652" s="2">
        <v>55791844.670000002</v>
      </c>
      <c r="T652" s="2">
        <v>3410028.55</v>
      </c>
      <c r="U652" s="2">
        <f t="shared" si="258"/>
        <v>0</v>
      </c>
      <c r="V652" s="28">
        <v>0</v>
      </c>
      <c r="W652" s="28">
        <v>0</v>
      </c>
      <c r="X652" s="2">
        <f t="shared" si="255"/>
        <v>10698126.780000001</v>
      </c>
      <c r="Y652" s="2">
        <v>9845619.6400000006</v>
      </c>
      <c r="Z652" s="2">
        <v>852507.14</v>
      </c>
      <c r="AA652" s="2">
        <f t="shared" si="256"/>
        <v>0</v>
      </c>
      <c r="AB652" s="2">
        <v>0</v>
      </c>
      <c r="AC652" s="2">
        <v>0</v>
      </c>
      <c r="AD652" s="16">
        <f t="shared" si="259"/>
        <v>69900000</v>
      </c>
      <c r="AE652" s="2">
        <v>600000</v>
      </c>
      <c r="AF652" s="2">
        <f t="shared" si="257"/>
        <v>70500000</v>
      </c>
      <c r="AG652" s="38" t="s">
        <v>486</v>
      </c>
      <c r="AH652" s="29" t="s">
        <v>853</v>
      </c>
      <c r="AI652" s="30">
        <f>1614958.09+116790.02+175736.29+210865.38+813289.51+430129.67+188786.97+358624.07+959420.67+326293.12+124245.52+1025867.42+58346.81+2159112.67+785570.42+410351.16+123324.41</f>
        <v>9881712.1999999993</v>
      </c>
      <c r="AJ652" s="130">
        <v>0</v>
      </c>
    </row>
    <row r="653" spans="1:36" s="179" customFormat="1" ht="63" x14ac:dyDescent="0.25">
      <c r="A653" s="6">
        <v>650</v>
      </c>
      <c r="B653" s="31">
        <v>122483</v>
      </c>
      <c r="C653" s="11">
        <v>40</v>
      </c>
      <c r="D653" s="10" t="s">
        <v>140</v>
      </c>
      <c r="E653" s="10" t="s">
        <v>24</v>
      </c>
      <c r="F653" s="11" t="s">
        <v>32</v>
      </c>
      <c r="G653" s="27" t="s">
        <v>1717</v>
      </c>
      <c r="H653" s="8" t="s">
        <v>151</v>
      </c>
      <c r="I653" s="46" t="s">
        <v>33</v>
      </c>
      <c r="J653" s="25">
        <v>42488</v>
      </c>
      <c r="K653" s="25">
        <v>45288</v>
      </c>
      <c r="L653" s="26">
        <f t="shared" si="247"/>
        <v>84.695097592232997</v>
      </c>
      <c r="M653" s="11" t="s">
        <v>136</v>
      </c>
      <c r="N653" s="11" t="s">
        <v>261</v>
      </c>
      <c r="O653" s="11" t="s">
        <v>261</v>
      </c>
      <c r="P653" s="27" t="s">
        <v>138</v>
      </c>
      <c r="Q653" s="11" t="s">
        <v>31</v>
      </c>
      <c r="R653" s="2">
        <f t="shared" si="254"/>
        <v>87235950.519999996</v>
      </c>
      <c r="S653" s="2">
        <v>82211158.810000002</v>
      </c>
      <c r="T653" s="2">
        <v>5024791.71</v>
      </c>
      <c r="U653" s="2">
        <f t="shared" si="258"/>
        <v>0</v>
      </c>
      <c r="V653" s="28">
        <v>0</v>
      </c>
      <c r="W653" s="28">
        <v>0</v>
      </c>
      <c r="X653" s="2">
        <f t="shared" si="255"/>
        <v>15764049.48</v>
      </c>
      <c r="Y653" s="2">
        <v>14507851.550000001</v>
      </c>
      <c r="Z653" s="2">
        <v>1256197.93</v>
      </c>
      <c r="AA653" s="2">
        <f t="shared" si="256"/>
        <v>0</v>
      </c>
      <c r="AB653" s="2">
        <v>0</v>
      </c>
      <c r="AC653" s="2">
        <v>0</v>
      </c>
      <c r="AD653" s="16">
        <f t="shared" si="259"/>
        <v>103000000</v>
      </c>
      <c r="AE653" s="2">
        <v>1936000</v>
      </c>
      <c r="AF653" s="2">
        <f t="shared" si="257"/>
        <v>104936000</v>
      </c>
      <c r="AG653" s="38" t="s">
        <v>486</v>
      </c>
      <c r="AH653" s="29" t="s">
        <v>1425</v>
      </c>
      <c r="AI653" s="30">
        <f>46170373.64+3216133.72+3120157.23+998090.22+1977329.86+2905223.94+2884858.16+3859504.78+959786.87+964395.13+955798.57+958617.23+952649.61+1945157.59</f>
        <v>71868076.549999997</v>
      </c>
      <c r="AJ653" s="130">
        <v>0</v>
      </c>
    </row>
    <row r="654" spans="1:36" s="179" customFormat="1" ht="409.5" x14ac:dyDescent="0.25">
      <c r="A654" s="6">
        <v>651</v>
      </c>
      <c r="B654" s="31">
        <v>109937</v>
      </c>
      <c r="C654" s="11">
        <v>162</v>
      </c>
      <c r="D654" s="11" t="s">
        <v>143</v>
      </c>
      <c r="E654" s="24" t="s">
        <v>270</v>
      </c>
      <c r="F654" s="11" t="s">
        <v>436</v>
      </c>
      <c r="G654" s="11" t="s">
        <v>271</v>
      </c>
      <c r="H654" s="8" t="s">
        <v>151</v>
      </c>
      <c r="I654" s="45" t="s">
        <v>437</v>
      </c>
      <c r="J654" s="25">
        <v>43173</v>
      </c>
      <c r="K654" s="25">
        <v>43660</v>
      </c>
      <c r="L654" s="26">
        <f t="shared" si="247"/>
        <v>82.304184778160604</v>
      </c>
      <c r="M654" s="11" t="s">
        <v>272</v>
      </c>
      <c r="N654" s="11" t="s">
        <v>261</v>
      </c>
      <c r="O654" s="11" t="s">
        <v>273</v>
      </c>
      <c r="P654" s="27" t="s">
        <v>274</v>
      </c>
      <c r="Q654" s="11" t="s">
        <v>34</v>
      </c>
      <c r="R654" s="2">
        <f t="shared" si="254"/>
        <v>762655.8600000001</v>
      </c>
      <c r="S654" s="2">
        <v>147617.44</v>
      </c>
      <c r="T654" s="2">
        <v>615038.42000000004</v>
      </c>
      <c r="U654" s="2">
        <f t="shared" si="258"/>
        <v>145442.25</v>
      </c>
      <c r="V654" s="28">
        <v>36906.06</v>
      </c>
      <c r="W654" s="28">
        <v>108536.19</v>
      </c>
      <c r="X654" s="2">
        <f t="shared" si="255"/>
        <v>0</v>
      </c>
      <c r="Y654" s="2">
        <v>0</v>
      </c>
      <c r="Z654" s="2">
        <v>0</v>
      </c>
      <c r="AA654" s="2">
        <f t="shared" si="256"/>
        <v>18532.61</v>
      </c>
      <c r="AB654" s="2">
        <v>3765.78</v>
      </c>
      <c r="AC654" s="2">
        <v>14766.83</v>
      </c>
      <c r="AD654" s="16">
        <f t="shared" si="259"/>
        <v>926630.72000000009</v>
      </c>
      <c r="AE654" s="2">
        <v>0</v>
      </c>
      <c r="AF654" s="2">
        <f t="shared" si="257"/>
        <v>926630.72000000009</v>
      </c>
      <c r="AG654" s="21" t="s">
        <v>857</v>
      </c>
      <c r="AH654" s="29"/>
      <c r="AI654" s="30">
        <f>340951.1+52774.1+61862.22+16616.16+1069.94+8813.14+48351.34+107449.24-8088.73+50503.68+13263.31-13913.75</f>
        <v>679651.75</v>
      </c>
      <c r="AJ654" s="30">
        <f>47349.74+21861.72+3168.79+9424.88+1680.7+20491.06+8088.73+2529.39+15017.84</f>
        <v>129612.84999999998</v>
      </c>
    </row>
    <row r="655" spans="1:36" s="179" customFormat="1" ht="189" x14ac:dyDescent="0.25">
      <c r="A655" s="6">
        <v>652</v>
      </c>
      <c r="B655" s="31">
        <v>112093</v>
      </c>
      <c r="C655" s="11">
        <v>344</v>
      </c>
      <c r="D655" s="11" t="s">
        <v>143</v>
      </c>
      <c r="E655" s="24" t="s">
        <v>270</v>
      </c>
      <c r="F655" s="11" t="s">
        <v>303</v>
      </c>
      <c r="G655" s="11" t="s">
        <v>1887</v>
      </c>
      <c r="H655" s="8" t="s">
        <v>151</v>
      </c>
      <c r="I655" s="12" t="s">
        <v>438</v>
      </c>
      <c r="J655" s="25">
        <v>43188</v>
      </c>
      <c r="K655" s="25">
        <v>43553</v>
      </c>
      <c r="L655" s="26">
        <f t="shared" si="247"/>
        <v>82.304184346141142</v>
      </c>
      <c r="M655" s="11" t="s">
        <v>272</v>
      </c>
      <c r="N655" s="11" t="s">
        <v>304</v>
      </c>
      <c r="O655" s="11" t="s">
        <v>304</v>
      </c>
      <c r="P655" s="27" t="s">
        <v>274</v>
      </c>
      <c r="Q655" s="11" t="s">
        <v>34</v>
      </c>
      <c r="R655" s="2">
        <f t="shared" si="254"/>
        <v>624137.28</v>
      </c>
      <c r="S655" s="2">
        <v>503312.34</v>
      </c>
      <c r="T655" s="2">
        <v>120824.94</v>
      </c>
      <c r="U655" s="2">
        <f t="shared" si="258"/>
        <v>119026.06000000001</v>
      </c>
      <c r="V655" s="28">
        <v>88819.82</v>
      </c>
      <c r="W655" s="28">
        <v>30206.240000000002</v>
      </c>
      <c r="X655" s="2">
        <f t="shared" si="255"/>
        <v>0</v>
      </c>
      <c r="Y655" s="2">
        <v>0</v>
      </c>
      <c r="Z655" s="2">
        <v>0</v>
      </c>
      <c r="AA655" s="2">
        <f t="shared" si="256"/>
        <v>15166.61</v>
      </c>
      <c r="AB655" s="2">
        <v>12084.34</v>
      </c>
      <c r="AC655" s="2">
        <v>3082.27</v>
      </c>
      <c r="AD655" s="16">
        <f t="shared" si="259"/>
        <v>758329.95000000007</v>
      </c>
      <c r="AE655" s="2">
        <v>0</v>
      </c>
      <c r="AF655" s="2">
        <f t="shared" si="257"/>
        <v>758329.95000000007</v>
      </c>
      <c r="AG655" s="21" t="s">
        <v>857</v>
      </c>
      <c r="AH655" s="29" t="s">
        <v>297</v>
      </c>
      <c r="AI655" s="30">
        <f>281863.03+67706.32-7048.99+70335.64+92451.16+65330.18-30787.09</f>
        <v>539850.25000000012</v>
      </c>
      <c r="AJ655" s="30">
        <f>53450.47+7048.99+3931.35+17630.9+12458.8+8431.63</f>
        <v>102952.14</v>
      </c>
    </row>
    <row r="656" spans="1:36" s="179" customFormat="1" ht="252" x14ac:dyDescent="0.25">
      <c r="A656" s="6">
        <v>653</v>
      </c>
      <c r="B656" s="31">
        <v>110829</v>
      </c>
      <c r="C656" s="11">
        <v>345</v>
      </c>
      <c r="D656" s="11" t="s">
        <v>143</v>
      </c>
      <c r="E656" s="24" t="s">
        <v>270</v>
      </c>
      <c r="F656" s="11" t="s">
        <v>305</v>
      </c>
      <c r="G656" s="11" t="s">
        <v>306</v>
      </c>
      <c r="H656" s="8" t="s">
        <v>151</v>
      </c>
      <c r="I656" s="12" t="s">
        <v>307</v>
      </c>
      <c r="J656" s="25">
        <v>43188</v>
      </c>
      <c r="K656" s="25">
        <v>43737</v>
      </c>
      <c r="L656" s="26">
        <f t="shared" si="247"/>
        <v>82.304186026137842</v>
      </c>
      <c r="M656" s="11" t="s">
        <v>272</v>
      </c>
      <c r="N656" s="11" t="s">
        <v>304</v>
      </c>
      <c r="O656" s="11" t="s">
        <v>304</v>
      </c>
      <c r="P656" s="27" t="s">
        <v>274</v>
      </c>
      <c r="Q656" s="11" t="s">
        <v>34</v>
      </c>
      <c r="R656" s="2">
        <f t="shared" si="254"/>
        <v>757586.23</v>
      </c>
      <c r="S656" s="2">
        <v>610927.28</v>
      </c>
      <c r="T656" s="2">
        <v>146658.95000000001</v>
      </c>
      <c r="U656" s="2">
        <f t="shared" si="258"/>
        <v>144475.43</v>
      </c>
      <c r="V656" s="28">
        <v>107810.7</v>
      </c>
      <c r="W656" s="28">
        <v>36664.730000000003</v>
      </c>
      <c r="X656" s="2">
        <f t="shared" si="255"/>
        <v>0</v>
      </c>
      <c r="Y656" s="2">
        <v>0</v>
      </c>
      <c r="Z656" s="2">
        <v>0</v>
      </c>
      <c r="AA656" s="2">
        <f t="shared" si="256"/>
        <v>18409.420000000002</v>
      </c>
      <c r="AB656" s="2">
        <v>14668.12</v>
      </c>
      <c r="AC656" s="2">
        <v>3741.3</v>
      </c>
      <c r="AD656" s="16">
        <f t="shared" si="259"/>
        <v>920471.08</v>
      </c>
      <c r="AE656" s="2">
        <v>0</v>
      </c>
      <c r="AF656" s="2">
        <f t="shared" si="257"/>
        <v>920471.08</v>
      </c>
      <c r="AG656" s="21" t="s">
        <v>857</v>
      </c>
      <c r="AH656" s="29" t="s">
        <v>297</v>
      </c>
      <c r="AI656" s="30">
        <f>89285.71-11964.69+140134-555.33+108178.82+21252.58+36085.35+107586.93+34575.24+28193.27+63018.42+70571.37</f>
        <v>686361.67</v>
      </c>
      <c r="AJ656" s="30">
        <f>11964.69+11960.22+17298.63+11541.66+4052.98+14039.69+5043.38+6593.66+21646.1+12017.89+14733.7</f>
        <v>130892.6</v>
      </c>
    </row>
    <row r="657" spans="1:36" s="179" customFormat="1" ht="173.25" x14ac:dyDescent="0.25">
      <c r="A657" s="6">
        <v>654</v>
      </c>
      <c r="B657" s="31">
        <v>111077</v>
      </c>
      <c r="C657" s="11">
        <v>352</v>
      </c>
      <c r="D657" s="11" t="s">
        <v>143</v>
      </c>
      <c r="E657" s="24" t="s">
        <v>270</v>
      </c>
      <c r="F657" s="11" t="s">
        <v>308</v>
      </c>
      <c r="G657" s="11" t="s">
        <v>309</v>
      </c>
      <c r="H657" s="8" t="s">
        <v>151</v>
      </c>
      <c r="I657" s="12" t="s">
        <v>310</v>
      </c>
      <c r="J657" s="25">
        <v>43188</v>
      </c>
      <c r="K657" s="25">
        <v>43675</v>
      </c>
      <c r="L657" s="26">
        <f t="shared" si="247"/>
        <v>82.304186243592014</v>
      </c>
      <c r="M657" s="11" t="s">
        <v>272</v>
      </c>
      <c r="N657" s="11" t="s">
        <v>304</v>
      </c>
      <c r="O657" s="11" t="s">
        <v>304</v>
      </c>
      <c r="P657" s="27" t="s">
        <v>274</v>
      </c>
      <c r="Q657" s="11" t="s">
        <v>34</v>
      </c>
      <c r="R657" s="2">
        <f t="shared" si="254"/>
        <v>704316.51</v>
      </c>
      <c r="S657" s="2">
        <v>567969.9</v>
      </c>
      <c r="T657" s="2">
        <v>136346.60999999999</v>
      </c>
      <c r="U657" s="2">
        <f t="shared" si="258"/>
        <v>134316.63</v>
      </c>
      <c r="V657" s="28">
        <v>100229.98</v>
      </c>
      <c r="W657" s="28">
        <v>34086.65</v>
      </c>
      <c r="X657" s="2">
        <f t="shared" si="255"/>
        <v>0</v>
      </c>
      <c r="Y657" s="2">
        <v>0</v>
      </c>
      <c r="Z657" s="2">
        <v>0</v>
      </c>
      <c r="AA657" s="2">
        <f t="shared" si="256"/>
        <v>17114.96</v>
      </c>
      <c r="AB657" s="2">
        <v>13636.73</v>
      </c>
      <c r="AC657" s="2">
        <v>3478.23</v>
      </c>
      <c r="AD657" s="16">
        <f t="shared" si="259"/>
        <v>855748.1</v>
      </c>
      <c r="AE657" s="2"/>
      <c r="AF657" s="2">
        <f t="shared" si="257"/>
        <v>855748.1</v>
      </c>
      <c r="AG657" s="21" t="s">
        <v>857</v>
      </c>
      <c r="AH657" s="29" t="s">
        <v>297</v>
      </c>
      <c r="AI657" s="30">
        <f>85000+43282.16-11040.21+106472.55+153782.22-13315.84+83140.14+113279.69+50909.88+28913.1</f>
        <v>640423.68999999994</v>
      </c>
      <c r="AJ657" s="30">
        <f>8254.12+14104.5+20304.84+13117.11+13315.84+21603+25918.68+5513.87</f>
        <v>122131.95999999999</v>
      </c>
    </row>
    <row r="658" spans="1:36" s="179" customFormat="1" ht="204.75" x14ac:dyDescent="0.25">
      <c r="A658" s="6">
        <v>655</v>
      </c>
      <c r="B658" s="31">
        <v>111631</v>
      </c>
      <c r="C658" s="11">
        <v>170</v>
      </c>
      <c r="D658" s="11" t="s">
        <v>143</v>
      </c>
      <c r="E658" s="24" t="s">
        <v>270</v>
      </c>
      <c r="F658" s="11" t="s">
        <v>311</v>
      </c>
      <c r="G658" s="11" t="s">
        <v>312</v>
      </c>
      <c r="H658" s="11" t="s">
        <v>313</v>
      </c>
      <c r="I658" s="12" t="s">
        <v>1203</v>
      </c>
      <c r="J658" s="25">
        <v>43189</v>
      </c>
      <c r="K658" s="25">
        <v>43676</v>
      </c>
      <c r="L658" s="26">
        <f t="shared" si="247"/>
        <v>82.304185177297953</v>
      </c>
      <c r="M658" s="11" t="s">
        <v>272</v>
      </c>
      <c r="N658" s="11" t="s">
        <v>304</v>
      </c>
      <c r="O658" s="11" t="s">
        <v>304</v>
      </c>
      <c r="P658" s="27" t="s">
        <v>274</v>
      </c>
      <c r="Q658" s="11" t="s">
        <v>34</v>
      </c>
      <c r="R658" s="2">
        <f t="shared" si="254"/>
        <v>822209.74</v>
      </c>
      <c r="S658" s="2">
        <v>663040.52</v>
      </c>
      <c r="T658" s="2">
        <v>159169.22</v>
      </c>
      <c r="U658" s="2">
        <f t="shared" si="258"/>
        <v>156799.45000000001</v>
      </c>
      <c r="V658" s="28">
        <v>117007.15</v>
      </c>
      <c r="W658" s="28">
        <v>39792.300000000003</v>
      </c>
      <c r="X658" s="2">
        <v>0</v>
      </c>
      <c r="Y658" s="2">
        <v>0</v>
      </c>
      <c r="Z658" s="2">
        <v>0</v>
      </c>
      <c r="AA658" s="2">
        <f t="shared" si="256"/>
        <v>19979.79</v>
      </c>
      <c r="AB658" s="2">
        <v>15919.35</v>
      </c>
      <c r="AC658" s="2">
        <v>4060.44</v>
      </c>
      <c r="AD658" s="16">
        <f t="shared" si="259"/>
        <v>998988.98</v>
      </c>
      <c r="AE658" s="2"/>
      <c r="AF658" s="2">
        <f t="shared" si="257"/>
        <v>998988.98</v>
      </c>
      <c r="AG658" s="21" t="s">
        <v>857</v>
      </c>
      <c r="AH658" s="29" t="s">
        <v>297</v>
      </c>
      <c r="AI658" s="30">
        <f>754429.65-15109.91</f>
        <v>739319.74</v>
      </c>
      <c r="AJ658" s="30">
        <f>3863.19+15778.83+29070.82+6799.58+5078.36+35041.94+6132.52+4911.69+2424.38+19247+12643.54</f>
        <v>140991.85</v>
      </c>
    </row>
    <row r="659" spans="1:36" s="179" customFormat="1" ht="141.75" x14ac:dyDescent="0.25">
      <c r="A659" s="6">
        <v>656</v>
      </c>
      <c r="B659" s="31">
        <v>112405</v>
      </c>
      <c r="C659" s="11">
        <v>171</v>
      </c>
      <c r="D659" s="11" t="s">
        <v>143</v>
      </c>
      <c r="E659" s="24" t="s">
        <v>270</v>
      </c>
      <c r="F659" s="11" t="s">
        <v>314</v>
      </c>
      <c r="G659" s="11" t="s">
        <v>315</v>
      </c>
      <c r="H659" s="11" t="s">
        <v>316</v>
      </c>
      <c r="I659" s="12" t="s">
        <v>1355</v>
      </c>
      <c r="J659" s="25">
        <v>43186</v>
      </c>
      <c r="K659" s="25">
        <v>43673</v>
      </c>
      <c r="L659" s="26">
        <f t="shared" si="247"/>
        <v>82.304185365731513</v>
      </c>
      <c r="M659" s="11" t="s">
        <v>272</v>
      </c>
      <c r="N659" s="11" t="s">
        <v>304</v>
      </c>
      <c r="O659" s="11" t="s">
        <v>304</v>
      </c>
      <c r="P659" s="27" t="s">
        <v>274</v>
      </c>
      <c r="Q659" s="11" t="s">
        <v>34</v>
      </c>
      <c r="R659" s="2">
        <f t="shared" si="254"/>
        <v>723131.98</v>
      </c>
      <c r="S659" s="2">
        <v>583142.93999999994</v>
      </c>
      <c r="T659" s="2">
        <v>139989.04</v>
      </c>
      <c r="U659" s="2">
        <f t="shared" si="258"/>
        <v>137904.84</v>
      </c>
      <c r="V659" s="28">
        <v>102907.58</v>
      </c>
      <c r="W659" s="28">
        <v>34997.26</v>
      </c>
      <c r="X659" s="2">
        <f t="shared" si="255"/>
        <v>0</v>
      </c>
      <c r="Y659" s="2">
        <v>0</v>
      </c>
      <c r="Z659" s="2">
        <v>0</v>
      </c>
      <c r="AA659" s="2">
        <f t="shared" si="256"/>
        <v>17572.18</v>
      </c>
      <c r="AB659" s="2">
        <v>14001.03</v>
      </c>
      <c r="AC659" s="2">
        <v>3571.15</v>
      </c>
      <c r="AD659" s="16">
        <f t="shared" si="259"/>
        <v>878609</v>
      </c>
      <c r="AE659" s="2"/>
      <c r="AF659" s="2">
        <f t="shared" si="257"/>
        <v>878609</v>
      </c>
      <c r="AG659" s="21" t="s">
        <v>857</v>
      </c>
      <c r="AH659" s="29"/>
      <c r="AI659" s="30">
        <f>208329.69+72239-12893.42+110533+33743.88+27302.86+184981.92+10195.84+16264.07</f>
        <v>650696.84</v>
      </c>
      <c r="AJ659" s="30">
        <f>36750.34+12893.42+5726.93+6435.14+21177.89+19305.83+1944.4+19857.12</f>
        <v>124091.06999999999</v>
      </c>
    </row>
    <row r="660" spans="1:36" s="179" customFormat="1" ht="141.75" x14ac:dyDescent="0.25">
      <c r="A660" s="6">
        <v>657</v>
      </c>
      <c r="B660" s="31">
        <v>109810</v>
      </c>
      <c r="C660" s="11">
        <v>257</v>
      </c>
      <c r="D660" s="11" t="s">
        <v>143</v>
      </c>
      <c r="E660" s="24" t="s">
        <v>270</v>
      </c>
      <c r="F660" s="11" t="s">
        <v>317</v>
      </c>
      <c r="G660" s="11" t="s">
        <v>318</v>
      </c>
      <c r="H660" s="8" t="s">
        <v>151</v>
      </c>
      <c r="I660" s="12" t="s">
        <v>325</v>
      </c>
      <c r="J660" s="25">
        <v>43192</v>
      </c>
      <c r="K660" s="25">
        <v>43679</v>
      </c>
      <c r="L660" s="26">
        <f t="shared" si="247"/>
        <v>82.304188283311021</v>
      </c>
      <c r="M660" s="11" t="s">
        <v>272</v>
      </c>
      <c r="N660" s="11" t="s">
        <v>304</v>
      </c>
      <c r="O660" s="11" t="s">
        <v>304</v>
      </c>
      <c r="P660" s="27" t="s">
        <v>274</v>
      </c>
      <c r="Q660" s="11" t="s">
        <v>34</v>
      </c>
      <c r="R660" s="2">
        <f t="shared" si="254"/>
        <v>821139.01</v>
      </c>
      <c r="S660" s="1">
        <v>662177.06999999995</v>
      </c>
      <c r="T660" s="1">
        <v>158961.94</v>
      </c>
      <c r="U660" s="2">
        <f t="shared" si="258"/>
        <v>156595.26</v>
      </c>
      <c r="V660" s="28">
        <v>116854.78</v>
      </c>
      <c r="W660" s="28">
        <v>39740.480000000003</v>
      </c>
      <c r="X660" s="2">
        <f t="shared" si="255"/>
        <v>0</v>
      </c>
      <c r="Y660" s="2">
        <v>0</v>
      </c>
      <c r="Z660" s="2">
        <v>0</v>
      </c>
      <c r="AA660" s="2">
        <f t="shared" si="256"/>
        <v>19953.73</v>
      </c>
      <c r="AB660" s="2">
        <v>15898.58</v>
      </c>
      <c r="AC660" s="2">
        <v>4055.15</v>
      </c>
      <c r="AD660" s="16">
        <f t="shared" si="259"/>
        <v>997688</v>
      </c>
      <c r="AE660" s="2"/>
      <c r="AF660" s="2">
        <f t="shared" si="257"/>
        <v>997688</v>
      </c>
      <c r="AG660" s="21" t="s">
        <v>857</v>
      </c>
      <c r="AH660" s="29"/>
      <c r="AI660" s="30">
        <v>768017.32</v>
      </c>
      <c r="AJ660" s="30">
        <v>146464.70000000001</v>
      </c>
    </row>
    <row r="661" spans="1:36" s="179" customFormat="1" ht="141.75" x14ac:dyDescent="0.25">
      <c r="A661" s="6">
        <v>658</v>
      </c>
      <c r="B661" s="31">
        <v>112956</v>
      </c>
      <c r="C661" s="11">
        <v>273</v>
      </c>
      <c r="D661" s="11" t="s">
        <v>143</v>
      </c>
      <c r="E661" s="24" t="s">
        <v>270</v>
      </c>
      <c r="F661" s="11" t="s">
        <v>319</v>
      </c>
      <c r="G661" s="70" t="s">
        <v>320</v>
      </c>
      <c r="H661" s="11" t="s">
        <v>321</v>
      </c>
      <c r="I661" s="12" t="s">
        <v>439</v>
      </c>
      <c r="J661" s="25">
        <v>43192</v>
      </c>
      <c r="K661" s="25">
        <v>43679</v>
      </c>
      <c r="L661" s="26">
        <f t="shared" si="247"/>
        <v>82.304175027233867</v>
      </c>
      <c r="M661" s="11" t="s">
        <v>272</v>
      </c>
      <c r="N661" s="11" t="s">
        <v>304</v>
      </c>
      <c r="O661" s="11" t="s">
        <v>304</v>
      </c>
      <c r="P661" s="27" t="s">
        <v>274</v>
      </c>
      <c r="Q661" s="11" t="s">
        <v>34</v>
      </c>
      <c r="R661" s="2">
        <f t="shared" si="254"/>
        <v>710350.38</v>
      </c>
      <c r="S661" s="2">
        <v>572835.76</v>
      </c>
      <c r="T661" s="2">
        <v>137514.62</v>
      </c>
      <c r="U661" s="2">
        <f t="shared" si="258"/>
        <v>135467.44</v>
      </c>
      <c r="V661" s="28">
        <v>101088.74</v>
      </c>
      <c r="W661" s="28">
        <v>34378.699999999997</v>
      </c>
      <c r="X661" s="2">
        <f t="shared" si="255"/>
        <v>0</v>
      </c>
      <c r="Y661" s="2">
        <v>0</v>
      </c>
      <c r="Z661" s="2">
        <v>0</v>
      </c>
      <c r="AA661" s="2">
        <f t="shared" si="256"/>
        <v>17261.579999999998</v>
      </c>
      <c r="AB661" s="2">
        <v>13753.55</v>
      </c>
      <c r="AC661" s="2">
        <v>3508.03</v>
      </c>
      <c r="AD661" s="16">
        <f t="shared" si="259"/>
        <v>863079.4</v>
      </c>
      <c r="AE661" s="2"/>
      <c r="AF661" s="2">
        <f t="shared" si="257"/>
        <v>863079.4</v>
      </c>
      <c r="AG661" s="21" t="s">
        <v>857</v>
      </c>
      <c r="AH661" s="29" t="s">
        <v>151</v>
      </c>
      <c r="AI661" s="30">
        <f>629253.72-17069.05</f>
        <v>612184.66999999993</v>
      </c>
      <c r="AJ661" s="30">
        <f>109991.49+6755.11</f>
        <v>116746.6</v>
      </c>
    </row>
    <row r="662" spans="1:36" s="179" customFormat="1" ht="173.25" x14ac:dyDescent="0.25">
      <c r="A662" s="6">
        <v>659</v>
      </c>
      <c r="B662" s="31">
        <v>112066</v>
      </c>
      <c r="C662" s="11">
        <v>262</v>
      </c>
      <c r="D662" s="11" t="s">
        <v>143</v>
      </c>
      <c r="E662" s="24" t="s">
        <v>270</v>
      </c>
      <c r="F662" s="11" t="s">
        <v>322</v>
      </c>
      <c r="G662" s="11" t="s">
        <v>323</v>
      </c>
      <c r="H662" s="11" t="s">
        <v>324</v>
      </c>
      <c r="I662" s="12" t="s">
        <v>440</v>
      </c>
      <c r="J662" s="25">
        <v>43193</v>
      </c>
      <c r="K662" s="25">
        <v>43680</v>
      </c>
      <c r="L662" s="26">
        <f t="shared" si="247"/>
        <v>82.304184459884823</v>
      </c>
      <c r="M662" s="11" t="s">
        <v>272</v>
      </c>
      <c r="N662" s="11" t="s">
        <v>304</v>
      </c>
      <c r="O662" s="11" t="s">
        <v>304</v>
      </c>
      <c r="P662" s="27" t="s">
        <v>274</v>
      </c>
      <c r="Q662" s="11" t="s">
        <v>34</v>
      </c>
      <c r="R662" s="2">
        <f t="shared" si="254"/>
        <v>822673.27</v>
      </c>
      <c r="S662" s="2">
        <v>663414.31999999995</v>
      </c>
      <c r="T662" s="2">
        <v>159258.95000000001</v>
      </c>
      <c r="U662" s="2">
        <f t="shared" si="258"/>
        <v>156887.87</v>
      </c>
      <c r="V662" s="28">
        <v>117073.13</v>
      </c>
      <c r="W662" s="28">
        <v>39814.74</v>
      </c>
      <c r="X662" s="2">
        <f t="shared" si="255"/>
        <v>0</v>
      </c>
      <c r="Y662" s="2">
        <v>0</v>
      </c>
      <c r="Z662" s="2">
        <v>0</v>
      </c>
      <c r="AA662" s="2">
        <f t="shared" si="256"/>
        <v>19991.04</v>
      </c>
      <c r="AB662" s="2">
        <v>15928.31</v>
      </c>
      <c r="AC662" s="2">
        <v>4062.73</v>
      </c>
      <c r="AD662" s="16">
        <f t="shared" si="259"/>
        <v>999552.18</v>
      </c>
      <c r="AE662" s="2"/>
      <c r="AF662" s="2">
        <f t="shared" si="257"/>
        <v>999552.18</v>
      </c>
      <c r="AG662" s="21" t="s">
        <v>857</v>
      </c>
      <c r="AH662" s="29" t="s">
        <v>151</v>
      </c>
      <c r="AI662" s="30">
        <v>639101.23</v>
      </c>
      <c r="AJ662" s="30">
        <v>121879.75</v>
      </c>
    </row>
    <row r="663" spans="1:36" s="179" customFormat="1" ht="220.5" x14ac:dyDescent="0.25">
      <c r="A663" s="6">
        <v>660</v>
      </c>
      <c r="B663" s="31">
        <v>121460</v>
      </c>
      <c r="C663" s="11">
        <v>59</v>
      </c>
      <c r="D663" s="11" t="s">
        <v>143</v>
      </c>
      <c r="E663" s="24" t="s">
        <v>110</v>
      </c>
      <c r="F663" s="27" t="s">
        <v>339</v>
      </c>
      <c r="G663" s="27" t="s">
        <v>1717</v>
      </c>
      <c r="H663" s="8" t="s">
        <v>151</v>
      </c>
      <c r="I663" s="12" t="s">
        <v>340</v>
      </c>
      <c r="J663" s="25">
        <v>43207</v>
      </c>
      <c r="K663" s="25">
        <v>44668</v>
      </c>
      <c r="L663" s="26">
        <f t="shared" si="247"/>
        <v>83.983863902506371</v>
      </c>
      <c r="M663" s="11" t="s">
        <v>272</v>
      </c>
      <c r="N663" s="11" t="s">
        <v>304</v>
      </c>
      <c r="O663" s="11" t="s">
        <v>304</v>
      </c>
      <c r="P663" s="27" t="s">
        <v>138</v>
      </c>
      <c r="Q663" s="11" t="s">
        <v>34</v>
      </c>
      <c r="R663" s="2">
        <f t="shared" si="254"/>
        <v>5246578.1000000006</v>
      </c>
      <c r="S663" s="2">
        <v>4230908.1500000004</v>
      </c>
      <c r="T663" s="2">
        <v>1015669.95</v>
      </c>
      <c r="U663" s="2">
        <f t="shared" si="258"/>
        <v>0</v>
      </c>
      <c r="V663" s="28">
        <v>0</v>
      </c>
      <c r="W663" s="28">
        <v>0</v>
      </c>
      <c r="X663" s="2">
        <f t="shared" si="255"/>
        <v>1000548.26</v>
      </c>
      <c r="Y663" s="1">
        <v>746630.76</v>
      </c>
      <c r="Z663" s="2">
        <v>253917.5</v>
      </c>
      <c r="AA663" s="2">
        <f t="shared" si="256"/>
        <v>0</v>
      </c>
      <c r="AB663" s="2">
        <v>0</v>
      </c>
      <c r="AC663" s="2">
        <v>0</v>
      </c>
      <c r="AD663" s="16">
        <f t="shared" si="259"/>
        <v>6247126.3600000003</v>
      </c>
      <c r="AE663" s="2">
        <v>0</v>
      </c>
      <c r="AF663" s="2">
        <f t="shared" si="257"/>
        <v>6247126.3600000003</v>
      </c>
      <c r="AG663" s="38" t="s">
        <v>857</v>
      </c>
      <c r="AH663" s="29" t="s">
        <v>1777</v>
      </c>
      <c r="AI663" s="30">
        <f>897869.37+243536.81+342862.59+163687.91+133787.93+199729.63+414691.86+1295679.16+735599.8</f>
        <v>4427445.0599999996</v>
      </c>
      <c r="AJ663" s="30">
        <v>0</v>
      </c>
    </row>
    <row r="664" spans="1:36" s="179" customFormat="1" ht="173.25" x14ac:dyDescent="0.25">
      <c r="A664" s="6">
        <v>661</v>
      </c>
      <c r="B664" s="31">
        <v>109749</v>
      </c>
      <c r="C664" s="11">
        <v>253</v>
      </c>
      <c r="D664" s="11" t="s">
        <v>143</v>
      </c>
      <c r="E664" s="24" t="s">
        <v>270</v>
      </c>
      <c r="F664" s="27" t="s">
        <v>328</v>
      </c>
      <c r="G664" s="141" t="s">
        <v>329</v>
      </c>
      <c r="H664" s="8" t="s">
        <v>151</v>
      </c>
      <c r="I664" s="12" t="s">
        <v>441</v>
      </c>
      <c r="J664" s="25">
        <v>43208</v>
      </c>
      <c r="K664" s="25">
        <v>43695</v>
      </c>
      <c r="L664" s="26">
        <f t="shared" si="247"/>
        <v>82.304185790916577</v>
      </c>
      <c r="M664" s="11" t="s">
        <v>272</v>
      </c>
      <c r="N664" s="11" t="s">
        <v>361</v>
      </c>
      <c r="O664" s="11" t="s">
        <v>361</v>
      </c>
      <c r="P664" s="27" t="s">
        <v>274</v>
      </c>
      <c r="Q664" s="11" t="s">
        <v>34</v>
      </c>
      <c r="R664" s="2">
        <f t="shared" si="254"/>
        <v>808649.72</v>
      </c>
      <c r="S664" s="1">
        <v>652105.54</v>
      </c>
      <c r="T664" s="1">
        <v>156544.18</v>
      </c>
      <c r="U664" s="2">
        <f t="shared" si="258"/>
        <v>154213.49</v>
      </c>
      <c r="V664" s="28">
        <v>115077.45</v>
      </c>
      <c r="W664" s="28">
        <v>39136.04</v>
      </c>
      <c r="X664" s="2">
        <f t="shared" si="255"/>
        <v>0</v>
      </c>
      <c r="Y664" s="2">
        <v>0</v>
      </c>
      <c r="Z664" s="2">
        <v>0</v>
      </c>
      <c r="AA664" s="2">
        <f t="shared" si="256"/>
        <v>19650.27</v>
      </c>
      <c r="AB664" s="2">
        <v>15656.8</v>
      </c>
      <c r="AC664" s="2">
        <v>3993.47</v>
      </c>
      <c r="AD664" s="16">
        <f t="shared" si="259"/>
        <v>982513.48</v>
      </c>
      <c r="AE664" s="2"/>
      <c r="AF664" s="2">
        <f t="shared" si="257"/>
        <v>982513.48</v>
      </c>
      <c r="AG664" s="21" t="s">
        <v>857</v>
      </c>
      <c r="AH664" s="29"/>
      <c r="AI664" s="30">
        <f>320855.76+13409.42+153292.16+833.72+98250+85029.68+131034.25-5408.6</f>
        <v>797296.39</v>
      </c>
      <c r="AJ664" s="30">
        <f>63706.03+10496.81+18895.75+16215.58+24988.88+17705.3</f>
        <v>152008.34999999998</v>
      </c>
    </row>
    <row r="665" spans="1:36" s="179" customFormat="1" ht="204.75" x14ac:dyDescent="0.25">
      <c r="A665" s="6">
        <v>662</v>
      </c>
      <c r="B665" s="31">
        <v>109967</v>
      </c>
      <c r="C665" s="11">
        <v>177</v>
      </c>
      <c r="D665" s="11" t="s">
        <v>143</v>
      </c>
      <c r="E665" s="24" t="s">
        <v>270</v>
      </c>
      <c r="F665" s="27" t="s">
        <v>334</v>
      </c>
      <c r="G665" s="11" t="s">
        <v>335</v>
      </c>
      <c r="H665" s="8" t="s">
        <v>151</v>
      </c>
      <c r="I665" s="12" t="s">
        <v>442</v>
      </c>
      <c r="J665" s="25">
        <v>43208</v>
      </c>
      <c r="K665" s="25">
        <v>43695</v>
      </c>
      <c r="L665" s="26">
        <f t="shared" si="247"/>
        <v>82.304184597190911</v>
      </c>
      <c r="M665" s="11" t="s">
        <v>272</v>
      </c>
      <c r="N665" s="11" t="s">
        <v>304</v>
      </c>
      <c r="O665" s="11" t="s">
        <v>304</v>
      </c>
      <c r="P665" s="27" t="s">
        <v>274</v>
      </c>
      <c r="Q665" s="11" t="s">
        <v>34</v>
      </c>
      <c r="R665" s="2">
        <f t="shared" si="254"/>
        <v>804452.45</v>
      </c>
      <c r="S665" s="2">
        <v>648720.82999999996</v>
      </c>
      <c r="T665" s="2">
        <v>155731.62</v>
      </c>
      <c r="U665" s="2">
        <f t="shared" si="258"/>
        <v>153413.06</v>
      </c>
      <c r="V665" s="28">
        <v>114480.15</v>
      </c>
      <c r="W665" s="28">
        <v>38932.910000000003</v>
      </c>
      <c r="X665" s="2">
        <f t="shared" si="255"/>
        <v>0</v>
      </c>
      <c r="Y665" s="142">
        <v>0</v>
      </c>
      <c r="Z665" s="142">
        <v>0</v>
      </c>
      <c r="AA665" s="2">
        <f t="shared" si="256"/>
        <v>19548.28</v>
      </c>
      <c r="AB665" s="2">
        <v>15575.51</v>
      </c>
      <c r="AC665" s="2">
        <v>3972.77</v>
      </c>
      <c r="AD665" s="16">
        <f t="shared" si="259"/>
        <v>977413.79</v>
      </c>
      <c r="AE665" s="2"/>
      <c r="AF665" s="2">
        <f t="shared" si="257"/>
        <v>977413.79</v>
      </c>
      <c r="AG665" s="21" t="s">
        <v>857</v>
      </c>
      <c r="AH665" s="29" t="s">
        <v>1050</v>
      </c>
      <c r="AI665" s="30">
        <f>312590.47-8868.28+88856.3+55475.75+73233.76+50351.94+43692.49-8964.67+55972.79-7971.42+22143.49</f>
        <v>676512.61999999988</v>
      </c>
      <c r="AJ665" s="30">
        <f>40972.78+16948.54+8885.07+13966.04+9602.34+8332.37+8964.67+7971.42+13371.02</f>
        <v>129014.24999999999</v>
      </c>
    </row>
    <row r="666" spans="1:36" s="179" customFormat="1" ht="157.5" x14ac:dyDescent="0.25">
      <c r="A666" s="6">
        <v>663</v>
      </c>
      <c r="B666" s="31">
        <v>112811</v>
      </c>
      <c r="C666" s="11">
        <v>196</v>
      </c>
      <c r="D666" s="11" t="s">
        <v>143</v>
      </c>
      <c r="E666" s="24" t="s">
        <v>270</v>
      </c>
      <c r="F666" s="27" t="s">
        <v>336</v>
      </c>
      <c r="G666" s="11" t="s">
        <v>337</v>
      </c>
      <c r="H666" s="8" t="s">
        <v>151</v>
      </c>
      <c r="I666" s="12" t="s">
        <v>338</v>
      </c>
      <c r="J666" s="25">
        <v>43208</v>
      </c>
      <c r="K666" s="25">
        <v>43573</v>
      </c>
      <c r="L666" s="26">
        <f t="shared" si="247"/>
        <v>82.304184666338784</v>
      </c>
      <c r="M666" s="11" t="s">
        <v>272</v>
      </c>
      <c r="N666" s="11" t="s">
        <v>304</v>
      </c>
      <c r="O666" s="11" t="s">
        <v>304</v>
      </c>
      <c r="P666" s="27" t="s">
        <v>274</v>
      </c>
      <c r="Q666" s="11" t="s">
        <v>34</v>
      </c>
      <c r="R666" s="2">
        <f t="shared" si="254"/>
        <v>760931.29</v>
      </c>
      <c r="S666" s="2">
        <v>613624.79</v>
      </c>
      <c r="T666" s="2">
        <v>147306.5</v>
      </c>
      <c r="U666" s="2">
        <f t="shared" si="258"/>
        <v>145113.35999999999</v>
      </c>
      <c r="V666" s="28">
        <v>108286.73</v>
      </c>
      <c r="W666" s="28">
        <v>36826.629999999997</v>
      </c>
      <c r="X666" s="2">
        <f t="shared" si="255"/>
        <v>0</v>
      </c>
      <c r="Y666" s="2">
        <v>0</v>
      </c>
      <c r="Z666" s="2">
        <v>0</v>
      </c>
      <c r="AA666" s="2">
        <f t="shared" si="256"/>
        <v>18490.71</v>
      </c>
      <c r="AB666" s="2">
        <v>14732.89</v>
      </c>
      <c r="AC666" s="2">
        <v>3757.82</v>
      </c>
      <c r="AD666" s="16">
        <f t="shared" si="259"/>
        <v>924535.36</v>
      </c>
      <c r="AE666" s="2"/>
      <c r="AF666" s="2">
        <f t="shared" si="257"/>
        <v>924535.36</v>
      </c>
      <c r="AG666" s="21" t="s">
        <v>857</v>
      </c>
      <c r="AH666" s="29"/>
      <c r="AI666" s="30">
        <f>91800+75057.16+74073.77+121742.1-7175.16+205568.39+83432.56-15293.57</f>
        <v>629205.25000000012</v>
      </c>
      <c r="AJ666" s="30">
        <f>14189.24+14126.23+23216.82+16262.9+21571.65+15911+14714.69</f>
        <v>119992.53</v>
      </c>
    </row>
    <row r="667" spans="1:36" s="179" customFormat="1" ht="299.25" x14ac:dyDescent="0.25">
      <c r="A667" s="6">
        <v>664</v>
      </c>
      <c r="B667" s="31">
        <v>112080</v>
      </c>
      <c r="C667" s="11">
        <v>354</v>
      </c>
      <c r="D667" s="11" t="s">
        <v>143</v>
      </c>
      <c r="E667" s="24" t="s">
        <v>270</v>
      </c>
      <c r="F667" s="27" t="s">
        <v>346</v>
      </c>
      <c r="G667" s="27" t="s">
        <v>345</v>
      </c>
      <c r="H667" s="8" t="s">
        <v>151</v>
      </c>
      <c r="I667" s="12" t="s">
        <v>443</v>
      </c>
      <c r="J667" s="25">
        <v>43214</v>
      </c>
      <c r="K667" s="25">
        <v>43793</v>
      </c>
      <c r="L667" s="26">
        <f t="shared" si="247"/>
        <v>82.304185109241828</v>
      </c>
      <c r="M667" s="11" t="s">
        <v>272</v>
      </c>
      <c r="N667" s="11" t="s">
        <v>304</v>
      </c>
      <c r="O667" s="11" t="s">
        <v>304</v>
      </c>
      <c r="P667" s="27" t="s">
        <v>274</v>
      </c>
      <c r="Q667" s="11" t="s">
        <v>34</v>
      </c>
      <c r="R667" s="2">
        <f t="shared" si="254"/>
        <v>570578.29</v>
      </c>
      <c r="S667" s="2">
        <v>460121.68</v>
      </c>
      <c r="T667" s="2">
        <v>110456.61</v>
      </c>
      <c r="U667" s="2">
        <f t="shared" si="258"/>
        <v>108812.1</v>
      </c>
      <c r="V667" s="28">
        <v>81197.94</v>
      </c>
      <c r="W667" s="28">
        <v>27614.16</v>
      </c>
      <c r="X667" s="2">
        <f t="shared" si="255"/>
        <v>0</v>
      </c>
      <c r="Y667" s="2">
        <v>0</v>
      </c>
      <c r="Z667" s="2">
        <v>0</v>
      </c>
      <c r="AA667" s="2">
        <f t="shared" si="256"/>
        <v>13865.11</v>
      </c>
      <c r="AB667" s="2">
        <v>11047.34</v>
      </c>
      <c r="AC667" s="2">
        <v>2817.77</v>
      </c>
      <c r="AD667" s="16">
        <f t="shared" si="259"/>
        <v>693255.5</v>
      </c>
      <c r="AE667" s="2">
        <v>0</v>
      </c>
      <c r="AF667" s="2">
        <f t="shared" si="257"/>
        <v>693255.5</v>
      </c>
      <c r="AG667" s="21" t="s">
        <v>857</v>
      </c>
      <c r="AH667" s="29" t="s">
        <v>1184</v>
      </c>
      <c r="AI667" s="30">
        <f>314971.26+69325.55+97282.65-5135.32</f>
        <v>476444.13999999996</v>
      </c>
      <c r="AJ667" s="30">
        <f>60066.57+25498.8+5294.87</f>
        <v>90860.239999999991</v>
      </c>
    </row>
    <row r="668" spans="1:36" s="179" customFormat="1" ht="173.25" x14ac:dyDescent="0.25">
      <c r="A668" s="6">
        <v>665</v>
      </c>
      <c r="B668" s="31">
        <v>111113</v>
      </c>
      <c r="C668" s="11">
        <v>252</v>
      </c>
      <c r="D668" s="11" t="s">
        <v>143</v>
      </c>
      <c r="E668" s="24" t="s">
        <v>270</v>
      </c>
      <c r="F668" s="27" t="s">
        <v>347</v>
      </c>
      <c r="G668" s="27" t="s">
        <v>955</v>
      </c>
      <c r="H668" s="11" t="s">
        <v>366</v>
      </c>
      <c r="I668" s="12" t="s">
        <v>349</v>
      </c>
      <c r="J668" s="25">
        <v>43214</v>
      </c>
      <c r="K668" s="25">
        <v>43579</v>
      </c>
      <c r="L668" s="26">
        <f t="shared" si="247"/>
        <v>82.304185972255567</v>
      </c>
      <c r="M668" s="11" t="s">
        <v>272</v>
      </c>
      <c r="N668" s="11" t="s">
        <v>302</v>
      </c>
      <c r="O668" s="11" t="s">
        <v>348</v>
      </c>
      <c r="P668" s="27" t="s">
        <v>274</v>
      </c>
      <c r="Q668" s="11" t="s">
        <v>34</v>
      </c>
      <c r="R668" s="2">
        <f t="shared" si="254"/>
        <v>793396.18</v>
      </c>
      <c r="S668" s="2">
        <v>639804.9</v>
      </c>
      <c r="T668" s="2">
        <v>153591.28</v>
      </c>
      <c r="U668" s="2">
        <f t="shared" si="258"/>
        <v>151304.57</v>
      </c>
      <c r="V668" s="28">
        <v>112906.75</v>
      </c>
      <c r="W668" s="28">
        <v>38397.82</v>
      </c>
      <c r="X668" s="2">
        <f t="shared" si="255"/>
        <v>0</v>
      </c>
      <c r="Y668" s="2">
        <v>0</v>
      </c>
      <c r="Z668" s="2">
        <v>0</v>
      </c>
      <c r="AA668" s="2">
        <f t="shared" si="256"/>
        <v>19279.599999999999</v>
      </c>
      <c r="AB668" s="2">
        <v>15361.46</v>
      </c>
      <c r="AC668" s="2">
        <v>3918.14</v>
      </c>
      <c r="AD668" s="16">
        <f t="shared" si="259"/>
        <v>963980.35</v>
      </c>
      <c r="AE668" s="2">
        <v>0</v>
      </c>
      <c r="AF668" s="2">
        <f t="shared" si="257"/>
        <v>963980.35</v>
      </c>
      <c r="AG668" s="21" t="s">
        <v>857</v>
      </c>
      <c r="AH668" s="29" t="s">
        <v>151</v>
      </c>
      <c r="AI668" s="30">
        <f>360374.76+80428.02+85558.08+11319.22+96397+20389.47+84094.42</f>
        <v>738560.97</v>
      </c>
      <c r="AJ668" s="30">
        <f>36349.9+31943.22+13703.1+20542.02+22271.75+16037.23</f>
        <v>140847.22</v>
      </c>
    </row>
    <row r="669" spans="1:36" s="179" customFormat="1" ht="315" x14ac:dyDescent="0.25">
      <c r="A669" s="6">
        <v>666</v>
      </c>
      <c r="B669" s="31">
        <v>109880</v>
      </c>
      <c r="C669" s="11">
        <v>261</v>
      </c>
      <c r="D669" s="11" t="s">
        <v>143</v>
      </c>
      <c r="E669" s="24" t="s">
        <v>270</v>
      </c>
      <c r="F669" s="27" t="s">
        <v>356</v>
      </c>
      <c r="G669" s="15" t="s">
        <v>354</v>
      </c>
      <c r="H669" s="27" t="s">
        <v>355</v>
      </c>
      <c r="I669" s="12" t="s">
        <v>444</v>
      </c>
      <c r="J669" s="25">
        <v>43214</v>
      </c>
      <c r="K669" s="25">
        <v>43640</v>
      </c>
      <c r="L669" s="26">
        <f t="shared" ref="L669:L731" si="260">R669/AD669*100</f>
        <v>82.304184374786118</v>
      </c>
      <c r="M669" s="11" t="s">
        <v>272</v>
      </c>
      <c r="N669" s="11" t="s">
        <v>219</v>
      </c>
      <c r="O669" s="11" t="s">
        <v>357</v>
      </c>
      <c r="P669" s="27" t="s">
        <v>274</v>
      </c>
      <c r="Q669" s="11" t="s">
        <v>34</v>
      </c>
      <c r="R669" s="2">
        <f t="shared" ref="R669:R700" si="261">S669+T669</f>
        <v>782828.76</v>
      </c>
      <c r="S669" s="2">
        <v>631283.18999999994</v>
      </c>
      <c r="T669" s="2">
        <v>151545.57</v>
      </c>
      <c r="U669" s="2">
        <f t="shared" si="258"/>
        <v>149289.32</v>
      </c>
      <c r="V669" s="28">
        <v>111402.93</v>
      </c>
      <c r="W669" s="28">
        <v>37886.39</v>
      </c>
      <c r="X669" s="2">
        <f t="shared" ref="X669:X699" si="262">Y669+Z669</f>
        <v>0</v>
      </c>
      <c r="Y669" s="2">
        <v>0</v>
      </c>
      <c r="Z669" s="2">
        <v>0</v>
      </c>
      <c r="AA669" s="2">
        <f t="shared" ref="AA669:AA700" si="263">AB669+AC669</f>
        <v>19022.82</v>
      </c>
      <c r="AB669" s="2">
        <v>15156.86</v>
      </c>
      <c r="AC669" s="2">
        <v>3865.96</v>
      </c>
      <c r="AD669" s="16">
        <f t="shared" si="259"/>
        <v>951140.9</v>
      </c>
      <c r="AE669" s="2"/>
      <c r="AF669" s="2">
        <f t="shared" ref="AF669:AF700" si="264">AD669+AE669</f>
        <v>951140.9</v>
      </c>
      <c r="AG669" s="21" t="s">
        <v>857</v>
      </c>
      <c r="AH669" s="29" t="s">
        <v>358</v>
      </c>
      <c r="AI669" s="30">
        <v>734392.74</v>
      </c>
      <c r="AJ669" s="30">
        <v>140052.42000000001</v>
      </c>
    </row>
    <row r="670" spans="1:36" s="179" customFormat="1" ht="204.75" x14ac:dyDescent="0.25">
      <c r="A670" s="6">
        <v>667</v>
      </c>
      <c r="B670" s="31">
        <v>110309</v>
      </c>
      <c r="C670" s="11">
        <v>304</v>
      </c>
      <c r="D670" s="11" t="s">
        <v>143</v>
      </c>
      <c r="E670" s="24" t="s">
        <v>270</v>
      </c>
      <c r="F670" s="11" t="s">
        <v>380</v>
      </c>
      <c r="G670" s="11" t="s">
        <v>381</v>
      </c>
      <c r="H670" s="8" t="s">
        <v>151</v>
      </c>
      <c r="I670" s="12" t="s">
        <v>382</v>
      </c>
      <c r="J670" s="25">
        <v>43217</v>
      </c>
      <c r="K670" s="25">
        <v>43888</v>
      </c>
      <c r="L670" s="26">
        <f t="shared" si="260"/>
        <v>82.304189246721677</v>
      </c>
      <c r="M670" s="11" t="s">
        <v>272</v>
      </c>
      <c r="N670" s="11" t="s">
        <v>361</v>
      </c>
      <c r="O670" s="11" t="s">
        <v>361</v>
      </c>
      <c r="P670" s="27" t="s">
        <v>274</v>
      </c>
      <c r="Q670" s="11" t="s">
        <v>34</v>
      </c>
      <c r="R670" s="2">
        <f t="shared" si="261"/>
        <v>822248.62</v>
      </c>
      <c r="S670" s="2">
        <v>663071.87</v>
      </c>
      <c r="T670" s="2">
        <v>159176.75</v>
      </c>
      <c r="U670" s="2">
        <f t="shared" si="258"/>
        <v>156806.83000000002</v>
      </c>
      <c r="V670" s="28">
        <v>117012.66</v>
      </c>
      <c r="W670" s="28">
        <v>39794.17</v>
      </c>
      <c r="X670" s="2">
        <f t="shared" si="262"/>
        <v>0</v>
      </c>
      <c r="Y670" s="2">
        <v>0</v>
      </c>
      <c r="Z670" s="2">
        <v>0</v>
      </c>
      <c r="AA670" s="2">
        <f t="shared" si="263"/>
        <v>19980.72</v>
      </c>
      <c r="AB670" s="2">
        <v>15920.08</v>
      </c>
      <c r="AC670" s="2">
        <v>4060.64</v>
      </c>
      <c r="AD670" s="16">
        <f t="shared" si="259"/>
        <v>999036.16999999993</v>
      </c>
      <c r="AE670" s="2">
        <v>0</v>
      </c>
      <c r="AF670" s="2">
        <f t="shared" si="264"/>
        <v>999036.16999999993</v>
      </c>
      <c r="AG670" s="38" t="s">
        <v>1427</v>
      </c>
      <c r="AH670" s="29" t="s">
        <v>1403</v>
      </c>
      <c r="AI670" s="30">
        <v>553062.27999999991</v>
      </c>
      <c r="AJ670" s="30">
        <v>105471.71999999999</v>
      </c>
    </row>
    <row r="671" spans="1:36" s="179" customFormat="1" ht="141.75" x14ac:dyDescent="0.25">
      <c r="A671" s="6">
        <v>668</v>
      </c>
      <c r="B671" s="31">
        <v>112122</v>
      </c>
      <c r="C671" s="11">
        <v>172</v>
      </c>
      <c r="D671" s="11" t="s">
        <v>143</v>
      </c>
      <c r="E671" s="24" t="s">
        <v>270</v>
      </c>
      <c r="F671" s="70" t="s">
        <v>359</v>
      </c>
      <c r="G671" s="11" t="s">
        <v>360</v>
      </c>
      <c r="H671" s="8" t="s">
        <v>151</v>
      </c>
      <c r="I671" s="12" t="s">
        <v>1208</v>
      </c>
      <c r="J671" s="25">
        <v>43217</v>
      </c>
      <c r="K671" s="25">
        <v>43796</v>
      </c>
      <c r="L671" s="26">
        <f t="shared" si="260"/>
        <v>82.30418763248349</v>
      </c>
      <c r="M671" s="11" t="s">
        <v>272</v>
      </c>
      <c r="N671" s="11" t="s">
        <v>219</v>
      </c>
      <c r="O671" s="11" t="s">
        <v>357</v>
      </c>
      <c r="P671" s="27" t="s">
        <v>274</v>
      </c>
      <c r="Q671" s="11" t="s">
        <v>34</v>
      </c>
      <c r="R671" s="2">
        <f t="shared" si="261"/>
        <v>773010.27999999991</v>
      </c>
      <c r="S671" s="2">
        <v>623365.43999999994</v>
      </c>
      <c r="T671" s="2">
        <v>149644.84</v>
      </c>
      <c r="U671" s="2">
        <f t="shared" si="258"/>
        <v>147416.85999999999</v>
      </c>
      <c r="V671" s="28">
        <v>110005.65</v>
      </c>
      <c r="W671" s="28">
        <v>37411.21</v>
      </c>
      <c r="X671" s="2">
        <f t="shared" si="262"/>
        <v>0</v>
      </c>
      <c r="Y671" s="2">
        <v>0</v>
      </c>
      <c r="Z671" s="2">
        <v>0</v>
      </c>
      <c r="AA671" s="2">
        <f t="shared" si="263"/>
        <v>18784.22</v>
      </c>
      <c r="AB671" s="2">
        <v>14966.74</v>
      </c>
      <c r="AC671" s="2">
        <v>3817.48</v>
      </c>
      <c r="AD671" s="16">
        <f t="shared" si="259"/>
        <v>939211.35999999987</v>
      </c>
      <c r="AE671" s="2">
        <v>0</v>
      </c>
      <c r="AF671" s="2">
        <f t="shared" si="264"/>
        <v>939211.35999999987</v>
      </c>
      <c r="AG671" s="21" t="s">
        <v>857</v>
      </c>
      <c r="AH671" s="29" t="s">
        <v>1201</v>
      </c>
      <c r="AI671" s="30">
        <v>733967.87</v>
      </c>
      <c r="AJ671" s="30">
        <v>138744.60999999999</v>
      </c>
    </row>
    <row r="672" spans="1:36" s="179" customFormat="1" ht="252" x14ac:dyDescent="0.25">
      <c r="A672" s="6">
        <v>669</v>
      </c>
      <c r="B672" s="31">
        <v>111683</v>
      </c>
      <c r="C672" s="11">
        <v>339</v>
      </c>
      <c r="D672" s="11" t="s">
        <v>143</v>
      </c>
      <c r="E672" s="24" t="s">
        <v>270</v>
      </c>
      <c r="F672" s="11" t="s">
        <v>367</v>
      </c>
      <c r="G672" s="11" t="s">
        <v>368</v>
      </c>
      <c r="H672" s="8" t="s">
        <v>151</v>
      </c>
      <c r="I672" s="12" t="s">
        <v>445</v>
      </c>
      <c r="J672" s="25">
        <v>43227</v>
      </c>
      <c r="K672" s="25">
        <v>43868</v>
      </c>
      <c r="L672" s="26">
        <f t="shared" si="260"/>
        <v>82.304181640652189</v>
      </c>
      <c r="M672" s="11" t="s">
        <v>272</v>
      </c>
      <c r="N672" s="11" t="s">
        <v>261</v>
      </c>
      <c r="O672" s="11" t="s">
        <v>261</v>
      </c>
      <c r="P672" s="27" t="s">
        <v>274</v>
      </c>
      <c r="Q672" s="11" t="s">
        <v>34</v>
      </c>
      <c r="R672" s="2">
        <f t="shared" si="261"/>
        <v>791387.4800000001</v>
      </c>
      <c r="S672" s="2">
        <v>638185.06000000006</v>
      </c>
      <c r="T672" s="119">
        <v>153202.42000000001</v>
      </c>
      <c r="U672" s="2">
        <f t="shared" si="258"/>
        <v>150921.54999999999</v>
      </c>
      <c r="V672" s="143">
        <v>112620.91</v>
      </c>
      <c r="W672" s="28">
        <v>38300.639999999999</v>
      </c>
      <c r="X672" s="2">
        <f t="shared" si="262"/>
        <v>0</v>
      </c>
      <c r="Y672" s="2">
        <v>0</v>
      </c>
      <c r="Z672" s="2">
        <v>0</v>
      </c>
      <c r="AA672" s="2">
        <f t="shared" si="263"/>
        <v>19230.79</v>
      </c>
      <c r="AB672" s="2">
        <v>15322.58</v>
      </c>
      <c r="AC672" s="2">
        <v>3908.21</v>
      </c>
      <c r="AD672" s="16">
        <f t="shared" si="259"/>
        <v>961539.82000000007</v>
      </c>
      <c r="AE672" s="2"/>
      <c r="AF672" s="2">
        <f t="shared" si="264"/>
        <v>961539.82000000007</v>
      </c>
      <c r="AG672" s="38" t="s">
        <v>1427</v>
      </c>
      <c r="AH672" s="29" t="s">
        <v>1421</v>
      </c>
      <c r="AI672" s="30">
        <f>197162.71+172481.19+20945.29+96000+68397.19</f>
        <v>554986.38</v>
      </c>
      <c r="AJ672" s="30">
        <f>37599.88+14585.36+22302.07+31351.36</f>
        <v>105838.67</v>
      </c>
    </row>
    <row r="673" spans="1:36" s="179" customFormat="1" ht="267.75" x14ac:dyDescent="0.25">
      <c r="A673" s="6">
        <v>670</v>
      </c>
      <c r="B673" s="31">
        <v>112332</v>
      </c>
      <c r="C673" s="11">
        <v>351</v>
      </c>
      <c r="D673" s="11" t="s">
        <v>143</v>
      </c>
      <c r="E673" s="24" t="s">
        <v>270</v>
      </c>
      <c r="F673" s="27" t="s">
        <v>1897</v>
      </c>
      <c r="G673" s="144" t="s">
        <v>369</v>
      </c>
      <c r="H673" s="70" t="s">
        <v>370</v>
      </c>
      <c r="I673" s="12" t="s">
        <v>371</v>
      </c>
      <c r="J673" s="25">
        <v>43227</v>
      </c>
      <c r="K673" s="25">
        <v>43715</v>
      </c>
      <c r="L673" s="26">
        <f t="shared" si="260"/>
        <v>82.803274340618188</v>
      </c>
      <c r="M673" s="11" t="s">
        <v>272</v>
      </c>
      <c r="N673" s="27" t="s">
        <v>537</v>
      </c>
      <c r="O673" s="27" t="s">
        <v>670</v>
      </c>
      <c r="P673" s="27" t="s">
        <v>274</v>
      </c>
      <c r="Q673" s="11" t="s">
        <v>34</v>
      </c>
      <c r="R673" s="2">
        <f t="shared" si="261"/>
        <v>789905.57000000007</v>
      </c>
      <c r="S673" s="2">
        <v>636990.03</v>
      </c>
      <c r="T673" s="2">
        <v>152915.54</v>
      </c>
      <c r="U673" s="2">
        <f t="shared" si="258"/>
        <v>144969.85</v>
      </c>
      <c r="V673" s="28">
        <v>107893.05</v>
      </c>
      <c r="W673" s="28">
        <v>37076.800000000003</v>
      </c>
      <c r="X673" s="2">
        <f t="shared" si="262"/>
        <v>0</v>
      </c>
      <c r="Y673" s="2">
        <v>0</v>
      </c>
      <c r="Z673" s="2">
        <v>0</v>
      </c>
      <c r="AA673" s="2">
        <f t="shared" si="263"/>
        <v>19079.09</v>
      </c>
      <c r="AB673" s="2">
        <v>15201.71</v>
      </c>
      <c r="AC673" s="2">
        <v>3877.38</v>
      </c>
      <c r="AD673" s="16">
        <f t="shared" si="259"/>
        <v>953954.51</v>
      </c>
      <c r="AE673" s="2">
        <v>0</v>
      </c>
      <c r="AF673" s="2">
        <f t="shared" si="264"/>
        <v>953954.51</v>
      </c>
      <c r="AG673" s="21" t="s">
        <v>857</v>
      </c>
      <c r="AH673" s="29" t="s">
        <v>151</v>
      </c>
      <c r="AI673" s="30">
        <f>103189.19-10344.17+64585.92+101525.85+67050.25+55900.12+82485.04+159943.99</f>
        <v>624336.18999999994</v>
      </c>
      <c r="AJ673" s="30">
        <f>6891.88+10344.17+32148.26+10660.44+28517.1+27035.36</f>
        <v>115597.21</v>
      </c>
    </row>
    <row r="674" spans="1:36" s="179" customFormat="1" ht="204.75" x14ac:dyDescent="0.25">
      <c r="A674" s="6">
        <v>671</v>
      </c>
      <c r="B674" s="31">
        <v>115657</v>
      </c>
      <c r="C674" s="11">
        <v>390</v>
      </c>
      <c r="D674" s="11" t="s">
        <v>143</v>
      </c>
      <c r="E674" s="24" t="s">
        <v>373</v>
      </c>
      <c r="F674" s="11" t="s">
        <v>372</v>
      </c>
      <c r="G674" s="11" t="s">
        <v>1350</v>
      </c>
      <c r="H674" s="11" t="s">
        <v>374</v>
      </c>
      <c r="I674" s="12" t="s">
        <v>375</v>
      </c>
      <c r="J674" s="25">
        <v>43223</v>
      </c>
      <c r="K674" s="25">
        <v>44107</v>
      </c>
      <c r="L674" s="26">
        <f t="shared" si="260"/>
        <v>83.983863433628301</v>
      </c>
      <c r="M674" s="11" t="s">
        <v>272</v>
      </c>
      <c r="N674" s="11" t="s">
        <v>304</v>
      </c>
      <c r="O674" s="11" t="s">
        <v>304</v>
      </c>
      <c r="P674" s="27" t="s">
        <v>138</v>
      </c>
      <c r="Q674" s="11" t="s">
        <v>34</v>
      </c>
      <c r="R674" s="2">
        <f t="shared" si="261"/>
        <v>5309367.59</v>
      </c>
      <c r="S674" s="2">
        <v>4281542.37</v>
      </c>
      <c r="T674" s="2">
        <v>1027825.22</v>
      </c>
      <c r="U674" s="2">
        <f t="shared" si="258"/>
        <v>0</v>
      </c>
      <c r="V674" s="28">
        <v>0</v>
      </c>
      <c r="W674" s="28">
        <v>0</v>
      </c>
      <c r="X674" s="2">
        <f t="shared" si="262"/>
        <v>1012522.56</v>
      </c>
      <c r="Y674" s="2">
        <v>755566.28</v>
      </c>
      <c r="Z674" s="2">
        <v>256956.28</v>
      </c>
      <c r="AA674" s="2">
        <f t="shared" si="263"/>
        <v>0</v>
      </c>
      <c r="AB674" s="2">
        <v>0</v>
      </c>
      <c r="AC674" s="2">
        <v>0</v>
      </c>
      <c r="AD674" s="16">
        <f t="shared" si="259"/>
        <v>6321890.1500000004</v>
      </c>
      <c r="AE674" s="2">
        <v>0</v>
      </c>
      <c r="AF674" s="2">
        <f t="shared" si="264"/>
        <v>6321890.1500000004</v>
      </c>
      <c r="AG674" s="38" t="s">
        <v>857</v>
      </c>
      <c r="AH674" s="29" t="s">
        <v>3285</v>
      </c>
      <c r="AI674" s="30">
        <f>2961929.57+845307.66+274031.87</f>
        <v>4081269.1</v>
      </c>
      <c r="AJ674" s="30">
        <v>0</v>
      </c>
    </row>
    <row r="675" spans="1:36" s="179" customFormat="1" ht="409.5" x14ac:dyDescent="0.25">
      <c r="A675" s="6">
        <v>672</v>
      </c>
      <c r="B675" s="31">
        <v>116294</v>
      </c>
      <c r="C675" s="11">
        <v>395</v>
      </c>
      <c r="D675" s="138" t="s">
        <v>143</v>
      </c>
      <c r="E675" s="24" t="s">
        <v>373</v>
      </c>
      <c r="F675" s="11" t="s">
        <v>680</v>
      </c>
      <c r="G675" s="11" t="s">
        <v>1397</v>
      </c>
      <c r="H675" s="11" t="s">
        <v>681</v>
      </c>
      <c r="I675" s="120" t="s">
        <v>2935</v>
      </c>
      <c r="J675" s="25">
        <v>43307</v>
      </c>
      <c r="K675" s="25">
        <v>45195</v>
      </c>
      <c r="L675" s="26">
        <f t="shared" si="260"/>
        <v>83.983862712560892</v>
      </c>
      <c r="M675" s="11" t="s">
        <v>272</v>
      </c>
      <c r="N675" s="11" t="s">
        <v>261</v>
      </c>
      <c r="O675" s="11" t="s">
        <v>261</v>
      </c>
      <c r="P675" s="27" t="s">
        <v>138</v>
      </c>
      <c r="Q675" s="11" t="s">
        <v>34</v>
      </c>
      <c r="R675" s="2">
        <f t="shared" si="261"/>
        <v>9064991.2000000011</v>
      </c>
      <c r="S675" s="2">
        <v>7310125.6500000004</v>
      </c>
      <c r="T675" s="2">
        <v>1754865.55</v>
      </c>
      <c r="U675" s="2">
        <f t="shared" si="258"/>
        <v>835727.90999999992</v>
      </c>
      <c r="V675" s="28">
        <v>617609.94999999995</v>
      </c>
      <c r="W675" s="28">
        <v>218117.96</v>
      </c>
      <c r="X675" s="2">
        <f t="shared" si="262"/>
        <v>893010.66999999993</v>
      </c>
      <c r="Y675" s="2">
        <v>672412.2</v>
      </c>
      <c r="Z675" s="2">
        <v>220598.47</v>
      </c>
      <c r="AA675" s="2">
        <f t="shared" si="263"/>
        <v>0</v>
      </c>
      <c r="AB675" s="2">
        <v>0</v>
      </c>
      <c r="AC675" s="2">
        <v>0</v>
      </c>
      <c r="AD675" s="16">
        <f t="shared" si="259"/>
        <v>10793729.780000001</v>
      </c>
      <c r="AE675" s="2"/>
      <c r="AF675" s="2">
        <f>AD675+AE675</f>
        <v>10793729.780000001</v>
      </c>
      <c r="AG675" s="38" t="s">
        <v>486</v>
      </c>
      <c r="AH675" s="29" t="s">
        <v>3284</v>
      </c>
      <c r="AI675" s="30">
        <f>567275.05+242142.38+389249.89+737324.25+434872.3+696189.68+508301.21+556805.38+653166.06</f>
        <v>4785326.2</v>
      </c>
      <c r="AJ675" s="30">
        <f>37941.44+64466.26+39373.95+93368.67+48409.99+72069.64+49590.47+63033.49+81108</f>
        <v>549361.91</v>
      </c>
    </row>
    <row r="676" spans="1:36" s="179" customFormat="1" ht="141.75" x14ac:dyDescent="0.25">
      <c r="A676" s="6">
        <v>673</v>
      </c>
      <c r="B676" s="31">
        <v>115539</v>
      </c>
      <c r="C676" s="11">
        <v>396</v>
      </c>
      <c r="D676" s="11" t="s">
        <v>143</v>
      </c>
      <c r="E676" s="24" t="s">
        <v>373</v>
      </c>
      <c r="F676" s="11" t="s">
        <v>421</v>
      </c>
      <c r="G676" s="11" t="s">
        <v>74</v>
      </c>
      <c r="H676" s="11" t="s">
        <v>422</v>
      </c>
      <c r="I676" s="12" t="s">
        <v>454</v>
      </c>
      <c r="J676" s="25">
        <v>43249</v>
      </c>
      <c r="K676" s="25">
        <v>45045</v>
      </c>
      <c r="L676" s="26">
        <f t="shared" si="260"/>
        <v>83.983862084228164</v>
      </c>
      <c r="M676" s="11" t="s">
        <v>272</v>
      </c>
      <c r="N676" s="11" t="s">
        <v>261</v>
      </c>
      <c r="O676" s="11" t="s">
        <v>261</v>
      </c>
      <c r="P676" s="27" t="s">
        <v>138</v>
      </c>
      <c r="Q676" s="11" t="s">
        <v>34</v>
      </c>
      <c r="R676" s="2">
        <f t="shared" si="261"/>
        <v>2215320.0428925399</v>
      </c>
      <c r="S676" s="2">
        <v>1786462.63</v>
      </c>
      <c r="T676" s="2">
        <v>428857.41289253999</v>
      </c>
      <c r="U676" s="2">
        <f t="shared" si="258"/>
        <v>179063.2</v>
      </c>
      <c r="V676" s="28">
        <v>132329.23000000001</v>
      </c>
      <c r="W676" s="28">
        <v>46733.97</v>
      </c>
      <c r="X676" s="2">
        <f t="shared" si="262"/>
        <v>243409.28999999998</v>
      </c>
      <c r="Y676" s="2">
        <v>182928.87</v>
      </c>
      <c r="Z676" s="2">
        <v>60480.42</v>
      </c>
      <c r="AA676" s="2">
        <f t="shared" si="263"/>
        <v>0</v>
      </c>
      <c r="AB676" s="2">
        <v>0</v>
      </c>
      <c r="AC676" s="2">
        <v>0</v>
      </c>
      <c r="AD676" s="16">
        <f t="shared" si="259"/>
        <v>2637792.5328925401</v>
      </c>
      <c r="AE676" s="2">
        <v>0</v>
      </c>
      <c r="AF676" s="2">
        <f t="shared" si="264"/>
        <v>2637792.5328925401</v>
      </c>
      <c r="AG676" s="38" t="s">
        <v>486</v>
      </c>
      <c r="AH676" s="29" t="s">
        <v>3166</v>
      </c>
      <c r="AI676" s="30">
        <f>331641.17-13183.87+408631.07+27766.75+242691.52+34335.41+227203.49+94761.52</f>
        <v>1353847.06</v>
      </c>
      <c r="AJ676" s="30">
        <f>13183.87+71835.79+32129.9+37010.29</f>
        <v>154159.85</v>
      </c>
    </row>
    <row r="677" spans="1:36" s="179" customFormat="1" ht="189" x14ac:dyDescent="0.25">
      <c r="A677" s="6">
        <v>674</v>
      </c>
      <c r="B677" s="31">
        <v>111701</v>
      </c>
      <c r="C677" s="11">
        <v>251</v>
      </c>
      <c r="D677" s="11" t="s">
        <v>143</v>
      </c>
      <c r="E677" s="24" t="s">
        <v>270</v>
      </c>
      <c r="F677" s="27" t="s">
        <v>386</v>
      </c>
      <c r="G677" s="145" t="s">
        <v>387</v>
      </c>
      <c r="H677" s="145" t="s">
        <v>388</v>
      </c>
      <c r="I677" s="146" t="s">
        <v>447</v>
      </c>
      <c r="J677" s="25">
        <v>43231</v>
      </c>
      <c r="K677" s="25">
        <v>43780</v>
      </c>
      <c r="L677" s="26">
        <f t="shared" si="260"/>
        <v>82.304186092487143</v>
      </c>
      <c r="M677" s="11" t="s">
        <v>272</v>
      </c>
      <c r="N677" s="11" t="s">
        <v>226</v>
      </c>
      <c r="O677" s="11" t="s">
        <v>226</v>
      </c>
      <c r="P677" s="27" t="s">
        <v>274</v>
      </c>
      <c r="Q677" s="11" t="s">
        <v>34</v>
      </c>
      <c r="R677" s="2">
        <f t="shared" si="261"/>
        <v>643463.74</v>
      </c>
      <c r="S677" s="28">
        <v>518897.45</v>
      </c>
      <c r="T677" s="28">
        <v>124566.29</v>
      </c>
      <c r="U677" s="2">
        <f t="shared" ref="U677:U708" si="265">V677+W677</f>
        <v>122711.73</v>
      </c>
      <c r="V677" s="28">
        <v>91570.15</v>
      </c>
      <c r="W677" s="28">
        <v>31141.58</v>
      </c>
      <c r="X677" s="2">
        <f t="shared" si="262"/>
        <v>0</v>
      </c>
      <c r="Y677" s="2">
        <v>0</v>
      </c>
      <c r="Z677" s="2">
        <v>0</v>
      </c>
      <c r="AA677" s="2">
        <f t="shared" si="263"/>
        <v>15636.21</v>
      </c>
      <c r="AB677" s="28">
        <v>12458.49</v>
      </c>
      <c r="AC677" s="28">
        <v>3177.72</v>
      </c>
      <c r="AD677" s="16">
        <f t="shared" si="259"/>
        <v>781811.67999999993</v>
      </c>
      <c r="AE677" s="2">
        <v>4162.62</v>
      </c>
      <c r="AF677" s="2">
        <f t="shared" si="264"/>
        <v>785974.29999999993</v>
      </c>
      <c r="AG677" s="21" t="s">
        <v>857</v>
      </c>
      <c r="AH677" s="29" t="s">
        <v>1185</v>
      </c>
      <c r="AI677" s="30">
        <f>95051.96+39484.25+23955.55-8000+211432.19+107515.78+78081.24</f>
        <v>547520.97</v>
      </c>
      <c r="AJ677" s="30">
        <f>15075.6+9055.47+4568.44+40321.17+20503.81+14890.48</f>
        <v>104414.96999999999</v>
      </c>
    </row>
    <row r="678" spans="1:36" s="179" customFormat="1" ht="204.75" x14ac:dyDescent="0.25">
      <c r="A678" s="6">
        <v>675</v>
      </c>
      <c r="B678" s="31">
        <v>111284</v>
      </c>
      <c r="C678" s="11">
        <v>182</v>
      </c>
      <c r="D678" s="11" t="s">
        <v>143</v>
      </c>
      <c r="E678" s="24" t="s">
        <v>270</v>
      </c>
      <c r="F678" s="27" t="s">
        <v>392</v>
      </c>
      <c r="G678" s="11" t="s">
        <v>393</v>
      </c>
      <c r="H678" s="70"/>
      <c r="I678" s="45" t="s">
        <v>448</v>
      </c>
      <c r="J678" s="25">
        <v>43236</v>
      </c>
      <c r="K678" s="25">
        <v>43724</v>
      </c>
      <c r="L678" s="26">
        <f t="shared" si="260"/>
        <v>82.304186150868873</v>
      </c>
      <c r="M678" s="11" t="s">
        <v>272</v>
      </c>
      <c r="N678" s="11" t="s">
        <v>182</v>
      </c>
      <c r="O678" s="11" t="s">
        <v>394</v>
      </c>
      <c r="P678" s="27" t="s">
        <v>274</v>
      </c>
      <c r="Q678" s="11" t="s">
        <v>34</v>
      </c>
      <c r="R678" s="2">
        <f t="shared" si="261"/>
        <v>820224.26</v>
      </c>
      <c r="S678" s="2">
        <v>661439.4</v>
      </c>
      <c r="T678" s="2">
        <v>158784.85999999999</v>
      </c>
      <c r="U678" s="2">
        <f t="shared" si="265"/>
        <v>156420.81</v>
      </c>
      <c r="V678" s="28">
        <v>116724.6</v>
      </c>
      <c r="W678" s="28">
        <v>39696.21</v>
      </c>
      <c r="X678" s="2">
        <f t="shared" si="262"/>
        <v>0</v>
      </c>
      <c r="Y678" s="2">
        <v>0</v>
      </c>
      <c r="Z678" s="2">
        <v>0</v>
      </c>
      <c r="AA678" s="2">
        <f t="shared" si="263"/>
        <v>19931.53</v>
      </c>
      <c r="AB678" s="2">
        <v>15880.9</v>
      </c>
      <c r="AC678" s="2">
        <v>4050.63</v>
      </c>
      <c r="AD678" s="16">
        <f t="shared" si="259"/>
        <v>996576.60000000009</v>
      </c>
      <c r="AE678" s="2"/>
      <c r="AF678" s="2">
        <f t="shared" si="264"/>
        <v>996576.60000000009</v>
      </c>
      <c r="AG678" s="21" t="s">
        <v>857</v>
      </c>
      <c r="AH678" s="29" t="s">
        <v>151</v>
      </c>
      <c r="AI678" s="30">
        <f>589154.54+143024.16</f>
        <v>732178.70000000007</v>
      </c>
      <c r="AJ678" s="30">
        <f>93665.6+45964.48</f>
        <v>139630.08000000002</v>
      </c>
    </row>
    <row r="679" spans="1:36" s="179" customFormat="1" ht="141.75" x14ac:dyDescent="0.25">
      <c r="A679" s="6">
        <v>676</v>
      </c>
      <c r="B679" s="31">
        <v>116994</v>
      </c>
      <c r="C679" s="11">
        <v>399</v>
      </c>
      <c r="D679" s="11" t="s">
        <v>143</v>
      </c>
      <c r="E679" s="24" t="s">
        <v>373</v>
      </c>
      <c r="F679" s="27" t="s">
        <v>1898</v>
      </c>
      <c r="G679" s="11" t="s">
        <v>74</v>
      </c>
      <c r="H679" s="8" t="s">
        <v>151</v>
      </c>
      <c r="I679" s="45" t="s">
        <v>449</v>
      </c>
      <c r="J679" s="25">
        <v>43236</v>
      </c>
      <c r="K679" s="25">
        <v>45001</v>
      </c>
      <c r="L679" s="26">
        <f t="shared" si="260"/>
        <v>83.983862745241581</v>
      </c>
      <c r="M679" s="11" t="s">
        <v>272</v>
      </c>
      <c r="N679" s="11" t="s">
        <v>261</v>
      </c>
      <c r="O679" s="11" t="s">
        <v>261</v>
      </c>
      <c r="P679" s="27" t="s">
        <v>138</v>
      </c>
      <c r="Q679" s="11" t="s">
        <v>34</v>
      </c>
      <c r="R679" s="2">
        <f t="shared" si="261"/>
        <v>5724895.4699999997</v>
      </c>
      <c r="S679" s="2">
        <v>4616629.47</v>
      </c>
      <c r="T679" s="2">
        <v>1108266</v>
      </c>
      <c r="U679" s="2">
        <f t="shared" si="265"/>
        <v>0</v>
      </c>
      <c r="V679" s="28">
        <v>0</v>
      </c>
      <c r="W679" s="28">
        <v>0</v>
      </c>
      <c r="X679" s="2">
        <f t="shared" si="262"/>
        <v>1091765.83</v>
      </c>
      <c r="Y679" s="2">
        <v>814699.26</v>
      </c>
      <c r="Z679" s="2">
        <v>277066.57</v>
      </c>
      <c r="AA679" s="2">
        <f t="shared" si="263"/>
        <v>0</v>
      </c>
      <c r="AB679" s="2">
        <v>0</v>
      </c>
      <c r="AC679" s="2">
        <v>0</v>
      </c>
      <c r="AD679" s="16">
        <f t="shared" si="259"/>
        <v>6816661.2999999998</v>
      </c>
      <c r="AE679" s="2">
        <v>0</v>
      </c>
      <c r="AF679" s="2">
        <f t="shared" si="264"/>
        <v>6816661.2999999998</v>
      </c>
      <c r="AG679" s="38" t="s">
        <v>486</v>
      </c>
      <c r="AH679" s="29" t="s">
        <v>2063</v>
      </c>
      <c r="AI679" s="30">
        <f>4248.74+31166.22+89220.52+57381.15+77993.31+62439.49+102447.37+71858.27+74201.42+68394.78+65729.97+61409+72550.3+45091.78</f>
        <v>884132.32000000007</v>
      </c>
      <c r="AJ679" s="30">
        <v>0</v>
      </c>
    </row>
    <row r="680" spans="1:36" s="179" customFormat="1" ht="173.25" x14ac:dyDescent="0.25">
      <c r="A680" s="6">
        <v>677</v>
      </c>
      <c r="B680" s="31">
        <v>112921</v>
      </c>
      <c r="C680" s="11">
        <v>288</v>
      </c>
      <c r="D680" s="11" t="s">
        <v>143</v>
      </c>
      <c r="E680" s="24" t="s">
        <v>270</v>
      </c>
      <c r="F680" s="27" t="s">
        <v>1899</v>
      </c>
      <c r="G680" s="11" t="s">
        <v>395</v>
      </c>
      <c r="H680" s="11" t="s">
        <v>396</v>
      </c>
      <c r="I680" s="45" t="s">
        <v>397</v>
      </c>
      <c r="J680" s="25">
        <v>43236</v>
      </c>
      <c r="K680" s="25">
        <v>43724</v>
      </c>
      <c r="L680" s="26">
        <f t="shared" si="260"/>
        <v>82.304184477468439</v>
      </c>
      <c r="M680" s="11" t="s">
        <v>272</v>
      </c>
      <c r="N680" s="11" t="s">
        <v>186</v>
      </c>
      <c r="O680" s="11" t="s">
        <v>609</v>
      </c>
      <c r="P680" s="27" t="s">
        <v>274</v>
      </c>
      <c r="Q680" s="11" t="s">
        <v>34</v>
      </c>
      <c r="R680" s="2">
        <f t="shared" si="261"/>
        <v>692528.19000000006</v>
      </c>
      <c r="S680" s="2">
        <v>558463.68000000005</v>
      </c>
      <c r="T680" s="2">
        <v>134064.51</v>
      </c>
      <c r="U680" s="2">
        <f t="shared" si="265"/>
        <v>132068.54999999999</v>
      </c>
      <c r="V680" s="28">
        <v>98552.39</v>
      </c>
      <c r="W680" s="28">
        <v>33516.160000000003</v>
      </c>
      <c r="X680" s="2">
        <f t="shared" si="262"/>
        <v>0</v>
      </c>
      <c r="Y680" s="2">
        <v>0</v>
      </c>
      <c r="Z680" s="2">
        <v>0</v>
      </c>
      <c r="AA680" s="2">
        <f t="shared" si="263"/>
        <v>16828.509999999998</v>
      </c>
      <c r="AB680" s="2">
        <v>13408.49</v>
      </c>
      <c r="AC680" s="2">
        <v>3420.02</v>
      </c>
      <c r="AD680" s="16">
        <f t="shared" si="259"/>
        <v>841425.25</v>
      </c>
      <c r="AE680" s="2">
        <v>0</v>
      </c>
      <c r="AF680" s="2">
        <f t="shared" si="264"/>
        <v>841425.25</v>
      </c>
      <c r="AG680" s="21" t="s">
        <v>857</v>
      </c>
      <c r="AH680" s="29" t="s">
        <v>1083</v>
      </c>
      <c r="AI680" s="30">
        <f>59000+45054.47-7168.82+43487.54+82400+27588.29+82400+83329.15+139789.65+86231.39</f>
        <v>642111.67000000004</v>
      </c>
      <c r="AJ680" s="30">
        <f>15760.94+11008.93+20975.3+31605.35+26658.52+16444.76</f>
        <v>122453.79999999999</v>
      </c>
    </row>
    <row r="681" spans="1:36" s="179" customFormat="1" ht="141.75" x14ac:dyDescent="0.25">
      <c r="A681" s="6">
        <v>678</v>
      </c>
      <c r="B681" s="31">
        <v>122235</v>
      </c>
      <c r="C681" s="11">
        <v>60</v>
      </c>
      <c r="D681" s="11" t="s">
        <v>145</v>
      </c>
      <c r="E681" s="24" t="s">
        <v>123</v>
      </c>
      <c r="F681" s="27" t="s">
        <v>398</v>
      </c>
      <c r="G681" s="11" t="s">
        <v>399</v>
      </c>
      <c r="H681" s="8" t="s">
        <v>151</v>
      </c>
      <c r="I681" s="45" t="s">
        <v>400</v>
      </c>
      <c r="J681" s="25">
        <v>43236</v>
      </c>
      <c r="K681" s="25">
        <v>44911</v>
      </c>
      <c r="L681" s="26">
        <f t="shared" si="260"/>
        <v>83.983862950139908</v>
      </c>
      <c r="M681" s="11" t="s">
        <v>272</v>
      </c>
      <c r="N681" s="11" t="s">
        <v>261</v>
      </c>
      <c r="O681" s="11" t="s">
        <v>261</v>
      </c>
      <c r="P681" s="27" t="s">
        <v>138</v>
      </c>
      <c r="Q681" s="11" t="s">
        <v>34</v>
      </c>
      <c r="R681" s="2">
        <f t="shared" si="261"/>
        <v>9422880.1600000001</v>
      </c>
      <c r="S681" s="2">
        <v>7598731.8799999999</v>
      </c>
      <c r="T681" s="2">
        <v>1824148.28</v>
      </c>
      <c r="U681" s="2">
        <f t="shared" si="265"/>
        <v>0</v>
      </c>
      <c r="V681" s="28"/>
      <c r="W681" s="28"/>
      <c r="X681" s="2">
        <f t="shared" si="262"/>
        <v>1796989.74</v>
      </c>
      <c r="Y681" s="2">
        <v>1340952.67</v>
      </c>
      <c r="Z681" s="2">
        <v>456037.07</v>
      </c>
      <c r="AA681" s="2">
        <f t="shared" si="263"/>
        <v>0</v>
      </c>
      <c r="AB681" s="2">
        <v>0</v>
      </c>
      <c r="AC681" s="2">
        <v>0</v>
      </c>
      <c r="AD681" s="16">
        <f t="shared" si="259"/>
        <v>11219869.9</v>
      </c>
      <c r="AE681" s="2">
        <v>0</v>
      </c>
      <c r="AF681" s="2">
        <f t="shared" si="264"/>
        <v>11219869.9</v>
      </c>
      <c r="AG681" s="38" t="s">
        <v>486</v>
      </c>
      <c r="AH681" s="29" t="s">
        <v>1643</v>
      </c>
      <c r="AI681" s="30">
        <f>177000+30000-137868.19+11251.1+63755.9+119800.68+155000+50000+298936+49415.83+1102504.47</f>
        <v>1919795.79</v>
      </c>
      <c r="AJ681" s="30">
        <v>0</v>
      </c>
    </row>
    <row r="682" spans="1:36" s="179" customFormat="1" ht="141.75" x14ac:dyDescent="0.25">
      <c r="A682" s="6">
        <v>679</v>
      </c>
      <c r="B682" s="31">
        <v>113205</v>
      </c>
      <c r="C682" s="11">
        <v>286</v>
      </c>
      <c r="D682" s="11" t="s">
        <v>143</v>
      </c>
      <c r="E682" s="24" t="s">
        <v>270</v>
      </c>
      <c r="F682" s="27" t="s">
        <v>401</v>
      </c>
      <c r="G682" s="11" t="s">
        <v>402</v>
      </c>
      <c r="H682" s="11" t="s">
        <v>403</v>
      </c>
      <c r="I682" s="45" t="s">
        <v>450</v>
      </c>
      <c r="J682" s="25">
        <v>43243</v>
      </c>
      <c r="K682" s="25">
        <v>43700</v>
      </c>
      <c r="L682" s="26">
        <f t="shared" si="260"/>
        <v>82.304187102769717</v>
      </c>
      <c r="M682" s="11" t="s">
        <v>272</v>
      </c>
      <c r="N682" s="11" t="s">
        <v>261</v>
      </c>
      <c r="O682" s="11" t="s">
        <v>261</v>
      </c>
      <c r="P682" s="27" t="s">
        <v>138</v>
      </c>
      <c r="Q682" s="11" t="s">
        <v>34</v>
      </c>
      <c r="R682" s="2">
        <f t="shared" si="261"/>
        <v>750653.75</v>
      </c>
      <c r="S682" s="2">
        <v>605336.84</v>
      </c>
      <c r="T682" s="2">
        <v>145316.91</v>
      </c>
      <c r="U682" s="2">
        <f t="shared" si="265"/>
        <v>143153.36000000002</v>
      </c>
      <c r="V682" s="28">
        <v>106824.13</v>
      </c>
      <c r="W682" s="28">
        <v>36329.230000000003</v>
      </c>
      <c r="X682" s="2">
        <f t="shared" si="262"/>
        <v>0</v>
      </c>
      <c r="Y682" s="2">
        <v>0</v>
      </c>
      <c r="Z682" s="2">
        <v>0</v>
      </c>
      <c r="AA682" s="2">
        <f t="shared" si="263"/>
        <v>18240.96</v>
      </c>
      <c r="AB682" s="2">
        <v>14533.91</v>
      </c>
      <c r="AC682" s="2">
        <v>3707.05</v>
      </c>
      <c r="AD682" s="16">
        <f t="shared" si="259"/>
        <v>912048.07</v>
      </c>
      <c r="AE682" s="2">
        <v>0</v>
      </c>
      <c r="AF682" s="2">
        <f t="shared" si="264"/>
        <v>912048.07</v>
      </c>
      <c r="AG682" s="21" t="s">
        <v>857</v>
      </c>
      <c r="AH682" s="29"/>
      <c r="AI682" s="30">
        <f>80989.07+73791.77+71604.65-11418.94+71296.47+10538.9+120276.34+289691.6-34329.09</f>
        <v>672440.77</v>
      </c>
      <c r="AJ682" s="30">
        <f>12124.41+13655.35+11418.94+6176.71+18770.39+55245.61+10846.33</f>
        <v>128237.74</v>
      </c>
    </row>
    <row r="683" spans="1:36" s="179" customFormat="1" ht="409.5" x14ac:dyDescent="0.25">
      <c r="A683" s="6">
        <v>680</v>
      </c>
      <c r="B683" s="31">
        <v>111084</v>
      </c>
      <c r="C683" s="11">
        <v>343</v>
      </c>
      <c r="D683" s="11" t="s">
        <v>143</v>
      </c>
      <c r="E683" s="24" t="s">
        <v>270</v>
      </c>
      <c r="F683" s="147" t="s">
        <v>404</v>
      </c>
      <c r="G683" s="148" t="s">
        <v>405</v>
      </c>
      <c r="H683" s="11" t="s">
        <v>404</v>
      </c>
      <c r="I683" s="45" t="s">
        <v>451</v>
      </c>
      <c r="J683" s="25">
        <v>43243</v>
      </c>
      <c r="K683" s="25">
        <v>43731</v>
      </c>
      <c r="L683" s="26">
        <f t="shared" si="260"/>
        <v>82.304185103544512</v>
      </c>
      <c r="M683" s="11" t="s">
        <v>272</v>
      </c>
      <c r="N683" s="11" t="s">
        <v>261</v>
      </c>
      <c r="O683" s="11" t="s">
        <v>261</v>
      </c>
      <c r="P683" s="27" t="s">
        <v>274</v>
      </c>
      <c r="Q683" s="11" t="s">
        <v>34</v>
      </c>
      <c r="R683" s="2">
        <f t="shared" si="261"/>
        <v>698744.26</v>
      </c>
      <c r="S683" s="23">
        <v>563476.37</v>
      </c>
      <c r="T683" s="23">
        <v>135267.89000000001</v>
      </c>
      <c r="U683" s="2">
        <f t="shared" si="265"/>
        <v>133253.97999999998</v>
      </c>
      <c r="V683" s="149">
        <v>99437.01</v>
      </c>
      <c r="W683" s="81">
        <v>33816.97</v>
      </c>
      <c r="X683" s="2">
        <f t="shared" si="262"/>
        <v>0</v>
      </c>
      <c r="Y683" s="2">
        <v>0</v>
      </c>
      <c r="Z683" s="2">
        <v>0</v>
      </c>
      <c r="AA683" s="2">
        <f t="shared" si="263"/>
        <v>16979.560000000001</v>
      </c>
      <c r="AB683" s="23">
        <v>13528.85</v>
      </c>
      <c r="AC683" s="150">
        <v>3450.71</v>
      </c>
      <c r="AD683" s="16">
        <f t="shared" si="259"/>
        <v>848977.8</v>
      </c>
      <c r="AE683" s="2">
        <v>0</v>
      </c>
      <c r="AF683" s="2">
        <f t="shared" si="264"/>
        <v>848977.8</v>
      </c>
      <c r="AG683" s="21" t="s">
        <v>857</v>
      </c>
      <c r="AH683" s="29"/>
      <c r="AI683" s="30">
        <f>410601.28+140850.68</f>
        <v>551451.96</v>
      </c>
      <c r="AJ683" s="30">
        <f>12927.23+3853.32+17589.26+10795.58+17309.82+42689.48</f>
        <v>105164.69</v>
      </c>
    </row>
    <row r="684" spans="1:36" s="179" customFormat="1" ht="362.25" x14ac:dyDescent="0.25">
      <c r="A684" s="6">
        <v>681</v>
      </c>
      <c r="B684" s="31">
        <v>110679</v>
      </c>
      <c r="C684" s="11">
        <v>197</v>
      </c>
      <c r="D684" s="11" t="s">
        <v>143</v>
      </c>
      <c r="E684" s="24" t="s">
        <v>270</v>
      </c>
      <c r="F684" s="27" t="s">
        <v>406</v>
      </c>
      <c r="G684" s="11" t="s">
        <v>408</v>
      </c>
      <c r="H684" s="8" t="s">
        <v>151</v>
      </c>
      <c r="I684" s="12" t="s">
        <v>452</v>
      </c>
      <c r="J684" s="25">
        <v>43243</v>
      </c>
      <c r="K684" s="25">
        <v>43731</v>
      </c>
      <c r="L684" s="26">
        <f t="shared" si="260"/>
        <v>82.304183634873581</v>
      </c>
      <c r="M684" s="11" t="s">
        <v>272</v>
      </c>
      <c r="N684" s="11" t="s">
        <v>407</v>
      </c>
      <c r="O684" s="11" t="s">
        <v>1918</v>
      </c>
      <c r="P684" s="27" t="s">
        <v>274</v>
      </c>
      <c r="Q684" s="11" t="s">
        <v>34</v>
      </c>
      <c r="R684" s="2">
        <f t="shared" si="261"/>
        <v>763944.7</v>
      </c>
      <c r="S684" s="2">
        <v>616054.81999999995</v>
      </c>
      <c r="T684" s="2">
        <v>147889.88</v>
      </c>
      <c r="U684" s="2">
        <f t="shared" si="265"/>
        <v>145688.04999999999</v>
      </c>
      <c r="V684" s="28">
        <v>108715.59</v>
      </c>
      <c r="W684" s="28">
        <v>36972.46</v>
      </c>
      <c r="X684" s="2">
        <f t="shared" si="262"/>
        <v>0</v>
      </c>
      <c r="Y684" s="2">
        <v>0</v>
      </c>
      <c r="Z684" s="2">
        <v>0</v>
      </c>
      <c r="AA684" s="2">
        <f t="shared" si="263"/>
        <v>18563.93</v>
      </c>
      <c r="AB684" s="2">
        <v>14791.24</v>
      </c>
      <c r="AC684" s="2">
        <v>3772.69</v>
      </c>
      <c r="AD684" s="16">
        <f t="shared" si="259"/>
        <v>928196.68</v>
      </c>
      <c r="AE684" s="2">
        <v>0</v>
      </c>
      <c r="AF684" s="2">
        <f t="shared" si="264"/>
        <v>928196.68</v>
      </c>
      <c r="AG684" s="21" t="s">
        <v>857</v>
      </c>
      <c r="AH684" s="29" t="s">
        <v>1269</v>
      </c>
      <c r="AI684" s="30">
        <f>521279.95+227140.72-4067.74</f>
        <v>744352.93</v>
      </c>
      <c r="AJ684" s="30">
        <f>94550.63+43316.87+4084.24</f>
        <v>141951.74</v>
      </c>
    </row>
    <row r="685" spans="1:36" s="179" customFormat="1" ht="173.25" x14ac:dyDescent="0.25">
      <c r="A685" s="6">
        <v>682</v>
      </c>
      <c r="B685" s="31">
        <v>112787</v>
      </c>
      <c r="C685" s="11">
        <v>276</v>
      </c>
      <c r="D685" s="11" t="s">
        <v>143</v>
      </c>
      <c r="E685" s="24" t="s">
        <v>270</v>
      </c>
      <c r="F685" s="27" t="s">
        <v>409</v>
      </c>
      <c r="G685" s="27" t="s">
        <v>410</v>
      </c>
      <c r="H685" s="11" t="s">
        <v>412</v>
      </c>
      <c r="I685" s="12" t="s">
        <v>413</v>
      </c>
      <c r="J685" s="25">
        <v>43243</v>
      </c>
      <c r="K685" s="25">
        <v>43822</v>
      </c>
      <c r="L685" s="26">
        <f t="shared" si="260"/>
        <v>82.304187377441963</v>
      </c>
      <c r="M685" s="11" t="s">
        <v>272</v>
      </c>
      <c r="N685" s="11" t="s">
        <v>411</v>
      </c>
      <c r="O685" s="11" t="s">
        <v>411</v>
      </c>
      <c r="P685" s="27" t="s">
        <v>274</v>
      </c>
      <c r="Q685" s="11" t="s">
        <v>34</v>
      </c>
      <c r="R685" s="2">
        <f t="shared" si="261"/>
        <v>813947.08000000007</v>
      </c>
      <c r="S685" s="2">
        <v>656377.4</v>
      </c>
      <c r="T685" s="2">
        <v>157569.68</v>
      </c>
      <c r="U685" s="2">
        <f t="shared" si="265"/>
        <v>155223.71000000002</v>
      </c>
      <c r="V685" s="28">
        <v>115831.3</v>
      </c>
      <c r="W685" s="28">
        <v>39392.410000000003</v>
      </c>
      <c r="X685" s="2">
        <f t="shared" si="262"/>
        <v>0</v>
      </c>
      <c r="Y685" s="2">
        <v>0</v>
      </c>
      <c r="Z685" s="2">
        <v>0</v>
      </c>
      <c r="AA685" s="2">
        <f t="shared" si="263"/>
        <v>19778.990000000002</v>
      </c>
      <c r="AB685" s="2">
        <v>15759.36</v>
      </c>
      <c r="AC685" s="2">
        <v>4019.63</v>
      </c>
      <c r="AD685" s="16">
        <f t="shared" si="259"/>
        <v>988949.78</v>
      </c>
      <c r="AE685" s="2">
        <v>0</v>
      </c>
      <c r="AF685" s="2">
        <f t="shared" si="264"/>
        <v>988949.78</v>
      </c>
      <c r="AG685" s="38" t="s">
        <v>857</v>
      </c>
      <c r="AH685" s="29" t="s">
        <v>1374</v>
      </c>
      <c r="AI685" s="30">
        <f>508508.59+217597.28+20606.15-1971.58+7286.02</f>
        <v>752026.46000000008</v>
      </c>
      <c r="AJ685" s="30">
        <f>79461.28+51123.81+3929.69+7150.18+1750.08</f>
        <v>143415.03999999998</v>
      </c>
    </row>
    <row r="686" spans="1:36" s="179" customFormat="1" ht="141.75" x14ac:dyDescent="0.25">
      <c r="A686" s="6">
        <v>683</v>
      </c>
      <c r="B686" s="31">
        <v>110998</v>
      </c>
      <c r="C686" s="11">
        <v>333</v>
      </c>
      <c r="D686" s="11" t="s">
        <v>143</v>
      </c>
      <c r="E686" s="24" t="s">
        <v>270</v>
      </c>
      <c r="F686" s="27" t="s">
        <v>414</v>
      </c>
      <c r="G686" s="27" t="s">
        <v>415</v>
      </c>
      <c r="H686" s="8" t="s">
        <v>151</v>
      </c>
      <c r="I686" s="12" t="s">
        <v>453</v>
      </c>
      <c r="J686" s="25">
        <v>43244</v>
      </c>
      <c r="K686" s="25">
        <v>43762</v>
      </c>
      <c r="L686" s="26">
        <f t="shared" si="260"/>
        <v>82.304186800362686</v>
      </c>
      <c r="M686" s="11" t="s">
        <v>272</v>
      </c>
      <c r="N686" s="11" t="s">
        <v>261</v>
      </c>
      <c r="O686" s="11" t="s">
        <v>261</v>
      </c>
      <c r="P686" s="27" t="s">
        <v>274</v>
      </c>
      <c r="Q686" s="11" t="s">
        <v>34</v>
      </c>
      <c r="R686" s="2">
        <f t="shared" si="261"/>
        <v>802303.17999999993</v>
      </c>
      <c r="S686" s="2">
        <v>646987.62</v>
      </c>
      <c r="T686" s="2">
        <v>155315.56</v>
      </c>
      <c r="U686" s="2">
        <f t="shared" si="265"/>
        <v>153003.18</v>
      </c>
      <c r="V686" s="28">
        <v>114174.29</v>
      </c>
      <c r="W686" s="28">
        <v>38828.89</v>
      </c>
      <c r="X686" s="2">
        <f t="shared" si="262"/>
        <v>0</v>
      </c>
      <c r="Y686" s="151">
        <v>0</v>
      </c>
      <c r="Z686" s="151">
        <v>0</v>
      </c>
      <c r="AA686" s="2">
        <f t="shared" si="263"/>
        <v>19496.03</v>
      </c>
      <c r="AB686" s="2">
        <v>15533.9</v>
      </c>
      <c r="AC686" s="2">
        <v>3962.13</v>
      </c>
      <c r="AD686" s="16">
        <f t="shared" si="259"/>
        <v>974802.3899999999</v>
      </c>
      <c r="AE686" s="2">
        <v>0</v>
      </c>
      <c r="AF686" s="2">
        <f t="shared" si="264"/>
        <v>974802.3899999999</v>
      </c>
      <c r="AG686" s="21" t="s">
        <v>857</v>
      </c>
      <c r="AH686" s="29" t="s">
        <v>1263</v>
      </c>
      <c r="AI686" s="30">
        <f>685815.27+32782.58+20651.76+10555.66</f>
        <v>749805.27</v>
      </c>
      <c r="AJ686" s="30">
        <f>115562.98+6251.8+3938.4+17238.46</f>
        <v>142991.63999999998</v>
      </c>
    </row>
    <row r="687" spans="1:36" s="179" customFormat="1" ht="220.5" x14ac:dyDescent="0.25">
      <c r="A687" s="6">
        <v>684</v>
      </c>
      <c r="B687" s="152">
        <v>115759</v>
      </c>
      <c r="C687" s="138">
        <v>400</v>
      </c>
      <c r="D687" s="138" t="s">
        <v>143</v>
      </c>
      <c r="E687" s="139" t="s">
        <v>373</v>
      </c>
      <c r="F687" s="153" t="s">
        <v>514</v>
      </c>
      <c r="G687" s="138" t="s">
        <v>515</v>
      </c>
      <c r="H687" s="138" t="s">
        <v>516</v>
      </c>
      <c r="I687" s="154" t="s">
        <v>517</v>
      </c>
      <c r="J687" s="155">
        <v>43270</v>
      </c>
      <c r="K687" s="25">
        <v>44853</v>
      </c>
      <c r="L687" s="26">
        <f t="shared" si="260"/>
        <v>83.98386254912667</v>
      </c>
      <c r="M687" s="138" t="s">
        <v>272</v>
      </c>
      <c r="N687" s="11" t="s">
        <v>261</v>
      </c>
      <c r="O687" s="11" t="s">
        <v>261</v>
      </c>
      <c r="P687" s="153" t="s">
        <v>138</v>
      </c>
      <c r="Q687" s="138" t="s">
        <v>34</v>
      </c>
      <c r="R687" s="2">
        <f t="shared" si="261"/>
        <v>6356286.5300000003</v>
      </c>
      <c r="S687" s="2">
        <v>5125791.33</v>
      </c>
      <c r="T687" s="2">
        <v>1230495.2</v>
      </c>
      <c r="U687" s="2">
        <f t="shared" si="265"/>
        <v>0</v>
      </c>
      <c r="V687" s="28">
        <v>0</v>
      </c>
      <c r="W687" s="28">
        <v>0</v>
      </c>
      <c r="X687" s="2">
        <f t="shared" si="262"/>
        <v>1212175.24</v>
      </c>
      <c r="Y687" s="2">
        <v>904551.39</v>
      </c>
      <c r="Z687" s="2">
        <v>307623.84999999998</v>
      </c>
      <c r="AA687" s="2">
        <f t="shared" si="263"/>
        <v>0</v>
      </c>
      <c r="AB687" s="2">
        <v>0</v>
      </c>
      <c r="AC687" s="2">
        <v>0</v>
      </c>
      <c r="AD687" s="16">
        <f t="shared" si="259"/>
        <v>7568461.7700000005</v>
      </c>
      <c r="AE687" s="2"/>
      <c r="AF687" s="2">
        <f t="shared" si="264"/>
        <v>7568461.7700000005</v>
      </c>
      <c r="AG687" s="38" t="s">
        <v>857</v>
      </c>
      <c r="AH687" s="29" t="s">
        <v>1806</v>
      </c>
      <c r="AI687" s="30">
        <f>4870800.16+213439.97+149727.1+41958.34+400275.16+91968.64+22797.41+18285.05+5114.62+15958.97+25599.96+13107.23</f>
        <v>5869032.6099999994</v>
      </c>
      <c r="AJ687" s="30">
        <v>0</v>
      </c>
    </row>
    <row r="688" spans="1:36" s="179" customFormat="1" ht="158.25" thickBot="1" x14ac:dyDescent="0.3">
      <c r="A688" s="6">
        <v>685</v>
      </c>
      <c r="B688" s="31">
        <v>118716</v>
      </c>
      <c r="C688" s="11">
        <v>455</v>
      </c>
      <c r="D688" s="97" t="s">
        <v>1640</v>
      </c>
      <c r="E688" s="24" t="s">
        <v>425</v>
      </c>
      <c r="F688" s="11" t="s">
        <v>423</v>
      </c>
      <c r="G688" s="27" t="s">
        <v>424</v>
      </c>
      <c r="H688" s="8" t="s">
        <v>151</v>
      </c>
      <c r="I688" s="12" t="s">
        <v>455</v>
      </c>
      <c r="J688" s="25">
        <v>43249</v>
      </c>
      <c r="K688" s="25">
        <v>44590</v>
      </c>
      <c r="L688" s="26">
        <f t="shared" si="260"/>
        <v>83.983862841968545</v>
      </c>
      <c r="M688" s="11" t="s">
        <v>272</v>
      </c>
      <c r="N688" s="11" t="s">
        <v>261</v>
      </c>
      <c r="O688" s="11" t="s">
        <v>261</v>
      </c>
      <c r="P688" s="27" t="s">
        <v>138</v>
      </c>
      <c r="Q688" s="11" t="s">
        <v>34</v>
      </c>
      <c r="R688" s="2">
        <f t="shared" si="261"/>
        <v>2343689.42</v>
      </c>
      <c r="S688" s="2">
        <v>1889981.33</v>
      </c>
      <c r="T688" s="2">
        <v>453708.09</v>
      </c>
      <c r="U688" s="2">
        <f t="shared" si="265"/>
        <v>0</v>
      </c>
      <c r="V688" s="28"/>
      <c r="W688" s="28"/>
      <c r="X688" s="2">
        <f t="shared" si="262"/>
        <v>446953.14</v>
      </c>
      <c r="Y688" s="2">
        <v>333526.11</v>
      </c>
      <c r="Z688" s="2">
        <v>113427.03</v>
      </c>
      <c r="AA688" s="2">
        <f t="shared" si="263"/>
        <v>0</v>
      </c>
      <c r="AB688" s="2">
        <v>0</v>
      </c>
      <c r="AC688" s="2">
        <v>0</v>
      </c>
      <c r="AD688" s="16">
        <f t="shared" si="259"/>
        <v>2790642.56</v>
      </c>
      <c r="AE688" s="2">
        <v>0</v>
      </c>
      <c r="AF688" s="2">
        <f t="shared" si="264"/>
        <v>2790642.56</v>
      </c>
      <c r="AG688" s="38" t="s">
        <v>857</v>
      </c>
      <c r="AH688" s="29" t="s">
        <v>1926</v>
      </c>
      <c r="AI688" s="30">
        <f>145011.94+359253.32+95755.51+413834.13+212612.28+361774.06+13423.98+9573.32+298573.91+81968.49+63221.23</f>
        <v>2055002.17</v>
      </c>
      <c r="AJ688" s="30">
        <v>0</v>
      </c>
    </row>
    <row r="689" spans="1:36" s="179" customFormat="1" ht="283.5" x14ac:dyDescent="0.25">
      <c r="A689" s="6">
        <v>686</v>
      </c>
      <c r="B689" s="31">
        <v>109777</v>
      </c>
      <c r="C689" s="11">
        <v>363</v>
      </c>
      <c r="D689" s="11" t="s">
        <v>143</v>
      </c>
      <c r="E689" s="24" t="s">
        <v>270</v>
      </c>
      <c r="F689" s="27" t="s">
        <v>1900</v>
      </c>
      <c r="G689" s="15" t="s">
        <v>426</v>
      </c>
      <c r="H689" s="8" t="s">
        <v>151</v>
      </c>
      <c r="I689" s="44" t="s">
        <v>427</v>
      </c>
      <c r="J689" s="25">
        <v>43251</v>
      </c>
      <c r="K689" s="25">
        <v>43738</v>
      </c>
      <c r="L689" s="26">
        <f t="shared" si="260"/>
        <v>82.304185429325983</v>
      </c>
      <c r="M689" s="11" t="s">
        <v>272</v>
      </c>
      <c r="N689" s="11" t="s">
        <v>219</v>
      </c>
      <c r="O689" s="11" t="s">
        <v>357</v>
      </c>
      <c r="P689" s="27" t="s">
        <v>274</v>
      </c>
      <c r="Q689" s="11" t="s">
        <v>34</v>
      </c>
      <c r="R689" s="2">
        <f t="shared" si="261"/>
        <v>809738</v>
      </c>
      <c r="S689" s="2">
        <v>652983.16</v>
      </c>
      <c r="T689" s="2">
        <v>156754.84</v>
      </c>
      <c r="U689" s="2">
        <f t="shared" si="265"/>
        <v>154421.03</v>
      </c>
      <c r="V689" s="28">
        <v>115232.31</v>
      </c>
      <c r="W689" s="28">
        <v>39188.720000000001</v>
      </c>
      <c r="X689" s="2">
        <f t="shared" si="262"/>
        <v>0</v>
      </c>
      <c r="Y689" s="2">
        <v>0</v>
      </c>
      <c r="Z689" s="2">
        <v>0</v>
      </c>
      <c r="AA689" s="2">
        <f t="shared" si="263"/>
        <v>19676.72</v>
      </c>
      <c r="AB689" s="2">
        <v>15677.86</v>
      </c>
      <c r="AC689" s="2">
        <v>3998.86</v>
      </c>
      <c r="AD689" s="16">
        <f t="shared" si="259"/>
        <v>983835.75</v>
      </c>
      <c r="AE689" s="5">
        <v>0</v>
      </c>
      <c r="AF689" s="2">
        <f t="shared" si="264"/>
        <v>983835.75</v>
      </c>
      <c r="AG689" s="21" t="s">
        <v>857</v>
      </c>
      <c r="AH689" s="29" t="s">
        <v>1225</v>
      </c>
      <c r="AI689" s="156">
        <f>98383.57+67957.2+131759+61030.49+98383.57-15548.08+97077.59+100688.53-14300.18+89286.06+87658.61-28814.78</f>
        <v>773561.58</v>
      </c>
      <c r="AJ689" s="30">
        <f>12959.77+25127.1+30401.05+15548.08+19201.81+14300.18+16716.91+13267.11</f>
        <v>147522.01</v>
      </c>
    </row>
    <row r="690" spans="1:36" s="179" customFormat="1" ht="189" x14ac:dyDescent="0.25">
      <c r="A690" s="6">
        <v>687</v>
      </c>
      <c r="B690" s="31">
        <v>112263</v>
      </c>
      <c r="C690" s="11">
        <v>212</v>
      </c>
      <c r="D690" s="11" t="s">
        <v>143</v>
      </c>
      <c r="E690" s="24" t="s">
        <v>270</v>
      </c>
      <c r="F690" s="27" t="s">
        <v>1901</v>
      </c>
      <c r="G690" s="27" t="s">
        <v>430</v>
      </c>
      <c r="H690" s="8" t="s">
        <v>151</v>
      </c>
      <c r="I690" s="12" t="s">
        <v>456</v>
      </c>
      <c r="J690" s="25">
        <v>43257</v>
      </c>
      <c r="K690" s="25">
        <v>43744</v>
      </c>
      <c r="L690" s="26">
        <f t="shared" si="260"/>
        <v>82.304186636665435</v>
      </c>
      <c r="M690" s="11" t="s">
        <v>272</v>
      </c>
      <c r="N690" s="11" t="s">
        <v>261</v>
      </c>
      <c r="O690" s="11" t="s">
        <v>261</v>
      </c>
      <c r="P690" s="27" t="s">
        <v>274</v>
      </c>
      <c r="Q690" s="11" t="s">
        <v>34</v>
      </c>
      <c r="R690" s="2">
        <f t="shared" si="261"/>
        <v>804068.05999999994</v>
      </c>
      <c r="S690" s="2">
        <v>648410.84</v>
      </c>
      <c r="T690" s="2">
        <v>155657.22</v>
      </c>
      <c r="U690" s="2">
        <f t="shared" si="265"/>
        <v>153339.75</v>
      </c>
      <c r="V690" s="28">
        <v>114425.45</v>
      </c>
      <c r="W690" s="28">
        <v>38914.300000000003</v>
      </c>
      <c r="X690" s="157">
        <f t="shared" si="262"/>
        <v>0</v>
      </c>
      <c r="Y690" s="2">
        <v>0</v>
      </c>
      <c r="Z690" s="2">
        <v>0</v>
      </c>
      <c r="AA690" s="2">
        <f t="shared" si="263"/>
        <v>19538.919999999998</v>
      </c>
      <c r="AB690" s="2">
        <v>15568.08</v>
      </c>
      <c r="AC690" s="2">
        <v>3970.84</v>
      </c>
      <c r="AD690" s="16">
        <f t="shared" si="259"/>
        <v>976946.73</v>
      </c>
      <c r="AE690" s="2">
        <v>0</v>
      </c>
      <c r="AF690" s="2">
        <f t="shared" si="264"/>
        <v>976946.73</v>
      </c>
      <c r="AG690" s="21" t="s">
        <v>857</v>
      </c>
      <c r="AH690" s="29"/>
      <c r="AI690" s="30">
        <f>84638.59+81518.25+15437.85+121639.28+42099.38+37504.88+114980.02+153441.7</f>
        <v>651259.94999999995</v>
      </c>
      <c r="AJ690" s="30">
        <f>13056.08+21574.93+4566.35+8028.56+23258.8+5820.82+47892.94</f>
        <v>124198.48000000001</v>
      </c>
    </row>
    <row r="691" spans="1:36" s="179" customFormat="1" ht="141.75" x14ac:dyDescent="0.25">
      <c r="A691" s="6">
        <v>688</v>
      </c>
      <c r="B691" s="31">
        <v>118978</v>
      </c>
      <c r="C691" s="11">
        <v>453</v>
      </c>
      <c r="D691" s="97" t="s">
        <v>1640</v>
      </c>
      <c r="E691" s="24" t="s">
        <v>425</v>
      </c>
      <c r="F691" s="27" t="s">
        <v>429</v>
      </c>
      <c r="G691" s="27" t="s">
        <v>428</v>
      </c>
      <c r="H691" s="8" t="s">
        <v>151</v>
      </c>
      <c r="I691" s="12" t="s">
        <v>2936</v>
      </c>
      <c r="J691" s="25">
        <v>43257</v>
      </c>
      <c r="K691" s="25">
        <v>45266</v>
      </c>
      <c r="L691" s="26">
        <f t="shared" si="260"/>
        <v>83.983863086542428</v>
      </c>
      <c r="M691" s="11" t="s">
        <v>272</v>
      </c>
      <c r="N691" s="11" t="s">
        <v>261</v>
      </c>
      <c r="O691" s="11" t="s">
        <v>261</v>
      </c>
      <c r="P691" s="27" t="s">
        <v>138</v>
      </c>
      <c r="Q691" s="11" t="s">
        <v>34</v>
      </c>
      <c r="R691" s="2">
        <f t="shared" si="261"/>
        <v>10919953.02</v>
      </c>
      <c r="S691" s="2">
        <v>8805990.6999999993</v>
      </c>
      <c r="T691" s="2">
        <v>2113962.3199999998</v>
      </c>
      <c r="U691" s="2">
        <f t="shared" si="265"/>
        <v>0</v>
      </c>
      <c r="V691" s="28">
        <v>0</v>
      </c>
      <c r="W691" s="28">
        <v>0</v>
      </c>
      <c r="X691" s="2">
        <f t="shared" si="262"/>
        <v>2082488.9000000001</v>
      </c>
      <c r="Y691" s="2">
        <v>1553998.34</v>
      </c>
      <c r="Z691" s="2">
        <v>528490.56000000006</v>
      </c>
      <c r="AA691" s="2">
        <f t="shared" si="263"/>
        <v>0</v>
      </c>
      <c r="AB691" s="2">
        <v>0</v>
      </c>
      <c r="AC691" s="2">
        <v>0</v>
      </c>
      <c r="AD691" s="16">
        <f t="shared" si="259"/>
        <v>13002441.92</v>
      </c>
      <c r="AE691" s="2">
        <v>1503920</v>
      </c>
      <c r="AF691" s="2">
        <f t="shared" si="264"/>
        <v>14506361.92</v>
      </c>
      <c r="AG691" s="38" t="s">
        <v>486</v>
      </c>
      <c r="AH691" s="29" t="s">
        <v>1733</v>
      </c>
      <c r="AI691" s="30">
        <f>1130733.83+797136.44+44591.19+242036.75+45078.83+286038.72+673891.83+473227.59+71023.88+656509.41</f>
        <v>4420268.47</v>
      </c>
      <c r="AJ691" s="30">
        <v>0</v>
      </c>
    </row>
    <row r="692" spans="1:36" s="179" customFormat="1" ht="141.75" x14ac:dyDescent="0.25">
      <c r="A692" s="6">
        <v>689</v>
      </c>
      <c r="B692" s="31">
        <v>119317</v>
      </c>
      <c r="C692" s="11">
        <v>456</v>
      </c>
      <c r="D692" s="97" t="s">
        <v>1640</v>
      </c>
      <c r="E692" s="24" t="s">
        <v>425</v>
      </c>
      <c r="F692" s="27" t="s">
        <v>461</v>
      </c>
      <c r="G692" s="27" t="s">
        <v>518</v>
      </c>
      <c r="H692" s="8" t="s">
        <v>151</v>
      </c>
      <c r="I692" s="12" t="s">
        <v>2937</v>
      </c>
      <c r="J692" s="25">
        <v>43257</v>
      </c>
      <c r="K692" s="25">
        <v>44353</v>
      </c>
      <c r="L692" s="26">
        <f t="shared" si="260"/>
        <v>83.98386278492832</v>
      </c>
      <c r="M692" s="11" t="s">
        <v>272</v>
      </c>
      <c r="N692" s="11" t="s">
        <v>261</v>
      </c>
      <c r="O692" s="11" t="s">
        <v>261</v>
      </c>
      <c r="P692" s="27" t="s">
        <v>138</v>
      </c>
      <c r="Q692" s="11" t="s">
        <v>34</v>
      </c>
      <c r="R692" s="2">
        <f t="shared" si="261"/>
        <v>26702638.300000001</v>
      </c>
      <c r="S692" s="2">
        <v>21533351.300000001</v>
      </c>
      <c r="T692" s="2">
        <v>5169287</v>
      </c>
      <c r="U692" s="2">
        <f t="shared" si="265"/>
        <v>0</v>
      </c>
      <c r="V692" s="28"/>
      <c r="W692" s="28"/>
      <c r="X692" s="2">
        <f t="shared" si="262"/>
        <v>5092324.9399999995</v>
      </c>
      <c r="Y692" s="2">
        <v>3800003.21</v>
      </c>
      <c r="Z692" s="2">
        <v>1292321.73</v>
      </c>
      <c r="AA692" s="2">
        <f t="shared" si="263"/>
        <v>0</v>
      </c>
      <c r="AB692" s="2">
        <v>0</v>
      </c>
      <c r="AC692" s="2">
        <v>0</v>
      </c>
      <c r="AD692" s="16">
        <f t="shared" si="259"/>
        <v>31794963.240000002</v>
      </c>
      <c r="AE692" s="2">
        <v>0</v>
      </c>
      <c r="AF692" s="2">
        <f t="shared" si="264"/>
        <v>31794963.240000002</v>
      </c>
      <c r="AG692" s="38" t="s">
        <v>857</v>
      </c>
      <c r="AH692" s="29" t="s">
        <v>1715</v>
      </c>
      <c r="AI692" s="30">
        <f>13204122.23+142867.13+282693.25+662367.12+10832840.9+52086.64</f>
        <v>25176977.270000003</v>
      </c>
      <c r="AJ692" s="30">
        <v>0</v>
      </c>
    </row>
    <row r="693" spans="1:36" s="179" customFormat="1" ht="267.75" x14ac:dyDescent="0.25">
      <c r="A693" s="6">
        <v>690</v>
      </c>
      <c r="B693" s="31">
        <v>111319</v>
      </c>
      <c r="C693" s="11">
        <v>359</v>
      </c>
      <c r="D693" s="11" t="s">
        <v>143</v>
      </c>
      <c r="E693" s="24" t="s">
        <v>270</v>
      </c>
      <c r="F693" s="27" t="s">
        <v>464</v>
      </c>
      <c r="G693" s="27" t="s">
        <v>462</v>
      </c>
      <c r="H693" s="11" t="s">
        <v>465</v>
      </c>
      <c r="I693" s="12" t="s">
        <v>2938</v>
      </c>
      <c r="J693" s="25">
        <v>43256</v>
      </c>
      <c r="K693" s="25">
        <v>43866</v>
      </c>
      <c r="L693" s="26">
        <f t="shared" si="260"/>
        <v>82.304189744785745</v>
      </c>
      <c r="M693" s="11" t="s">
        <v>272</v>
      </c>
      <c r="N693" s="11" t="s">
        <v>361</v>
      </c>
      <c r="O693" s="11" t="s">
        <v>361</v>
      </c>
      <c r="P693" s="27" t="s">
        <v>274</v>
      </c>
      <c r="Q693" s="11" t="s">
        <v>34</v>
      </c>
      <c r="R693" s="2">
        <f t="shared" si="261"/>
        <v>822860.82000000007</v>
      </c>
      <c r="S693" s="2">
        <v>663565.56000000006</v>
      </c>
      <c r="T693" s="2">
        <v>159295.26</v>
      </c>
      <c r="U693" s="2">
        <f t="shared" si="265"/>
        <v>156923.62</v>
      </c>
      <c r="V693" s="28">
        <v>117099.8</v>
      </c>
      <c r="W693" s="28">
        <v>39823.82</v>
      </c>
      <c r="X693" s="2">
        <f t="shared" si="262"/>
        <v>0</v>
      </c>
      <c r="Y693" s="2">
        <v>0</v>
      </c>
      <c r="Z693" s="2">
        <v>0</v>
      </c>
      <c r="AA693" s="2">
        <f t="shared" si="263"/>
        <v>19995.55</v>
      </c>
      <c r="AB693" s="2">
        <v>15931.91</v>
      </c>
      <c r="AC693" s="2">
        <v>4063.64</v>
      </c>
      <c r="AD693" s="16">
        <f t="shared" si="259"/>
        <v>999779.99000000011</v>
      </c>
      <c r="AE693" s="2">
        <v>0</v>
      </c>
      <c r="AF693" s="2">
        <f t="shared" si="264"/>
        <v>999779.99000000011</v>
      </c>
      <c r="AG693" s="38" t="s">
        <v>1427</v>
      </c>
      <c r="AH693" s="29" t="s">
        <v>1384</v>
      </c>
      <c r="AI693" s="30">
        <v>789088.58</v>
      </c>
      <c r="AJ693" s="30">
        <v>150483.12000000002</v>
      </c>
    </row>
    <row r="694" spans="1:36" s="179" customFormat="1" ht="409.5" x14ac:dyDescent="0.25">
      <c r="A694" s="6">
        <v>691</v>
      </c>
      <c r="B694" s="31">
        <v>111320</v>
      </c>
      <c r="C694" s="11">
        <v>132</v>
      </c>
      <c r="D694" s="11" t="s">
        <v>143</v>
      </c>
      <c r="E694" s="24" t="s">
        <v>270</v>
      </c>
      <c r="F694" s="27" t="s">
        <v>466</v>
      </c>
      <c r="G694" s="27" t="s">
        <v>467</v>
      </c>
      <c r="H694" s="8" t="s">
        <v>151</v>
      </c>
      <c r="I694" s="12" t="s">
        <v>468</v>
      </c>
      <c r="J694" s="25">
        <v>43258</v>
      </c>
      <c r="K694" s="25">
        <v>43745</v>
      </c>
      <c r="L694" s="26">
        <f t="shared" si="260"/>
        <v>82.304187069212688</v>
      </c>
      <c r="M694" s="11" t="s">
        <v>272</v>
      </c>
      <c r="N694" s="11" t="s">
        <v>261</v>
      </c>
      <c r="O694" s="11" t="s">
        <v>261</v>
      </c>
      <c r="P694" s="27" t="s">
        <v>274</v>
      </c>
      <c r="Q694" s="11" t="s">
        <v>34</v>
      </c>
      <c r="R694" s="2">
        <f t="shared" si="261"/>
        <v>745773.49</v>
      </c>
      <c r="S694" s="2">
        <v>601401.34</v>
      </c>
      <c r="T694" s="2">
        <v>144372.15</v>
      </c>
      <c r="U694" s="2">
        <f t="shared" si="265"/>
        <v>142222.68</v>
      </c>
      <c r="V694" s="28">
        <v>106129.65</v>
      </c>
      <c r="W694" s="28">
        <v>36093.03</v>
      </c>
      <c r="X694" s="2">
        <f t="shared" si="262"/>
        <v>0</v>
      </c>
      <c r="Y694" s="2">
        <v>0</v>
      </c>
      <c r="Z694" s="2">
        <v>0</v>
      </c>
      <c r="AA694" s="2">
        <f t="shared" si="263"/>
        <v>18122.36</v>
      </c>
      <c r="AB694" s="2">
        <v>14439.4</v>
      </c>
      <c r="AC694" s="2">
        <v>3682.96</v>
      </c>
      <c r="AD694" s="16">
        <f t="shared" si="259"/>
        <v>906118.52999999991</v>
      </c>
      <c r="AE694" s="2">
        <v>0</v>
      </c>
      <c r="AF694" s="2">
        <f t="shared" si="264"/>
        <v>906118.52999999991</v>
      </c>
      <c r="AG694" s="21" t="s">
        <v>857</v>
      </c>
      <c r="AH694" s="29"/>
      <c r="AI694" s="30">
        <f>592141.33+76026.28+52285.05</f>
        <v>720452.66</v>
      </c>
      <c r="AJ694" s="30">
        <f>23379.78+18253.47+17321.01+18762.68+17927.2+31778.72+9971.04</f>
        <v>137393.9</v>
      </c>
    </row>
    <row r="695" spans="1:36" s="179" customFormat="1" ht="141.75" x14ac:dyDescent="0.25">
      <c r="A695" s="6">
        <v>692</v>
      </c>
      <c r="B695" s="31">
        <v>110527</v>
      </c>
      <c r="C695" s="11">
        <v>353</v>
      </c>
      <c r="D695" s="11" t="s">
        <v>143</v>
      </c>
      <c r="E695" s="24" t="s">
        <v>270</v>
      </c>
      <c r="F695" s="27" t="s">
        <v>469</v>
      </c>
      <c r="G695" s="27" t="s">
        <v>470</v>
      </c>
      <c r="H695" s="11" t="s">
        <v>471</v>
      </c>
      <c r="I695" s="12" t="s">
        <v>2939</v>
      </c>
      <c r="J695" s="25">
        <v>43258</v>
      </c>
      <c r="K695" s="25">
        <v>43745</v>
      </c>
      <c r="L695" s="26">
        <f t="shared" si="260"/>
        <v>82.304183804307399</v>
      </c>
      <c r="M695" s="11" t="s">
        <v>272</v>
      </c>
      <c r="N695" s="11" t="s">
        <v>261</v>
      </c>
      <c r="O695" s="11" t="s">
        <v>261</v>
      </c>
      <c r="P695" s="27" t="s">
        <v>274</v>
      </c>
      <c r="Q695" s="11" t="s">
        <v>34</v>
      </c>
      <c r="R695" s="2">
        <f t="shared" si="261"/>
        <v>797101.36999999988</v>
      </c>
      <c r="S695" s="2">
        <v>642792.81999999995</v>
      </c>
      <c r="T695" s="2">
        <v>154308.54999999999</v>
      </c>
      <c r="U695" s="2">
        <f t="shared" si="265"/>
        <v>152011.18</v>
      </c>
      <c r="V695" s="28">
        <v>113434.03</v>
      </c>
      <c r="W695" s="28">
        <v>38577.15</v>
      </c>
      <c r="X695" s="2">
        <f t="shared" si="262"/>
        <v>0</v>
      </c>
      <c r="Y695" s="2">
        <v>0</v>
      </c>
      <c r="Z695" s="2">
        <v>0</v>
      </c>
      <c r="AA695" s="2">
        <f t="shared" si="263"/>
        <v>19369.649999999998</v>
      </c>
      <c r="AB695" s="2">
        <v>15433.21</v>
      </c>
      <c r="AC695" s="2">
        <v>3936.44</v>
      </c>
      <c r="AD695" s="16">
        <f t="shared" si="259"/>
        <v>968482.19999999984</v>
      </c>
      <c r="AE695" s="2"/>
      <c r="AF695" s="2">
        <f t="shared" si="264"/>
        <v>968482.19999999984</v>
      </c>
      <c r="AG695" s="21" t="s">
        <v>857</v>
      </c>
      <c r="AH695" s="29"/>
      <c r="AI695" s="30">
        <f>151069.39+15306.08+96848.21+24994.02+61062.29+191670.85+146395.04</f>
        <v>687345.88</v>
      </c>
      <c r="AJ695" s="30">
        <f>10340.24+21388.37+4766.48+30114.35+18083.14+46387.73</f>
        <v>131080.31</v>
      </c>
    </row>
    <row r="696" spans="1:36" s="179" customFormat="1" ht="157.5" x14ac:dyDescent="0.25">
      <c r="A696" s="6">
        <v>693</v>
      </c>
      <c r="B696" s="31">
        <v>112412</v>
      </c>
      <c r="C696" s="11">
        <v>269</v>
      </c>
      <c r="D696" s="11" t="s">
        <v>143</v>
      </c>
      <c r="E696" s="24" t="s">
        <v>270</v>
      </c>
      <c r="F696" s="27" t="s">
        <v>472</v>
      </c>
      <c r="G696" s="27" t="s">
        <v>473</v>
      </c>
      <c r="H696" s="11" t="s">
        <v>474</v>
      </c>
      <c r="I696" s="12" t="s">
        <v>2940</v>
      </c>
      <c r="J696" s="25">
        <v>43259</v>
      </c>
      <c r="K696" s="25">
        <v>43869</v>
      </c>
      <c r="L696" s="26">
        <f t="shared" si="260"/>
        <v>82.304183541065214</v>
      </c>
      <c r="M696" s="11" t="s">
        <v>272</v>
      </c>
      <c r="N696" s="11" t="s">
        <v>261</v>
      </c>
      <c r="O696" s="11" t="s">
        <v>261</v>
      </c>
      <c r="P696" s="27" t="s">
        <v>274</v>
      </c>
      <c r="Q696" s="11" t="s">
        <v>34</v>
      </c>
      <c r="R696" s="2">
        <f t="shared" si="261"/>
        <v>789670.74</v>
      </c>
      <c r="S696" s="2">
        <v>636800.65</v>
      </c>
      <c r="T696" s="2">
        <v>152870.09</v>
      </c>
      <c r="U696" s="2">
        <f t="shared" si="265"/>
        <v>150594.14000000001</v>
      </c>
      <c r="V696" s="28">
        <v>112376.61</v>
      </c>
      <c r="W696" s="28">
        <v>38217.53</v>
      </c>
      <c r="X696" s="2">
        <f t="shared" si="262"/>
        <v>0</v>
      </c>
      <c r="Y696" s="2">
        <v>0</v>
      </c>
      <c r="Z696" s="2">
        <v>0</v>
      </c>
      <c r="AA696" s="2">
        <f t="shared" si="263"/>
        <v>19189.07</v>
      </c>
      <c r="AB696" s="2">
        <v>15289.33</v>
      </c>
      <c r="AC696" s="2">
        <v>3899.74</v>
      </c>
      <c r="AD696" s="16">
        <f t="shared" si="259"/>
        <v>959453.95</v>
      </c>
      <c r="AE696" s="2"/>
      <c r="AF696" s="2">
        <f t="shared" si="264"/>
        <v>959453.95</v>
      </c>
      <c r="AG696" s="38" t="s">
        <v>1427</v>
      </c>
      <c r="AH696" s="29" t="s">
        <v>1296</v>
      </c>
      <c r="AI696" s="30">
        <f>95945.38+5019.44+25010.26+9763.75+114260.12+16124.2+16125.04+203494.65+30475.94+16453.44+90320.57+23005.98</f>
        <v>645998.77</v>
      </c>
      <c r="AJ696" s="30">
        <f>7941.36+4769.59+16667.83+3074.99+3075.12+38807.41+5811.93+3137.74+21791.13+18118.11</f>
        <v>123195.21000000002</v>
      </c>
    </row>
    <row r="697" spans="1:36" s="179" customFormat="1" ht="378" x14ac:dyDescent="0.25">
      <c r="A697" s="6">
        <v>694</v>
      </c>
      <c r="B697" s="31">
        <v>113035</v>
      </c>
      <c r="C697" s="11">
        <v>332</v>
      </c>
      <c r="D697" s="11" t="s">
        <v>143</v>
      </c>
      <c r="E697" s="24" t="s">
        <v>270</v>
      </c>
      <c r="F697" s="27" t="s">
        <v>475</v>
      </c>
      <c r="G697" s="11" t="s">
        <v>476</v>
      </c>
      <c r="H697" s="8" t="s">
        <v>151</v>
      </c>
      <c r="I697" s="12" t="s">
        <v>2941</v>
      </c>
      <c r="J697" s="25">
        <v>43258</v>
      </c>
      <c r="K697" s="25">
        <v>43745</v>
      </c>
      <c r="L697" s="26">
        <f t="shared" si="260"/>
        <v>82.304190781814583</v>
      </c>
      <c r="M697" s="11" t="s">
        <v>272</v>
      </c>
      <c r="N697" s="11" t="s">
        <v>261</v>
      </c>
      <c r="O697" s="11" t="s">
        <v>261</v>
      </c>
      <c r="P697" s="27" t="s">
        <v>274</v>
      </c>
      <c r="Q697" s="11" t="s">
        <v>34</v>
      </c>
      <c r="R697" s="2">
        <f t="shared" si="261"/>
        <v>813615.64999999991</v>
      </c>
      <c r="S697" s="2">
        <v>656110.1</v>
      </c>
      <c r="T697" s="2">
        <v>157505.54999999999</v>
      </c>
      <c r="U697" s="2">
        <f t="shared" si="265"/>
        <v>155160.44</v>
      </c>
      <c r="V697" s="28">
        <v>115784.14</v>
      </c>
      <c r="W697" s="28">
        <v>39376.300000000003</v>
      </c>
      <c r="X697" s="2">
        <f t="shared" si="262"/>
        <v>0</v>
      </c>
      <c r="Y697" s="2">
        <v>0</v>
      </c>
      <c r="Z697" s="2">
        <v>0</v>
      </c>
      <c r="AA697" s="2">
        <f t="shared" si="263"/>
        <v>19770.96</v>
      </c>
      <c r="AB697" s="2">
        <v>15752.93</v>
      </c>
      <c r="AC697" s="2">
        <v>4018.03</v>
      </c>
      <c r="AD697" s="16">
        <f t="shared" si="259"/>
        <v>988547.04999999981</v>
      </c>
      <c r="AE697" s="2">
        <v>0</v>
      </c>
      <c r="AF697" s="2">
        <f t="shared" si="264"/>
        <v>988547.04999999981</v>
      </c>
      <c r="AG697" s="21" t="s">
        <v>857</v>
      </c>
      <c r="AH697" s="29" t="s">
        <v>1292</v>
      </c>
      <c r="AI697" s="30">
        <f>660984.49+9608.72+119843.6-177</f>
        <v>790259.80999999994</v>
      </c>
      <c r="AJ697" s="30">
        <f>107200.99+19833+22854.78+817.6</f>
        <v>150706.37000000002</v>
      </c>
    </row>
    <row r="698" spans="1:36" s="179" customFormat="1" ht="252" x14ac:dyDescent="0.25">
      <c r="A698" s="6">
        <v>695</v>
      </c>
      <c r="B698" s="31">
        <v>112992</v>
      </c>
      <c r="C698" s="31">
        <v>233</v>
      </c>
      <c r="D698" s="11" t="s">
        <v>143</v>
      </c>
      <c r="E698" s="24" t="s">
        <v>270</v>
      </c>
      <c r="F698" s="67" t="s">
        <v>477</v>
      </c>
      <c r="G698" s="11" t="s">
        <v>478</v>
      </c>
      <c r="H698" s="8" t="s">
        <v>151</v>
      </c>
      <c r="I698" s="12" t="s">
        <v>2942</v>
      </c>
      <c r="J698" s="25">
        <v>43259</v>
      </c>
      <c r="K698" s="25">
        <v>43807</v>
      </c>
      <c r="L698" s="26">
        <f t="shared" si="260"/>
        <v>82.304185804634827</v>
      </c>
      <c r="M698" s="11" t="s">
        <v>272</v>
      </c>
      <c r="N698" s="11" t="s">
        <v>261</v>
      </c>
      <c r="O698" s="11" t="s">
        <v>261</v>
      </c>
      <c r="P698" s="27" t="s">
        <v>274</v>
      </c>
      <c r="Q698" s="11" t="s">
        <v>34</v>
      </c>
      <c r="R698" s="2">
        <f t="shared" si="261"/>
        <v>413202.42000000004</v>
      </c>
      <c r="S698" s="2">
        <v>333211.76</v>
      </c>
      <c r="T698" s="2">
        <v>79990.66</v>
      </c>
      <c r="U698" s="2">
        <f t="shared" si="265"/>
        <v>78799.740000000005</v>
      </c>
      <c r="V698" s="28">
        <v>58802.080000000002</v>
      </c>
      <c r="W698" s="28">
        <v>19997.66</v>
      </c>
      <c r="X698" s="2">
        <f t="shared" si="262"/>
        <v>0</v>
      </c>
      <c r="Y698" s="2">
        <v>0</v>
      </c>
      <c r="Z698" s="2">
        <v>0</v>
      </c>
      <c r="AA698" s="2">
        <f t="shared" si="263"/>
        <v>10040.86</v>
      </c>
      <c r="AB698" s="2">
        <v>8000.27</v>
      </c>
      <c r="AC698" s="2">
        <v>2040.59</v>
      </c>
      <c r="AD698" s="16">
        <f t="shared" si="259"/>
        <v>502043.02</v>
      </c>
      <c r="AE698" s="2">
        <v>96.29</v>
      </c>
      <c r="AF698" s="2">
        <f t="shared" si="264"/>
        <v>502139.31</v>
      </c>
      <c r="AG698" s="21" t="s">
        <v>857</v>
      </c>
      <c r="AH698" s="29" t="s">
        <v>1280</v>
      </c>
      <c r="AI698" s="30">
        <f>288667.07+18246.61+35182-18201.37</f>
        <v>323894.31</v>
      </c>
      <c r="AJ698" s="30">
        <f>45476.06+13053.86+3238.27</f>
        <v>61768.189999999995</v>
      </c>
    </row>
    <row r="699" spans="1:36" s="179" customFormat="1" ht="173.25" x14ac:dyDescent="0.25">
      <c r="A699" s="6">
        <v>696</v>
      </c>
      <c r="B699" s="31">
        <v>109834</v>
      </c>
      <c r="C699" s="31">
        <v>202</v>
      </c>
      <c r="D699" s="11" t="s">
        <v>143</v>
      </c>
      <c r="E699" s="24" t="s">
        <v>270</v>
      </c>
      <c r="F699" s="67" t="s">
        <v>1902</v>
      </c>
      <c r="G699" s="11" t="s">
        <v>482</v>
      </c>
      <c r="H699" s="8" t="s">
        <v>151</v>
      </c>
      <c r="I699" s="12" t="s">
        <v>2943</v>
      </c>
      <c r="J699" s="25">
        <v>43264</v>
      </c>
      <c r="K699" s="25">
        <v>43751</v>
      </c>
      <c r="L699" s="26">
        <f t="shared" si="260"/>
        <v>82.304183375849476</v>
      </c>
      <c r="M699" s="11" t="s">
        <v>272</v>
      </c>
      <c r="N699" s="11" t="s">
        <v>261</v>
      </c>
      <c r="O699" s="11" t="s">
        <v>261</v>
      </c>
      <c r="P699" s="27" t="s">
        <v>274</v>
      </c>
      <c r="Q699" s="11" t="s">
        <v>34</v>
      </c>
      <c r="R699" s="2">
        <f t="shared" si="261"/>
        <v>756907.55</v>
      </c>
      <c r="S699" s="2">
        <v>610380.03</v>
      </c>
      <c r="T699" s="2">
        <v>146527.51999999999</v>
      </c>
      <c r="U699" s="2">
        <f t="shared" si="265"/>
        <v>144346.04</v>
      </c>
      <c r="V699" s="28">
        <v>107714.13</v>
      </c>
      <c r="W699" s="28">
        <v>36631.910000000003</v>
      </c>
      <c r="X699" s="2">
        <f t="shared" si="262"/>
        <v>0</v>
      </c>
      <c r="Y699" s="2">
        <v>0</v>
      </c>
      <c r="Z699" s="2">
        <v>0</v>
      </c>
      <c r="AA699" s="2">
        <f t="shared" si="263"/>
        <v>18392.919999999998</v>
      </c>
      <c r="AB699" s="2">
        <v>14654.96</v>
      </c>
      <c r="AC699" s="2">
        <v>3737.96</v>
      </c>
      <c r="AD699" s="16">
        <f t="shared" si="259"/>
        <v>919646.51000000013</v>
      </c>
      <c r="AE699" s="2">
        <v>0</v>
      </c>
      <c r="AF699" s="2">
        <f t="shared" si="264"/>
        <v>919646.51000000013</v>
      </c>
      <c r="AG699" s="21" t="s">
        <v>857</v>
      </c>
      <c r="AH699" s="29" t="s">
        <v>1274</v>
      </c>
      <c r="AI699" s="30">
        <f>563280.08+150291.55-17456.57</f>
        <v>696115.05999999994</v>
      </c>
      <c r="AJ699" s="30">
        <f>103044.14+15874.06+13834.42</f>
        <v>132752.62</v>
      </c>
    </row>
    <row r="700" spans="1:36" s="179" customFormat="1" ht="267.75" x14ac:dyDescent="0.25">
      <c r="A700" s="6">
        <v>697</v>
      </c>
      <c r="B700" s="31">
        <v>111613</v>
      </c>
      <c r="C700" s="31">
        <v>289</v>
      </c>
      <c r="D700" s="11" t="s">
        <v>143</v>
      </c>
      <c r="E700" s="24" t="s">
        <v>270</v>
      </c>
      <c r="F700" s="67" t="s">
        <v>1903</v>
      </c>
      <c r="G700" s="11" t="s">
        <v>483</v>
      </c>
      <c r="H700" s="11" t="s">
        <v>484</v>
      </c>
      <c r="I700" s="12" t="s">
        <v>2944</v>
      </c>
      <c r="J700" s="25">
        <v>43264</v>
      </c>
      <c r="K700" s="25">
        <v>43751</v>
      </c>
      <c r="L700" s="26">
        <f t="shared" si="260"/>
        <v>82.304185024184278</v>
      </c>
      <c r="M700" s="11" t="s">
        <v>272</v>
      </c>
      <c r="N700" s="11" t="s">
        <v>485</v>
      </c>
      <c r="O700" s="11" t="s">
        <v>485</v>
      </c>
      <c r="P700" s="27" t="s">
        <v>274</v>
      </c>
      <c r="Q700" s="11" t="s">
        <v>34</v>
      </c>
      <c r="R700" s="2">
        <f t="shared" si="261"/>
        <v>790560.66</v>
      </c>
      <c r="S700" s="2">
        <v>637518.30000000005</v>
      </c>
      <c r="T700" s="2">
        <v>153042.35999999999</v>
      </c>
      <c r="U700" s="2">
        <f t="shared" si="265"/>
        <v>150763.83000000002</v>
      </c>
      <c r="V700" s="28">
        <v>112503.22</v>
      </c>
      <c r="W700" s="28">
        <v>38260.61</v>
      </c>
      <c r="X700" s="2">
        <v>0</v>
      </c>
      <c r="Y700" s="2">
        <v>0</v>
      </c>
      <c r="Z700" s="2">
        <v>0</v>
      </c>
      <c r="AA700" s="2">
        <f t="shared" si="263"/>
        <v>19210.7</v>
      </c>
      <c r="AB700" s="2">
        <v>15306.57</v>
      </c>
      <c r="AC700" s="2">
        <v>3904.13</v>
      </c>
      <c r="AD700" s="16">
        <f t="shared" si="259"/>
        <v>960535.19</v>
      </c>
      <c r="AE700" s="2">
        <v>67830</v>
      </c>
      <c r="AF700" s="2">
        <f t="shared" si="264"/>
        <v>1028365.19</v>
      </c>
      <c r="AG700" s="21" t="s">
        <v>857</v>
      </c>
      <c r="AH700" s="29" t="s">
        <v>358</v>
      </c>
      <c r="AI700" s="30">
        <f>601578.5+85673.04+17171.08</f>
        <v>704422.62</v>
      </c>
      <c r="AJ700" s="30">
        <f>96406.11+16338.28+21592.49</f>
        <v>134336.88</v>
      </c>
    </row>
    <row r="701" spans="1:36" s="179" customFormat="1" ht="173.25" x14ac:dyDescent="0.25">
      <c r="A701" s="6">
        <v>698</v>
      </c>
      <c r="B701" s="31">
        <v>112219</v>
      </c>
      <c r="C701" s="31">
        <v>274</v>
      </c>
      <c r="D701" s="11" t="s">
        <v>143</v>
      </c>
      <c r="E701" s="24" t="s">
        <v>270</v>
      </c>
      <c r="F701" s="27" t="s">
        <v>490</v>
      </c>
      <c r="G701" s="11" t="s">
        <v>491</v>
      </c>
      <c r="H701" s="11" t="s">
        <v>492</v>
      </c>
      <c r="I701" s="12" t="s">
        <v>495</v>
      </c>
      <c r="J701" s="25">
        <v>43262</v>
      </c>
      <c r="K701" s="25">
        <v>43749</v>
      </c>
      <c r="L701" s="26">
        <f t="shared" si="260"/>
        <v>82.304180101214385</v>
      </c>
      <c r="M701" s="11" t="s">
        <v>272</v>
      </c>
      <c r="N701" s="11" t="s">
        <v>493</v>
      </c>
      <c r="O701" s="11" t="s">
        <v>494</v>
      </c>
      <c r="P701" s="27" t="s">
        <v>274</v>
      </c>
      <c r="Q701" s="11" t="s">
        <v>34</v>
      </c>
      <c r="R701" s="2">
        <f t="shared" ref="R701:R718" si="266">S701+T701</f>
        <v>796246.49</v>
      </c>
      <c r="S701" s="2">
        <v>642103.43000000005</v>
      </c>
      <c r="T701" s="2">
        <v>154143.06</v>
      </c>
      <c r="U701" s="2">
        <f t="shared" si="265"/>
        <v>151848.19</v>
      </c>
      <c r="V701" s="28">
        <v>113312.41</v>
      </c>
      <c r="W701" s="28">
        <v>38535.78</v>
      </c>
      <c r="X701" s="2">
        <f t="shared" ref="X701:X731" si="267">Y701+Z701</f>
        <v>0</v>
      </c>
      <c r="Y701" s="2">
        <v>0</v>
      </c>
      <c r="Z701" s="2">
        <v>0</v>
      </c>
      <c r="AA701" s="2">
        <f t="shared" ref="AA701:AA731" si="268">AB701+AC701</f>
        <v>19348.88</v>
      </c>
      <c r="AB701" s="2">
        <v>15416.65</v>
      </c>
      <c r="AC701" s="2">
        <v>3932.23</v>
      </c>
      <c r="AD701" s="16">
        <f t="shared" si="259"/>
        <v>967443.55999999994</v>
      </c>
      <c r="AE701" s="2"/>
      <c r="AF701" s="2">
        <f t="shared" ref="AF701:AF731" si="269">AD701+AE701</f>
        <v>967443.55999999994</v>
      </c>
      <c r="AG701" s="21" t="s">
        <v>857</v>
      </c>
      <c r="AH701" s="29" t="s">
        <v>1284</v>
      </c>
      <c r="AI701" s="30">
        <f>191558.95+82810.85-11941.24+189135.5-9602.09+179531.24+112002.06-2148.73+7719.83</f>
        <v>739066.37</v>
      </c>
      <c r="AJ701" s="30">
        <f>18065.03+15792.44+11941.24+3307.22+18543.36+15614.11+16792.23+39159.49+1728.5</f>
        <v>140943.62</v>
      </c>
    </row>
    <row r="702" spans="1:36" s="179" customFormat="1" ht="141.75" x14ac:dyDescent="0.25">
      <c r="A702" s="6">
        <v>699</v>
      </c>
      <c r="B702" s="31">
        <v>111981</v>
      </c>
      <c r="C702" s="31">
        <v>264</v>
      </c>
      <c r="D702" s="11" t="s">
        <v>143</v>
      </c>
      <c r="E702" s="24" t="s">
        <v>270</v>
      </c>
      <c r="F702" s="27" t="s">
        <v>496</v>
      </c>
      <c r="G702" s="11" t="s">
        <v>497</v>
      </c>
      <c r="H702" s="11" t="s">
        <v>498</v>
      </c>
      <c r="I702" s="12" t="s">
        <v>2945</v>
      </c>
      <c r="J702" s="25">
        <v>43264</v>
      </c>
      <c r="K702" s="25">
        <v>43874</v>
      </c>
      <c r="L702" s="26">
        <f t="shared" si="260"/>
        <v>82.304187524210803</v>
      </c>
      <c r="M702" s="11" t="s">
        <v>272</v>
      </c>
      <c r="N702" s="11" t="s">
        <v>499</v>
      </c>
      <c r="O702" s="11" t="s">
        <v>357</v>
      </c>
      <c r="P702" s="27" t="s">
        <v>274</v>
      </c>
      <c r="Q702" s="11" t="s">
        <v>34</v>
      </c>
      <c r="R702" s="2">
        <f t="shared" si="266"/>
        <v>771066.18</v>
      </c>
      <c r="S702" s="2">
        <v>621797.65</v>
      </c>
      <c r="T702" s="2">
        <v>149268.53</v>
      </c>
      <c r="U702" s="2">
        <f t="shared" si="265"/>
        <v>147046.1</v>
      </c>
      <c r="V702" s="28">
        <v>109729</v>
      </c>
      <c r="W702" s="28">
        <v>37317.1</v>
      </c>
      <c r="X702" s="2">
        <f t="shared" si="267"/>
        <v>0</v>
      </c>
      <c r="Y702" s="2">
        <v>0</v>
      </c>
      <c r="Z702" s="2">
        <v>0</v>
      </c>
      <c r="AA702" s="2">
        <f t="shared" si="268"/>
        <v>18736.989999999998</v>
      </c>
      <c r="AB702" s="2">
        <v>14929.14</v>
      </c>
      <c r="AC702" s="2">
        <v>3807.85</v>
      </c>
      <c r="AD702" s="16">
        <f t="shared" si="259"/>
        <v>936849.27</v>
      </c>
      <c r="AE702" s="2"/>
      <c r="AF702" s="2">
        <f t="shared" si="269"/>
        <v>936849.27</v>
      </c>
      <c r="AG702" s="38" t="s">
        <v>1427</v>
      </c>
      <c r="AH702" s="29" t="s">
        <v>1392</v>
      </c>
      <c r="AI702" s="30">
        <f>627878.85+15145.61+1697.71+43882.89+21028.71</f>
        <v>709633.7699999999</v>
      </c>
      <c r="AJ702" s="30">
        <f>105047.04+2888.35+12346.51+11038.55+4010.29</f>
        <v>135330.74</v>
      </c>
    </row>
    <row r="703" spans="1:36" s="179" customFormat="1" ht="252" x14ac:dyDescent="0.25">
      <c r="A703" s="6">
        <v>700</v>
      </c>
      <c r="B703" s="31">
        <v>113037</v>
      </c>
      <c r="C703" s="31">
        <v>280</v>
      </c>
      <c r="D703" s="11" t="s">
        <v>143</v>
      </c>
      <c r="E703" s="24" t="s">
        <v>270</v>
      </c>
      <c r="F703" s="27" t="s">
        <v>511</v>
      </c>
      <c r="G703" s="11" t="s">
        <v>509</v>
      </c>
      <c r="H703" s="11" t="s">
        <v>510</v>
      </c>
      <c r="I703" s="12" t="s">
        <v>2946</v>
      </c>
      <c r="J703" s="25">
        <v>43269</v>
      </c>
      <c r="K703" s="25">
        <v>43756</v>
      </c>
      <c r="L703" s="26">
        <f t="shared" si="260"/>
        <v>82.304185659324261</v>
      </c>
      <c r="M703" s="11" t="s">
        <v>272</v>
      </c>
      <c r="N703" s="11" t="s">
        <v>261</v>
      </c>
      <c r="O703" s="11" t="s">
        <v>261</v>
      </c>
      <c r="P703" s="27" t="s">
        <v>274</v>
      </c>
      <c r="Q703" s="11" t="s">
        <v>34</v>
      </c>
      <c r="R703" s="2">
        <f t="shared" si="266"/>
        <v>812766.5</v>
      </c>
      <c r="S703" s="2">
        <v>655425.36</v>
      </c>
      <c r="T703" s="2">
        <v>157341.14000000001</v>
      </c>
      <c r="U703" s="2">
        <f t="shared" si="265"/>
        <v>154998.59</v>
      </c>
      <c r="V703" s="28">
        <v>115663.31</v>
      </c>
      <c r="W703" s="28">
        <v>39335.279999999999</v>
      </c>
      <c r="X703" s="2">
        <f t="shared" si="267"/>
        <v>0</v>
      </c>
      <c r="Y703" s="2">
        <v>0</v>
      </c>
      <c r="Z703" s="2">
        <v>0</v>
      </c>
      <c r="AA703" s="2">
        <f t="shared" si="268"/>
        <v>19750.3</v>
      </c>
      <c r="AB703" s="2">
        <v>15736.51</v>
      </c>
      <c r="AC703" s="2">
        <v>4013.79</v>
      </c>
      <c r="AD703" s="16">
        <f t="shared" si="259"/>
        <v>987515.39</v>
      </c>
      <c r="AE703" s="2"/>
      <c r="AF703" s="2">
        <f t="shared" si="269"/>
        <v>987515.39</v>
      </c>
      <c r="AG703" s="21" t="s">
        <v>857</v>
      </c>
      <c r="AH703" s="29" t="s">
        <v>358</v>
      </c>
      <c r="AI703" s="30">
        <f>453689.55+62401.05+231922.17+8071.09</f>
        <v>756083.86</v>
      </c>
      <c r="AJ703" s="30">
        <f>14547.96+18386.23+14448.94+20305.31+30732.58+44228.7+1539.2</f>
        <v>144188.92000000001</v>
      </c>
    </row>
    <row r="704" spans="1:36" s="179" customFormat="1" ht="220.5" x14ac:dyDescent="0.25">
      <c r="A704" s="6">
        <v>701</v>
      </c>
      <c r="B704" s="31">
        <v>126354</v>
      </c>
      <c r="C704" s="31">
        <v>491</v>
      </c>
      <c r="D704" s="97" t="s">
        <v>1640</v>
      </c>
      <c r="E704" s="32" t="s">
        <v>983</v>
      </c>
      <c r="F704" s="11" t="s">
        <v>982</v>
      </c>
      <c r="G704" s="11" t="s">
        <v>981</v>
      </c>
      <c r="H704" s="8" t="s">
        <v>151</v>
      </c>
      <c r="I704" s="32" t="s">
        <v>2947</v>
      </c>
      <c r="J704" s="25">
        <v>43515</v>
      </c>
      <c r="K704" s="25">
        <v>44396</v>
      </c>
      <c r="L704" s="26">
        <f t="shared" si="260"/>
        <v>83.300000282457262</v>
      </c>
      <c r="M704" s="11" t="s">
        <v>991</v>
      </c>
      <c r="N704" s="11" t="s">
        <v>990</v>
      </c>
      <c r="O704" s="11" t="s">
        <v>990</v>
      </c>
      <c r="P704" s="11" t="s">
        <v>274</v>
      </c>
      <c r="Q704" s="11" t="s">
        <v>34</v>
      </c>
      <c r="R704" s="30">
        <f t="shared" si="266"/>
        <v>2064383.09</v>
      </c>
      <c r="S704" s="30">
        <v>2064383.09</v>
      </c>
      <c r="T704" s="41">
        <v>0</v>
      </c>
      <c r="U704" s="30">
        <f t="shared" si="265"/>
        <v>364302.89</v>
      </c>
      <c r="V704" s="42">
        <v>364302.89</v>
      </c>
      <c r="W704" s="42">
        <v>0</v>
      </c>
      <c r="X704" s="30">
        <f t="shared" si="267"/>
        <v>0</v>
      </c>
      <c r="Y704" s="30">
        <v>0</v>
      </c>
      <c r="Z704" s="30">
        <v>0</v>
      </c>
      <c r="AA704" s="2">
        <f t="shared" si="268"/>
        <v>49565.02</v>
      </c>
      <c r="AB704" s="2">
        <v>49565.02</v>
      </c>
      <c r="AC704" s="2">
        <v>0</v>
      </c>
      <c r="AD704" s="16">
        <f t="shared" si="259"/>
        <v>2478251</v>
      </c>
      <c r="AE704" s="2">
        <v>0</v>
      </c>
      <c r="AF704" s="2">
        <f t="shared" si="269"/>
        <v>2478251</v>
      </c>
      <c r="AG704" s="38" t="s">
        <v>857</v>
      </c>
      <c r="AH704" s="38" t="s">
        <v>1723</v>
      </c>
      <c r="AI704" s="30">
        <f>1316864.99+240073.95+240073.95-7751.05+247825+5003.81+17027.71</f>
        <v>2059118.3599999999</v>
      </c>
      <c r="AJ704" s="30">
        <f>188653.99+42365.98+42365.98+42365.98+35793.35+11828.41</f>
        <v>363373.68999999994</v>
      </c>
    </row>
    <row r="705" spans="1:109" s="179" customFormat="1" ht="220.5" x14ac:dyDescent="0.25">
      <c r="A705" s="6">
        <v>702</v>
      </c>
      <c r="B705" s="31">
        <v>125435</v>
      </c>
      <c r="C705" s="31">
        <v>493</v>
      </c>
      <c r="D705" s="97" t="s">
        <v>1640</v>
      </c>
      <c r="E705" s="32" t="s">
        <v>983</v>
      </c>
      <c r="F705" s="31" t="s">
        <v>1000</v>
      </c>
      <c r="G705" s="11" t="s">
        <v>1001</v>
      </c>
      <c r="H705" s="8" t="s">
        <v>151</v>
      </c>
      <c r="I705" s="46" t="s">
        <v>1002</v>
      </c>
      <c r="J705" s="25">
        <v>43531</v>
      </c>
      <c r="K705" s="25">
        <v>44234</v>
      </c>
      <c r="L705" s="26">
        <f t="shared" si="260"/>
        <v>83.300000892581892</v>
      </c>
      <c r="M705" s="11" t="s">
        <v>1003</v>
      </c>
      <c r="N705" s="11" t="s">
        <v>1004</v>
      </c>
      <c r="O705" s="11" t="s">
        <v>1004</v>
      </c>
      <c r="P705" s="11" t="s">
        <v>274</v>
      </c>
      <c r="Q705" s="11" t="s">
        <v>34</v>
      </c>
      <c r="R705" s="30">
        <f t="shared" si="266"/>
        <v>1523993.4999999998</v>
      </c>
      <c r="S705" s="2">
        <v>1523993.4999999998</v>
      </c>
      <c r="T705" s="2">
        <v>0</v>
      </c>
      <c r="U705" s="30">
        <f t="shared" si="265"/>
        <v>268940.00999999995</v>
      </c>
      <c r="V705" s="28">
        <v>268940.00999999995</v>
      </c>
      <c r="W705" s="28">
        <v>0</v>
      </c>
      <c r="X705" s="30">
        <f t="shared" si="267"/>
        <v>0</v>
      </c>
      <c r="Y705" s="2">
        <v>0</v>
      </c>
      <c r="Z705" s="2">
        <v>0</v>
      </c>
      <c r="AA705" s="2">
        <f t="shared" si="268"/>
        <v>36590.48000000001</v>
      </c>
      <c r="AB705" s="2">
        <v>36590.48000000001</v>
      </c>
      <c r="AC705" s="2">
        <v>0</v>
      </c>
      <c r="AD705" s="16">
        <f t="shared" si="259"/>
        <v>1829523.9899999998</v>
      </c>
      <c r="AE705" s="2">
        <v>0</v>
      </c>
      <c r="AF705" s="2">
        <f t="shared" si="269"/>
        <v>1829523.9899999998</v>
      </c>
      <c r="AG705" s="38" t="s">
        <v>857</v>
      </c>
      <c r="AH705" s="29" t="s">
        <v>1665</v>
      </c>
      <c r="AI705" s="30">
        <f>288486.99+139941.28-7379.3+112722.77-19340.45+128936.28+106270.05+79760.38-62350.07</f>
        <v>767047.93</v>
      </c>
      <c r="AJ705" s="30">
        <f>14309.49+24483.75+7379.3+10963.67+19340.45+23526.72+14075.36+21282.69</f>
        <v>135361.43</v>
      </c>
      <c r="AK705" s="43"/>
      <c r="AL705" s="43"/>
      <c r="AM705" s="43"/>
      <c r="AN705" s="43"/>
      <c r="AO705" s="43"/>
      <c r="AP705" s="43"/>
      <c r="AQ705" s="43"/>
      <c r="AR705" s="43"/>
      <c r="AS705" s="43"/>
      <c r="AT705" s="43"/>
      <c r="AU705" s="43"/>
      <c r="AV705" s="43"/>
      <c r="AW705" s="43"/>
      <c r="AX705" s="43"/>
      <c r="AY705" s="43"/>
      <c r="AZ705" s="43"/>
      <c r="BA705" s="43"/>
      <c r="BB705" s="43"/>
      <c r="BC705" s="43"/>
      <c r="BD705" s="43"/>
      <c r="BE705" s="43"/>
      <c r="BF705" s="43"/>
      <c r="BG705" s="43"/>
      <c r="BH705" s="43"/>
      <c r="BI705" s="43"/>
      <c r="BJ705" s="43"/>
      <c r="BK705" s="43"/>
      <c r="BL705" s="43"/>
      <c r="BM705" s="43"/>
      <c r="BN705" s="43"/>
      <c r="BO705" s="43"/>
      <c r="BP705" s="43"/>
      <c r="BQ705" s="43"/>
      <c r="BR705" s="43"/>
      <c r="BS705" s="43"/>
      <c r="BT705" s="43"/>
      <c r="BU705" s="43"/>
      <c r="BV705" s="43"/>
      <c r="BW705" s="43"/>
      <c r="BX705" s="43"/>
      <c r="BY705" s="43"/>
      <c r="BZ705" s="43"/>
      <c r="CA705" s="43"/>
      <c r="CB705" s="43"/>
      <c r="CC705" s="43"/>
      <c r="CD705" s="43"/>
      <c r="CE705" s="43"/>
      <c r="CF705" s="43"/>
      <c r="CG705" s="43"/>
      <c r="CH705" s="43"/>
      <c r="CI705" s="43"/>
      <c r="CJ705" s="43"/>
      <c r="CK705" s="43"/>
      <c r="CL705" s="43"/>
      <c r="CM705" s="43"/>
      <c r="CN705" s="43"/>
      <c r="CO705" s="43"/>
      <c r="CP705" s="43"/>
      <c r="CQ705" s="43"/>
      <c r="CR705" s="43"/>
      <c r="CS705" s="43"/>
      <c r="CT705" s="43"/>
      <c r="CU705" s="43"/>
      <c r="CV705" s="43"/>
      <c r="CW705" s="43"/>
      <c r="CX705" s="43"/>
      <c r="CY705" s="43"/>
      <c r="CZ705" s="43"/>
      <c r="DA705" s="43"/>
      <c r="DB705" s="43"/>
      <c r="DC705" s="43"/>
      <c r="DD705" s="43"/>
      <c r="DE705" s="43"/>
    </row>
    <row r="706" spans="1:109" s="179" customFormat="1" ht="141.75" x14ac:dyDescent="0.25">
      <c r="A706" s="6">
        <v>703</v>
      </c>
      <c r="B706" s="31">
        <v>111409</v>
      </c>
      <c r="C706" s="31">
        <v>193</v>
      </c>
      <c r="D706" s="11" t="s">
        <v>143</v>
      </c>
      <c r="E706" s="24" t="s">
        <v>270</v>
      </c>
      <c r="F706" s="67" t="s">
        <v>522</v>
      </c>
      <c r="G706" s="11" t="s">
        <v>521</v>
      </c>
      <c r="H706" s="8" t="s">
        <v>151</v>
      </c>
      <c r="I706" s="12" t="s">
        <v>2948</v>
      </c>
      <c r="J706" s="25">
        <v>43271</v>
      </c>
      <c r="K706" s="25">
        <v>43819</v>
      </c>
      <c r="L706" s="26">
        <f t="shared" si="260"/>
        <v>82.304192821223239</v>
      </c>
      <c r="M706" s="11" t="s">
        <v>272</v>
      </c>
      <c r="N706" s="11" t="s">
        <v>261</v>
      </c>
      <c r="O706" s="11" t="s">
        <v>261</v>
      </c>
      <c r="P706" s="27" t="s">
        <v>274</v>
      </c>
      <c r="Q706" s="11" t="s">
        <v>34</v>
      </c>
      <c r="R706" s="158">
        <f t="shared" si="266"/>
        <v>813056.8</v>
      </c>
      <c r="S706" s="2">
        <v>655659.42000000004</v>
      </c>
      <c r="T706" s="2">
        <v>157397.38</v>
      </c>
      <c r="U706" s="2">
        <f t="shared" si="265"/>
        <v>155053.86000000002</v>
      </c>
      <c r="V706" s="28">
        <v>115704.6</v>
      </c>
      <c r="W706" s="28">
        <v>39349.26</v>
      </c>
      <c r="X706" s="2">
        <f t="shared" si="267"/>
        <v>0</v>
      </c>
      <c r="Y706" s="2">
        <v>0</v>
      </c>
      <c r="Z706" s="2">
        <v>0</v>
      </c>
      <c r="AA706" s="2">
        <f t="shared" si="268"/>
        <v>19757.36</v>
      </c>
      <c r="AB706" s="2">
        <v>15742.12</v>
      </c>
      <c r="AC706" s="2">
        <v>4015.24</v>
      </c>
      <c r="AD706" s="16">
        <f t="shared" si="259"/>
        <v>987868.02</v>
      </c>
      <c r="AE706" s="2">
        <v>0</v>
      </c>
      <c r="AF706" s="2">
        <f t="shared" si="269"/>
        <v>987868.02</v>
      </c>
      <c r="AG706" s="38" t="s">
        <v>857</v>
      </c>
      <c r="AH706" s="29" t="s">
        <v>1286</v>
      </c>
      <c r="AI706" s="30">
        <f>794317.39-32626.91</f>
        <v>761690.48</v>
      </c>
      <c r="AJ706" s="30">
        <f>142402.74+2855.49</f>
        <v>145258.22999999998</v>
      </c>
    </row>
    <row r="707" spans="1:109" s="179" customFormat="1" ht="141.75" x14ac:dyDescent="0.25">
      <c r="A707" s="6">
        <v>704</v>
      </c>
      <c r="B707" s="31">
        <v>118676</v>
      </c>
      <c r="C707" s="31">
        <v>432</v>
      </c>
      <c r="D707" s="32" t="s">
        <v>1639</v>
      </c>
      <c r="E707" s="24" t="s">
        <v>523</v>
      </c>
      <c r="F707" s="67" t="s">
        <v>524</v>
      </c>
      <c r="G707" s="11" t="s">
        <v>525</v>
      </c>
      <c r="H707" s="11" t="s">
        <v>526</v>
      </c>
      <c r="I707" s="12" t="s">
        <v>527</v>
      </c>
      <c r="J707" s="25">
        <v>43270</v>
      </c>
      <c r="K707" s="25">
        <v>44123</v>
      </c>
      <c r="L707" s="26">
        <f t="shared" si="260"/>
        <v>83.983865028301139</v>
      </c>
      <c r="M707" s="11" t="s">
        <v>272</v>
      </c>
      <c r="N707" s="11" t="s">
        <v>261</v>
      </c>
      <c r="O707" s="11" t="s">
        <v>261</v>
      </c>
      <c r="P707" s="27" t="s">
        <v>138</v>
      </c>
      <c r="Q707" s="11" t="s">
        <v>34</v>
      </c>
      <c r="R707" s="2">
        <f t="shared" si="266"/>
        <v>3030823.99</v>
      </c>
      <c r="S707" s="2">
        <v>2444095.48</v>
      </c>
      <c r="T707" s="2">
        <v>586728.51</v>
      </c>
      <c r="U707" s="2">
        <f t="shared" si="265"/>
        <v>0</v>
      </c>
      <c r="V707" s="28"/>
      <c r="W707" s="28"/>
      <c r="X707" s="2">
        <f t="shared" si="267"/>
        <v>577993</v>
      </c>
      <c r="Y707" s="2">
        <v>431310.9</v>
      </c>
      <c r="Z707" s="2">
        <v>146682.1</v>
      </c>
      <c r="AA707" s="2">
        <f t="shared" si="268"/>
        <v>0</v>
      </c>
      <c r="AB707" s="2">
        <v>0</v>
      </c>
      <c r="AC707" s="2">
        <v>0</v>
      </c>
      <c r="AD707" s="16">
        <f t="shared" si="259"/>
        <v>3608816.99</v>
      </c>
      <c r="AE707" s="2">
        <v>0</v>
      </c>
      <c r="AF707" s="2">
        <f t="shared" si="269"/>
        <v>3608816.99</v>
      </c>
      <c r="AG707" s="38" t="s">
        <v>857</v>
      </c>
      <c r="AH707" s="29" t="s">
        <v>1467</v>
      </c>
      <c r="AI707" s="30">
        <f>43102.2+366371.99+199.89+120510.92+225498.13+197283.1+424052.29+106695.85+434818.86+188984.59+142063.67+503037.01</f>
        <v>2752618.5</v>
      </c>
      <c r="AJ707" s="30">
        <v>0</v>
      </c>
    </row>
    <row r="708" spans="1:109" s="179" customFormat="1" ht="323.25" customHeight="1" x14ac:dyDescent="0.25">
      <c r="A708" s="6">
        <v>705</v>
      </c>
      <c r="B708" s="31">
        <v>111610</v>
      </c>
      <c r="C708" s="31">
        <v>374</v>
      </c>
      <c r="D708" s="97" t="s">
        <v>1640</v>
      </c>
      <c r="E708" s="24" t="s">
        <v>528</v>
      </c>
      <c r="F708" s="67" t="s">
        <v>530</v>
      </c>
      <c r="G708" s="11" t="s">
        <v>529</v>
      </c>
      <c r="H708" s="11" t="s">
        <v>531</v>
      </c>
      <c r="I708" s="12" t="s">
        <v>534</v>
      </c>
      <c r="J708" s="25">
        <v>43272</v>
      </c>
      <c r="K708" s="25">
        <v>43820</v>
      </c>
      <c r="L708" s="26">
        <f t="shared" si="260"/>
        <v>82.304187026365071</v>
      </c>
      <c r="M708" s="11" t="s">
        <v>272</v>
      </c>
      <c r="N708" s="11" t="s">
        <v>261</v>
      </c>
      <c r="O708" s="11" t="s">
        <v>261</v>
      </c>
      <c r="P708" s="27" t="s">
        <v>274</v>
      </c>
      <c r="Q708" s="11" t="s">
        <v>34</v>
      </c>
      <c r="R708" s="2">
        <f t="shared" si="266"/>
        <v>3413208.43</v>
      </c>
      <c r="S708" s="2">
        <v>2752455.22</v>
      </c>
      <c r="T708" s="2">
        <v>660753.21</v>
      </c>
      <c r="U708" s="2">
        <f t="shared" si="265"/>
        <v>650915.57999999996</v>
      </c>
      <c r="V708" s="28">
        <v>485727.31</v>
      </c>
      <c r="W708" s="28">
        <v>165188.26999999999</v>
      </c>
      <c r="X708" s="2">
        <f t="shared" si="267"/>
        <v>0</v>
      </c>
      <c r="Y708" s="2">
        <v>0</v>
      </c>
      <c r="Z708" s="2">
        <v>0</v>
      </c>
      <c r="AA708" s="2">
        <f t="shared" si="268"/>
        <v>82941.350000000006</v>
      </c>
      <c r="AB708" s="2">
        <v>66085.38</v>
      </c>
      <c r="AC708" s="2">
        <v>16855.97</v>
      </c>
      <c r="AD708" s="16">
        <f t="shared" si="259"/>
        <v>4147065.3600000003</v>
      </c>
      <c r="AE708" s="2">
        <v>0</v>
      </c>
      <c r="AF708" s="2">
        <f t="shared" si="269"/>
        <v>4147065.3600000003</v>
      </c>
      <c r="AG708" s="38" t="s">
        <v>857</v>
      </c>
      <c r="AH708" s="29" t="s">
        <v>1285</v>
      </c>
      <c r="AI708" s="30">
        <f>413506.52+39634.08+203862.73+22675.21+238112.3-5677.61+315671.54+256839.5+48499.95+31156.55+577305.1+574631.44+238908.29+212961.41</f>
        <v>3168087.0100000002</v>
      </c>
      <c r="AJ708" s="30">
        <f>51329.52+25659.99+79433+5677.61+44422.4+12020.11+67601.69+43232.94+109585.05+124594.61+40612.79</f>
        <v>604169.71000000008</v>
      </c>
    </row>
    <row r="709" spans="1:109" s="179" customFormat="1" ht="141.75" x14ac:dyDescent="0.25">
      <c r="A709" s="6">
        <v>706</v>
      </c>
      <c r="B709" s="31">
        <v>110423</v>
      </c>
      <c r="C709" s="31">
        <v>207</v>
      </c>
      <c r="D709" s="11" t="s">
        <v>143</v>
      </c>
      <c r="E709" s="24" t="s">
        <v>270</v>
      </c>
      <c r="F709" s="67" t="s">
        <v>1904</v>
      </c>
      <c r="G709" s="70" t="s">
        <v>532</v>
      </c>
      <c r="H709" s="8" t="s">
        <v>151</v>
      </c>
      <c r="I709" s="12" t="s">
        <v>533</v>
      </c>
      <c r="J709" s="25">
        <v>43272</v>
      </c>
      <c r="K709" s="25">
        <v>43820</v>
      </c>
      <c r="L709" s="26">
        <f t="shared" si="260"/>
        <v>82.304184780767926</v>
      </c>
      <c r="M709" s="11" t="s">
        <v>272</v>
      </c>
      <c r="N709" s="11" t="s">
        <v>261</v>
      </c>
      <c r="O709" s="11" t="s">
        <v>261</v>
      </c>
      <c r="P709" s="27" t="s">
        <v>274</v>
      </c>
      <c r="Q709" s="11" t="s">
        <v>34</v>
      </c>
      <c r="R709" s="2">
        <f t="shared" si="266"/>
        <v>823039.14</v>
      </c>
      <c r="S709" s="2">
        <v>663709.35</v>
      </c>
      <c r="T709" s="2">
        <v>159329.79</v>
      </c>
      <c r="U709" s="2">
        <f t="shared" ref="U709:U739" si="270">V709+W709</f>
        <v>156957.63</v>
      </c>
      <c r="V709" s="28">
        <v>117125.19</v>
      </c>
      <c r="W709" s="28">
        <v>39832.44</v>
      </c>
      <c r="X709" s="2">
        <f t="shared" si="267"/>
        <v>0</v>
      </c>
      <c r="Y709" s="2">
        <v>0</v>
      </c>
      <c r="Z709" s="2">
        <v>0</v>
      </c>
      <c r="AA709" s="2">
        <f t="shared" si="268"/>
        <v>19999.939999999999</v>
      </c>
      <c r="AB709" s="2">
        <v>15935.41</v>
      </c>
      <c r="AC709" s="2">
        <v>4064.53</v>
      </c>
      <c r="AD709" s="16">
        <f t="shared" ref="AD709:AD772" si="271">R709+U709+X709+AA709</f>
        <v>999996.71</v>
      </c>
      <c r="AE709" s="2">
        <v>0</v>
      </c>
      <c r="AF709" s="2">
        <f t="shared" si="269"/>
        <v>999996.71</v>
      </c>
      <c r="AG709" s="38" t="s">
        <v>857</v>
      </c>
      <c r="AH709" s="29" t="s">
        <v>1250</v>
      </c>
      <c r="AI709" s="30">
        <f>563686.25+9788.05+56761.68+161067.97+5325.05</f>
        <v>796629.00000000012</v>
      </c>
      <c r="AJ709" s="30">
        <f>88427.44+20936.91+10824.71+11646.17+20085.81</f>
        <v>151921.04</v>
      </c>
    </row>
    <row r="710" spans="1:109" s="179" customFormat="1" ht="141.75" x14ac:dyDescent="0.25">
      <c r="A710" s="6">
        <v>707</v>
      </c>
      <c r="B710" s="31">
        <v>111199</v>
      </c>
      <c r="C710" s="31">
        <v>147</v>
      </c>
      <c r="D710" s="11" t="s">
        <v>143</v>
      </c>
      <c r="E710" s="24" t="s">
        <v>270</v>
      </c>
      <c r="F710" s="67" t="s">
        <v>564</v>
      </c>
      <c r="G710" s="11" t="s">
        <v>565</v>
      </c>
      <c r="H710" s="11" t="s">
        <v>566</v>
      </c>
      <c r="I710" s="12" t="s">
        <v>567</v>
      </c>
      <c r="J710" s="25">
        <v>43277</v>
      </c>
      <c r="K710" s="25">
        <v>43764</v>
      </c>
      <c r="L710" s="26">
        <f t="shared" si="260"/>
        <v>82.524995224288418</v>
      </c>
      <c r="M710" s="11" t="s">
        <v>272</v>
      </c>
      <c r="N710" s="11" t="s">
        <v>261</v>
      </c>
      <c r="O710" s="11" t="s">
        <v>261</v>
      </c>
      <c r="P710" s="27" t="s">
        <v>274</v>
      </c>
      <c r="Q710" s="11" t="s">
        <v>34</v>
      </c>
      <c r="R710" s="2">
        <f t="shared" si="266"/>
        <v>825126.99</v>
      </c>
      <c r="S710" s="2">
        <v>665393.03</v>
      </c>
      <c r="T710" s="2">
        <v>159733.96</v>
      </c>
      <c r="U710" s="2">
        <f t="shared" si="270"/>
        <v>154726.99</v>
      </c>
      <c r="V710" s="28">
        <v>115327.75</v>
      </c>
      <c r="W710" s="28">
        <v>39399.24</v>
      </c>
      <c r="X710" s="2">
        <f t="shared" si="267"/>
        <v>0</v>
      </c>
      <c r="Y710" s="2">
        <v>0</v>
      </c>
      <c r="Z710" s="2">
        <v>0</v>
      </c>
      <c r="AA710" s="2">
        <f t="shared" si="268"/>
        <v>19997.02</v>
      </c>
      <c r="AB710" s="2">
        <v>15933.08</v>
      </c>
      <c r="AC710" s="2">
        <v>4063.94</v>
      </c>
      <c r="AD710" s="16">
        <f t="shared" si="271"/>
        <v>999851</v>
      </c>
      <c r="AE710" s="2">
        <v>0</v>
      </c>
      <c r="AF710" s="2">
        <f t="shared" si="269"/>
        <v>999851</v>
      </c>
      <c r="AG710" s="21" t="s">
        <v>857</v>
      </c>
      <c r="AH710" s="29" t="s">
        <v>151</v>
      </c>
      <c r="AI710" s="30">
        <f>468127.93-12613.35+243265.58</f>
        <v>698780.16000000003</v>
      </c>
      <c r="AJ710" s="30">
        <f>17105.45+14284.79+17404.21+19871.63+13778.33+48936.49</f>
        <v>131380.9</v>
      </c>
    </row>
    <row r="711" spans="1:109" s="179" customFormat="1" ht="315" x14ac:dyDescent="0.25">
      <c r="A711" s="6">
        <v>708</v>
      </c>
      <c r="B711" s="31">
        <v>111846</v>
      </c>
      <c r="C711" s="31">
        <v>165</v>
      </c>
      <c r="D711" s="11" t="s">
        <v>143</v>
      </c>
      <c r="E711" s="24" t="s">
        <v>270</v>
      </c>
      <c r="F711" s="11" t="s">
        <v>542</v>
      </c>
      <c r="G711" s="11" t="s">
        <v>543</v>
      </c>
      <c r="H711" s="8" t="s">
        <v>151</v>
      </c>
      <c r="I711" s="12" t="s">
        <v>2949</v>
      </c>
      <c r="J711" s="25">
        <v>43278</v>
      </c>
      <c r="K711" s="25">
        <v>43643</v>
      </c>
      <c r="L711" s="26">
        <f t="shared" si="260"/>
        <v>82.304186166768261</v>
      </c>
      <c r="M711" s="11" t="s">
        <v>272</v>
      </c>
      <c r="N711" s="11" t="s">
        <v>261</v>
      </c>
      <c r="O711" s="11" t="s">
        <v>261</v>
      </c>
      <c r="P711" s="27" t="s">
        <v>274</v>
      </c>
      <c r="Q711" s="11" t="s">
        <v>34</v>
      </c>
      <c r="R711" s="2">
        <f t="shared" si="266"/>
        <v>693954.33</v>
      </c>
      <c r="S711" s="2">
        <v>559613.69999999995</v>
      </c>
      <c r="T711" s="2">
        <v>134340.63</v>
      </c>
      <c r="U711" s="2">
        <f t="shared" si="270"/>
        <v>132340.51</v>
      </c>
      <c r="V711" s="28">
        <v>98755.36</v>
      </c>
      <c r="W711" s="28">
        <v>33585.15</v>
      </c>
      <c r="X711" s="2">
        <f t="shared" si="267"/>
        <v>0</v>
      </c>
      <c r="Y711" s="2">
        <v>0</v>
      </c>
      <c r="Z711" s="2">
        <v>0</v>
      </c>
      <c r="AA711" s="2">
        <f t="shared" si="268"/>
        <v>16863.16</v>
      </c>
      <c r="AB711" s="2">
        <v>13436.1</v>
      </c>
      <c r="AC711" s="2">
        <v>3427.06</v>
      </c>
      <c r="AD711" s="16">
        <f t="shared" si="271"/>
        <v>843158</v>
      </c>
      <c r="AE711" s="2">
        <v>0</v>
      </c>
      <c r="AF711" s="2">
        <f t="shared" si="269"/>
        <v>843158</v>
      </c>
      <c r="AG711" s="21" t="s">
        <v>857</v>
      </c>
      <c r="AH711" s="29" t="s">
        <v>151</v>
      </c>
      <c r="AI711" s="30">
        <v>635983.98</v>
      </c>
      <c r="AJ711" s="30">
        <v>121285.28</v>
      </c>
    </row>
    <row r="712" spans="1:109" s="179" customFormat="1" ht="409.5" x14ac:dyDescent="0.25">
      <c r="A712" s="6">
        <v>709</v>
      </c>
      <c r="B712" s="31">
        <v>110795</v>
      </c>
      <c r="C712" s="31">
        <v>127</v>
      </c>
      <c r="D712" s="11" t="s">
        <v>143</v>
      </c>
      <c r="E712" s="24" t="s">
        <v>270</v>
      </c>
      <c r="F712" s="11" t="s">
        <v>544</v>
      </c>
      <c r="G712" s="11" t="s">
        <v>549</v>
      </c>
      <c r="H712" s="11" t="s">
        <v>550</v>
      </c>
      <c r="I712" s="120" t="s">
        <v>2950</v>
      </c>
      <c r="J712" s="25">
        <v>43278</v>
      </c>
      <c r="K712" s="25">
        <v>43765</v>
      </c>
      <c r="L712" s="26">
        <f t="shared" si="260"/>
        <v>82.304181171723172</v>
      </c>
      <c r="M712" s="11" t="s">
        <v>272</v>
      </c>
      <c r="N712" s="11" t="s">
        <v>261</v>
      </c>
      <c r="O712" s="11" t="s">
        <v>261</v>
      </c>
      <c r="P712" s="27" t="s">
        <v>274</v>
      </c>
      <c r="Q712" s="11" t="s">
        <v>34</v>
      </c>
      <c r="R712" s="2">
        <f t="shared" si="266"/>
        <v>818511.09</v>
      </c>
      <c r="S712" s="2">
        <v>660057.88</v>
      </c>
      <c r="T712" s="2">
        <v>158453.21</v>
      </c>
      <c r="U712" s="2">
        <f t="shared" si="270"/>
        <v>156094.12</v>
      </c>
      <c r="V712" s="28">
        <v>116480.81</v>
      </c>
      <c r="W712" s="28">
        <v>39613.31</v>
      </c>
      <c r="X712" s="2">
        <f t="shared" si="267"/>
        <v>0</v>
      </c>
      <c r="Y712" s="2">
        <v>0</v>
      </c>
      <c r="Z712" s="2">
        <v>0</v>
      </c>
      <c r="AA712" s="2">
        <f t="shared" si="268"/>
        <v>19889.939999999999</v>
      </c>
      <c r="AB712" s="2">
        <v>15847.76</v>
      </c>
      <c r="AC712" s="2">
        <v>4042.18</v>
      </c>
      <c r="AD712" s="16">
        <f t="shared" si="271"/>
        <v>994495.14999999991</v>
      </c>
      <c r="AE712" s="2"/>
      <c r="AF712" s="2">
        <f t="shared" si="269"/>
        <v>994495.14999999991</v>
      </c>
      <c r="AG712" s="21" t="s">
        <v>857</v>
      </c>
      <c r="AH712" s="29" t="s">
        <v>1297</v>
      </c>
      <c r="AI712" s="30">
        <f>795982.47-5714.37</f>
        <v>790268.1</v>
      </c>
      <c r="AJ712" s="30">
        <f>11135.04+27716.68+9400.61+3526.85+11840.91+7483.51+15010.54+8062.74+19640.21+23451.37+13439.59</f>
        <v>150708.04999999999</v>
      </c>
    </row>
    <row r="713" spans="1:109" s="179" customFormat="1" ht="173.25" x14ac:dyDescent="0.25">
      <c r="A713" s="6">
        <v>710</v>
      </c>
      <c r="B713" s="31">
        <v>110651</v>
      </c>
      <c r="C713" s="31">
        <v>226</v>
      </c>
      <c r="D713" s="11" t="s">
        <v>143</v>
      </c>
      <c r="E713" s="24" t="s">
        <v>270</v>
      </c>
      <c r="F713" s="67" t="s">
        <v>545</v>
      </c>
      <c r="G713" s="11" t="s">
        <v>546</v>
      </c>
      <c r="H713" s="11" t="s">
        <v>547</v>
      </c>
      <c r="I713" s="120" t="s">
        <v>548</v>
      </c>
      <c r="J713" s="25">
        <v>43278</v>
      </c>
      <c r="K713" s="25">
        <v>43888</v>
      </c>
      <c r="L713" s="26">
        <f t="shared" si="260"/>
        <v>82.795867701166785</v>
      </c>
      <c r="M713" s="11" t="s">
        <v>272</v>
      </c>
      <c r="N713" s="11" t="s">
        <v>261</v>
      </c>
      <c r="O713" s="11" t="s">
        <v>261</v>
      </c>
      <c r="P713" s="27" t="s">
        <v>274</v>
      </c>
      <c r="Q713" s="11" t="s">
        <v>34</v>
      </c>
      <c r="R713" s="2">
        <f t="shared" si="266"/>
        <v>774090.99</v>
      </c>
      <c r="S713" s="2">
        <v>624236.93999999994</v>
      </c>
      <c r="T713" s="2">
        <v>149854.04999999999</v>
      </c>
      <c r="U713" s="2">
        <f t="shared" si="270"/>
        <v>142149.35</v>
      </c>
      <c r="V713" s="28">
        <v>105798.22</v>
      </c>
      <c r="W713" s="28">
        <v>36351.129999999997</v>
      </c>
      <c r="X713" s="2">
        <f t="shared" si="267"/>
        <v>0</v>
      </c>
      <c r="Y713" s="2">
        <v>0</v>
      </c>
      <c r="Z713" s="2">
        <v>0</v>
      </c>
      <c r="AA713" s="2">
        <f t="shared" si="268"/>
        <v>18698.82</v>
      </c>
      <c r="AB713" s="2">
        <v>14898.71</v>
      </c>
      <c r="AC713" s="2">
        <v>3800.11</v>
      </c>
      <c r="AD713" s="16">
        <f t="shared" si="271"/>
        <v>934939.15999999992</v>
      </c>
      <c r="AE713" s="2">
        <v>0</v>
      </c>
      <c r="AF713" s="2">
        <f t="shared" si="269"/>
        <v>934939.15999999992</v>
      </c>
      <c r="AG713" s="38" t="s">
        <v>1427</v>
      </c>
      <c r="AH713" s="29" t="s">
        <v>1380</v>
      </c>
      <c r="AI713" s="30">
        <f>290168.64+158796.65+191537.98+13320.11+41319.41+35445.84</f>
        <v>730588.63</v>
      </c>
      <c r="AJ713" s="30">
        <f>9460.82+5699.03+7815.58+13530.31+28217.32+52704.62+2540.21+7879.82+6718.82</f>
        <v>134566.53</v>
      </c>
    </row>
    <row r="714" spans="1:109" s="179" customFormat="1" ht="267.75" x14ac:dyDescent="0.25">
      <c r="A714" s="6">
        <v>711</v>
      </c>
      <c r="B714" s="31">
        <v>111787</v>
      </c>
      <c r="C714" s="31">
        <v>169</v>
      </c>
      <c r="D714" s="11" t="s">
        <v>143</v>
      </c>
      <c r="E714" s="24" t="s">
        <v>270</v>
      </c>
      <c r="F714" s="11" t="s">
        <v>551</v>
      </c>
      <c r="G714" s="11" t="s">
        <v>552</v>
      </c>
      <c r="H714" s="8" t="s">
        <v>151</v>
      </c>
      <c r="I714" s="120" t="s">
        <v>553</v>
      </c>
      <c r="J714" s="25">
        <v>43278</v>
      </c>
      <c r="K714" s="25">
        <v>43765</v>
      </c>
      <c r="L714" s="26">
        <f t="shared" si="260"/>
        <v>82.304186085847633</v>
      </c>
      <c r="M714" s="11" t="s">
        <v>272</v>
      </c>
      <c r="N714" s="11" t="s">
        <v>261</v>
      </c>
      <c r="O714" s="11" t="s">
        <v>261</v>
      </c>
      <c r="P714" s="27" t="s">
        <v>274</v>
      </c>
      <c r="Q714" s="11" t="s">
        <v>34</v>
      </c>
      <c r="R714" s="2">
        <f t="shared" si="266"/>
        <v>822921.16999999993</v>
      </c>
      <c r="S714" s="2">
        <v>663614.22</v>
      </c>
      <c r="T714" s="2">
        <v>159306.95000000001</v>
      </c>
      <c r="U714" s="2">
        <f t="shared" si="270"/>
        <v>156935.12</v>
      </c>
      <c r="V714" s="28">
        <v>117108.4</v>
      </c>
      <c r="W714" s="28">
        <v>39826.720000000001</v>
      </c>
      <c r="X714" s="2">
        <f t="shared" si="267"/>
        <v>0</v>
      </c>
      <c r="Y714" s="2">
        <v>0</v>
      </c>
      <c r="Z714" s="2">
        <v>0</v>
      </c>
      <c r="AA714" s="2">
        <f t="shared" si="268"/>
        <v>19997.07</v>
      </c>
      <c r="AB714" s="2">
        <v>15933.11</v>
      </c>
      <c r="AC714" s="2">
        <v>4063.96</v>
      </c>
      <c r="AD714" s="16">
        <f t="shared" si="271"/>
        <v>999853.35999999987</v>
      </c>
      <c r="AE714" s="2"/>
      <c r="AF714" s="2">
        <f t="shared" si="269"/>
        <v>999853.35999999987</v>
      </c>
      <c r="AG714" s="21" t="s">
        <v>857</v>
      </c>
      <c r="AH714" s="29"/>
      <c r="AI714" s="30">
        <f>632729.75+99985.33+30378.24</f>
        <v>763093.32</v>
      </c>
      <c r="AJ714" s="30">
        <f>120664.73+24860.93</f>
        <v>145525.66</v>
      </c>
    </row>
    <row r="715" spans="1:109" s="179" customFormat="1" ht="267.75" x14ac:dyDescent="0.25">
      <c r="A715" s="6">
        <v>712</v>
      </c>
      <c r="B715" s="31">
        <v>113139</v>
      </c>
      <c r="C715" s="31">
        <v>387</v>
      </c>
      <c r="D715" s="97" t="s">
        <v>1640</v>
      </c>
      <c r="E715" s="24" t="s">
        <v>528</v>
      </c>
      <c r="F715" s="11" t="s">
        <v>560</v>
      </c>
      <c r="G715" s="11" t="s">
        <v>559</v>
      </c>
      <c r="H715" s="11" t="s">
        <v>561</v>
      </c>
      <c r="I715" s="120" t="s">
        <v>562</v>
      </c>
      <c r="J715" s="25">
        <v>43273</v>
      </c>
      <c r="K715" s="25">
        <v>43821</v>
      </c>
      <c r="L715" s="26">
        <f t="shared" si="260"/>
        <v>82.304185877391092</v>
      </c>
      <c r="M715" s="11" t="s">
        <v>272</v>
      </c>
      <c r="N715" s="11" t="s">
        <v>261</v>
      </c>
      <c r="O715" s="11" t="s">
        <v>261</v>
      </c>
      <c r="P715" s="27" t="s">
        <v>274</v>
      </c>
      <c r="Q715" s="11" t="s">
        <v>34</v>
      </c>
      <c r="R715" s="2">
        <f t="shared" si="266"/>
        <v>3201407.49</v>
      </c>
      <c r="S715" s="2">
        <v>2581656.23</v>
      </c>
      <c r="T715" s="2">
        <v>619751.26</v>
      </c>
      <c r="U715" s="2">
        <f t="shared" si="270"/>
        <v>610524.19999999995</v>
      </c>
      <c r="V715" s="28">
        <v>455586.38</v>
      </c>
      <c r="W715" s="28">
        <v>154937.82</v>
      </c>
      <c r="X715" s="2">
        <f t="shared" si="267"/>
        <v>0</v>
      </c>
      <c r="Y715" s="2">
        <v>0</v>
      </c>
      <c r="Z715" s="2">
        <v>0</v>
      </c>
      <c r="AA715" s="2">
        <f t="shared" si="268"/>
        <v>77794.52</v>
      </c>
      <c r="AB715" s="2">
        <v>61984.53</v>
      </c>
      <c r="AC715" s="2">
        <v>15809.99</v>
      </c>
      <c r="AD715" s="16">
        <f t="shared" si="271"/>
        <v>3889726.2100000004</v>
      </c>
      <c r="AE715" s="2">
        <v>0</v>
      </c>
      <c r="AF715" s="2">
        <f t="shared" si="269"/>
        <v>3889726.2100000004</v>
      </c>
      <c r="AG715" s="38" t="s">
        <v>857</v>
      </c>
      <c r="AH715" s="122" t="s">
        <v>1388</v>
      </c>
      <c r="AI715" s="30">
        <f>2214779.71+463121.02-10623.72+221453.03</f>
        <v>2888730.0399999996</v>
      </c>
      <c r="AJ715" s="30">
        <f>422369.41+55414.99+30878.49+42232.21</f>
        <v>550895.1</v>
      </c>
    </row>
    <row r="716" spans="1:109" s="179" customFormat="1" ht="283.5" x14ac:dyDescent="0.25">
      <c r="A716" s="6">
        <v>713</v>
      </c>
      <c r="B716" s="31">
        <v>111603</v>
      </c>
      <c r="C716" s="31">
        <v>195</v>
      </c>
      <c r="D716" s="11" t="s">
        <v>143</v>
      </c>
      <c r="E716" s="24" t="s">
        <v>270</v>
      </c>
      <c r="F716" s="67" t="s">
        <v>1905</v>
      </c>
      <c r="G716" s="67" t="s">
        <v>572</v>
      </c>
      <c r="H716" s="11" t="s">
        <v>571</v>
      </c>
      <c r="I716" s="120" t="s">
        <v>1357</v>
      </c>
      <c r="J716" s="25">
        <v>43283</v>
      </c>
      <c r="K716" s="25">
        <v>43832</v>
      </c>
      <c r="L716" s="26">
        <f t="shared" si="260"/>
        <v>82.551093571828332</v>
      </c>
      <c r="M716" s="11" t="s">
        <v>272</v>
      </c>
      <c r="N716" s="11" t="s">
        <v>261</v>
      </c>
      <c r="O716" s="11" t="s">
        <v>261</v>
      </c>
      <c r="P716" s="27" t="s">
        <v>274</v>
      </c>
      <c r="Q716" s="11" t="s">
        <v>34</v>
      </c>
      <c r="R716" s="2">
        <f t="shared" si="266"/>
        <v>821971.83000000007</v>
      </c>
      <c r="S716" s="2">
        <v>662848.68000000005</v>
      </c>
      <c r="T716" s="2">
        <v>159123.15</v>
      </c>
      <c r="U716" s="2">
        <f t="shared" si="270"/>
        <v>153826.60999999999</v>
      </c>
      <c r="V716" s="28">
        <v>114640.81</v>
      </c>
      <c r="W716" s="28">
        <v>39185.800000000003</v>
      </c>
      <c r="X716" s="2">
        <f t="shared" si="267"/>
        <v>0</v>
      </c>
      <c r="Y716" s="2">
        <v>0</v>
      </c>
      <c r="Z716" s="2">
        <v>0</v>
      </c>
      <c r="AA716" s="2">
        <f t="shared" si="268"/>
        <v>19914.39</v>
      </c>
      <c r="AB716" s="2">
        <v>15867.18</v>
      </c>
      <c r="AC716" s="2">
        <v>4047.21</v>
      </c>
      <c r="AD716" s="16">
        <f t="shared" si="271"/>
        <v>995712.83000000007</v>
      </c>
      <c r="AE716" s="2">
        <v>0</v>
      </c>
      <c r="AF716" s="2">
        <f t="shared" si="269"/>
        <v>995712.83000000007</v>
      </c>
      <c r="AG716" s="38" t="s">
        <v>857</v>
      </c>
      <c r="AH716" s="29" t="s">
        <v>1379</v>
      </c>
      <c r="AI716" s="30">
        <f>466245.36+6853.06+84110.02+169507.04+37084.55</f>
        <v>763800.03</v>
      </c>
      <c r="AJ716" s="30">
        <f>84901.98+1306.91+50214.53+6975.06</f>
        <v>143398.47999999998</v>
      </c>
    </row>
    <row r="717" spans="1:109" s="179" customFormat="1" ht="141.75" x14ac:dyDescent="0.25">
      <c r="A717" s="6">
        <v>714</v>
      </c>
      <c r="B717" s="31">
        <v>113188</v>
      </c>
      <c r="C717" s="31">
        <v>246</v>
      </c>
      <c r="D717" s="11" t="s">
        <v>143</v>
      </c>
      <c r="E717" s="24" t="s">
        <v>270</v>
      </c>
      <c r="F717" s="67" t="s">
        <v>577</v>
      </c>
      <c r="G717" s="11" t="s">
        <v>578</v>
      </c>
      <c r="H717" s="8" t="s">
        <v>151</v>
      </c>
      <c r="I717" s="120" t="s">
        <v>579</v>
      </c>
      <c r="J717" s="25">
        <v>43284</v>
      </c>
      <c r="K717" s="25">
        <v>43711</v>
      </c>
      <c r="L717" s="26">
        <f t="shared" si="260"/>
        <v>82.304188575115816</v>
      </c>
      <c r="M717" s="11" t="s">
        <v>272</v>
      </c>
      <c r="N717" s="11" t="s">
        <v>261</v>
      </c>
      <c r="O717" s="11" t="s">
        <v>261</v>
      </c>
      <c r="P717" s="27" t="s">
        <v>274</v>
      </c>
      <c r="Q717" s="11" t="s">
        <v>34</v>
      </c>
      <c r="R717" s="2">
        <f t="shared" si="266"/>
        <v>745468.83000000007</v>
      </c>
      <c r="S717" s="2">
        <v>601155.66</v>
      </c>
      <c r="T717" s="2">
        <v>144313.17000000001</v>
      </c>
      <c r="U717" s="2">
        <f t="shared" si="270"/>
        <v>142164.54</v>
      </c>
      <c r="V717" s="28">
        <v>106086.28</v>
      </c>
      <c r="W717" s="28">
        <v>36078.26</v>
      </c>
      <c r="X717" s="2">
        <f t="shared" si="267"/>
        <v>0</v>
      </c>
      <c r="Y717" s="2">
        <v>0</v>
      </c>
      <c r="Z717" s="2">
        <v>0</v>
      </c>
      <c r="AA717" s="2">
        <f t="shared" si="268"/>
        <v>18114.98</v>
      </c>
      <c r="AB717" s="2">
        <v>14433.5</v>
      </c>
      <c r="AC717" s="2">
        <v>3681.48</v>
      </c>
      <c r="AD717" s="16">
        <f t="shared" si="271"/>
        <v>905748.35000000009</v>
      </c>
      <c r="AE717" s="2">
        <v>0</v>
      </c>
      <c r="AF717" s="2">
        <f t="shared" si="269"/>
        <v>905748.35000000009</v>
      </c>
      <c r="AG717" s="21" t="s">
        <v>857</v>
      </c>
      <c r="AH717" s="29" t="s">
        <v>151</v>
      </c>
      <c r="AI717" s="30">
        <f>664924.33+44153.06</f>
        <v>709077.3899999999</v>
      </c>
      <c r="AJ717" s="30">
        <f>126804.37+8420.22</f>
        <v>135224.59</v>
      </c>
    </row>
    <row r="718" spans="1:109" s="179" customFormat="1" ht="409.5" x14ac:dyDescent="0.25">
      <c r="A718" s="6">
        <v>715</v>
      </c>
      <c r="B718" s="31">
        <v>109966</v>
      </c>
      <c r="C718" s="31">
        <v>368</v>
      </c>
      <c r="D718" s="11" t="s">
        <v>143</v>
      </c>
      <c r="E718" s="24" t="s">
        <v>270</v>
      </c>
      <c r="F718" s="27" t="s">
        <v>1906</v>
      </c>
      <c r="G718" s="27" t="s">
        <v>584</v>
      </c>
      <c r="H718" s="8" t="s">
        <v>151</v>
      </c>
      <c r="I718" s="120" t="s">
        <v>2951</v>
      </c>
      <c r="J718" s="25">
        <v>43284</v>
      </c>
      <c r="K718" s="25">
        <v>43772</v>
      </c>
      <c r="L718" s="26">
        <f t="shared" si="260"/>
        <v>82.304190385931335</v>
      </c>
      <c r="M718" s="11" t="s">
        <v>272</v>
      </c>
      <c r="N718" s="11" t="s">
        <v>268</v>
      </c>
      <c r="O718" s="11" t="s">
        <v>805</v>
      </c>
      <c r="P718" s="27" t="s">
        <v>274</v>
      </c>
      <c r="Q718" s="11" t="s">
        <v>34</v>
      </c>
      <c r="R718" s="2">
        <f t="shared" si="266"/>
        <v>820713.65</v>
      </c>
      <c r="S718" s="2">
        <v>661834.04</v>
      </c>
      <c r="T718" s="2">
        <v>158879.60999999999</v>
      </c>
      <c r="U718" s="2">
        <f t="shared" si="270"/>
        <v>156514.07999999999</v>
      </c>
      <c r="V718" s="28">
        <v>116794.2</v>
      </c>
      <c r="W718" s="28">
        <v>39719.879999999997</v>
      </c>
      <c r="X718" s="2">
        <f t="shared" si="267"/>
        <v>0</v>
      </c>
      <c r="Y718" s="2">
        <v>0</v>
      </c>
      <c r="Z718" s="2">
        <v>0</v>
      </c>
      <c r="AA718" s="2">
        <f t="shared" si="268"/>
        <v>19943.43</v>
      </c>
      <c r="AB718" s="2">
        <v>15890.39</v>
      </c>
      <c r="AC718" s="2">
        <v>4053.04</v>
      </c>
      <c r="AD718" s="16">
        <f t="shared" si="271"/>
        <v>997171.16</v>
      </c>
      <c r="AE718" s="2">
        <v>0</v>
      </c>
      <c r="AF718" s="2">
        <f t="shared" si="269"/>
        <v>997171.16</v>
      </c>
      <c r="AG718" s="21" t="s">
        <v>857</v>
      </c>
      <c r="AH718" s="29" t="s">
        <v>151</v>
      </c>
      <c r="AI718" s="30">
        <f>451378.67-10182.02+208239.85+24003.15</f>
        <v>673439.65</v>
      </c>
      <c r="AJ718" s="30">
        <f>16734.59+7125.74+9148.44+12691.77+4258.59+17107.67+10182.02+39712.4+11467</f>
        <v>128428.22</v>
      </c>
    </row>
    <row r="719" spans="1:109" s="179" customFormat="1" ht="141.75" x14ac:dyDescent="0.25">
      <c r="A719" s="6">
        <v>716</v>
      </c>
      <c r="B719" s="31">
        <v>112133</v>
      </c>
      <c r="C719" s="31">
        <v>149</v>
      </c>
      <c r="D719" s="11" t="s">
        <v>143</v>
      </c>
      <c r="E719" s="24" t="s">
        <v>270</v>
      </c>
      <c r="F719" s="67" t="s">
        <v>586</v>
      </c>
      <c r="G719" s="11" t="s">
        <v>587</v>
      </c>
      <c r="H719" s="11" t="s">
        <v>588</v>
      </c>
      <c r="I719" s="159" t="s">
        <v>589</v>
      </c>
      <c r="J719" s="25">
        <v>43286</v>
      </c>
      <c r="K719" s="25">
        <v>43774</v>
      </c>
      <c r="L719" s="26">
        <f t="shared" si="260"/>
        <v>82.304192989201169</v>
      </c>
      <c r="M719" s="11" t="s">
        <v>272</v>
      </c>
      <c r="N719" s="11" t="s">
        <v>582</v>
      </c>
      <c r="O719" s="11" t="s">
        <v>583</v>
      </c>
      <c r="P719" s="27" t="s">
        <v>274</v>
      </c>
      <c r="Q719" s="11" t="s">
        <v>34</v>
      </c>
      <c r="R719" s="2">
        <v>615782.40000000002</v>
      </c>
      <c r="S719" s="2">
        <v>496574.82</v>
      </c>
      <c r="T719" s="2">
        <v>119207.58</v>
      </c>
      <c r="U719" s="2">
        <f t="shared" si="270"/>
        <v>117432.69</v>
      </c>
      <c r="V719" s="28">
        <v>87630.81</v>
      </c>
      <c r="W719" s="28">
        <v>29801.88</v>
      </c>
      <c r="X719" s="2">
        <f t="shared" si="267"/>
        <v>0</v>
      </c>
      <c r="Y719" s="2">
        <v>0</v>
      </c>
      <c r="Z719" s="2">
        <v>0</v>
      </c>
      <c r="AA719" s="2">
        <f t="shared" si="268"/>
        <v>14963.56</v>
      </c>
      <c r="AB719" s="2">
        <v>11922.59</v>
      </c>
      <c r="AC719" s="2">
        <v>3040.97</v>
      </c>
      <c r="AD719" s="16">
        <f t="shared" si="271"/>
        <v>748178.65000000014</v>
      </c>
      <c r="AE719" s="2"/>
      <c r="AF719" s="2">
        <f t="shared" si="269"/>
        <v>748178.65000000014</v>
      </c>
      <c r="AG719" s="21" t="s">
        <v>857</v>
      </c>
      <c r="AH719" s="29" t="s">
        <v>151</v>
      </c>
      <c r="AI719" s="30">
        <f>439950.77+42401.19+33880.06+36167.03</f>
        <v>552399.05000000005</v>
      </c>
      <c r="AJ719" s="30">
        <f>71119.8+19653.29+7674.97+6897.24</f>
        <v>105345.3</v>
      </c>
    </row>
    <row r="720" spans="1:109" s="179" customFormat="1" ht="141.75" x14ac:dyDescent="0.25">
      <c r="A720" s="6">
        <v>717</v>
      </c>
      <c r="B720" s="31">
        <v>112698</v>
      </c>
      <c r="C720" s="31">
        <v>231</v>
      </c>
      <c r="D720" s="11" t="s">
        <v>143</v>
      </c>
      <c r="E720" s="24" t="s">
        <v>270</v>
      </c>
      <c r="F720" s="67" t="s">
        <v>594</v>
      </c>
      <c r="G720" s="11" t="s">
        <v>595</v>
      </c>
      <c r="H720" s="11" t="s">
        <v>596</v>
      </c>
      <c r="I720" s="159" t="s">
        <v>2952</v>
      </c>
      <c r="J720" s="25">
        <v>43273</v>
      </c>
      <c r="K720" s="25">
        <v>43730</v>
      </c>
      <c r="L720" s="26">
        <f t="shared" si="260"/>
        <v>82.525665803949437</v>
      </c>
      <c r="M720" s="11" t="s">
        <v>272</v>
      </c>
      <c r="N720" s="11" t="s">
        <v>261</v>
      </c>
      <c r="O720" s="11" t="s">
        <v>261</v>
      </c>
      <c r="P720" s="27" t="s">
        <v>274</v>
      </c>
      <c r="Q720" s="11" t="s">
        <v>34</v>
      </c>
      <c r="R720" s="2">
        <f t="shared" ref="R720:R751" si="272">S720+T720</f>
        <v>814877.24</v>
      </c>
      <c r="S720" s="2">
        <v>657127.51</v>
      </c>
      <c r="T720" s="2">
        <v>157749.73000000001</v>
      </c>
      <c r="U720" s="2">
        <f t="shared" si="270"/>
        <v>134548.1</v>
      </c>
      <c r="V720" s="28">
        <v>100402.7</v>
      </c>
      <c r="W720" s="28">
        <v>34145.4</v>
      </c>
      <c r="X720" s="2">
        <f t="shared" si="267"/>
        <v>20853.009999999998</v>
      </c>
      <c r="Y720" s="2">
        <v>15560.97</v>
      </c>
      <c r="Z720" s="2">
        <v>5292.04</v>
      </c>
      <c r="AA720" s="2">
        <f t="shared" si="268"/>
        <v>17144.45</v>
      </c>
      <c r="AB720" s="2">
        <v>13660.23</v>
      </c>
      <c r="AC720" s="2">
        <v>3484.22</v>
      </c>
      <c r="AD720" s="16">
        <f t="shared" si="271"/>
        <v>987422.79999999993</v>
      </c>
      <c r="AE720" s="2"/>
      <c r="AF720" s="2">
        <f t="shared" si="269"/>
        <v>987422.79999999993</v>
      </c>
      <c r="AG720" s="21" t="s">
        <v>857</v>
      </c>
      <c r="AH720" s="29" t="s">
        <v>1126</v>
      </c>
      <c r="AI720" s="30">
        <f>85822.98+78186.5+192062.93</f>
        <v>356072.41</v>
      </c>
      <c r="AJ720" s="30">
        <f>14910.56+48890.63</f>
        <v>63801.189999999995</v>
      </c>
    </row>
    <row r="721" spans="1:109" s="179" customFormat="1" ht="409.5" x14ac:dyDescent="0.25">
      <c r="A721" s="6">
        <v>718</v>
      </c>
      <c r="B721" s="31">
        <v>112427</v>
      </c>
      <c r="C721" s="31">
        <v>367</v>
      </c>
      <c r="D721" s="11" t="s">
        <v>143</v>
      </c>
      <c r="E721" s="24" t="s">
        <v>270</v>
      </c>
      <c r="F721" s="67" t="s">
        <v>599</v>
      </c>
      <c r="G721" s="11" t="s">
        <v>600</v>
      </c>
      <c r="H721" s="11" t="s">
        <v>602</v>
      </c>
      <c r="I721" s="120" t="s">
        <v>601</v>
      </c>
      <c r="J721" s="25">
        <v>43290</v>
      </c>
      <c r="K721" s="25">
        <v>43778</v>
      </c>
      <c r="L721" s="26">
        <f t="shared" si="260"/>
        <v>82.304189883139372</v>
      </c>
      <c r="M721" s="11" t="s">
        <v>272</v>
      </c>
      <c r="N721" s="11" t="s">
        <v>261</v>
      </c>
      <c r="O721" s="11" t="s">
        <v>261</v>
      </c>
      <c r="P721" s="27" t="s">
        <v>274</v>
      </c>
      <c r="Q721" s="11" t="s">
        <v>34</v>
      </c>
      <c r="R721" s="2">
        <f t="shared" si="272"/>
        <v>785233.14</v>
      </c>
      <c r="S721" s="2">
        <v>633222.11</v>
      </c>
      <c r="T721" s="2">
        <v>152011.03</v>
      </c>
      <c r="U721" s="2">
        <f t="shared" si="270"/>
        <v>149747.75</v>
      </c>
      <c r="V721" s="28">
        <v>111745.03</v>
      </c>
      <c r="W721" s="28">
        <v>38002.720000000001</v>
      </c>
      <c r="X721" s="2">
        <f t="shared" si="267"/>
        <v>0</v>
      </c>
      <c r="Y721" s="2">
        <v>0</v>
      </c>
      <c r="Z721" s="2">
        <v>0</v>
      </c>
      <c r="AA721" s="2">
        <f t="shared" si="268"/>
        <v>19081.28</v>
      </c>
      <c r="AB721" s="2">
        <v>15203.43</v>
      </c>
      <c r="AC721" s="2">
        <v>3877.85</v>
      </c>
      <c r="AD721" s="16">
        <f t="shared" si="271"/>
        <v>954062.17</v>
      </c>
      <c r="AE721" s="2">
        <v>0</v>
      </c>
      <c r="AF721" s="2">
        <f t="shared" si="269"/>
        <v>954062.17</v>
      </c>
      <c r="AG721" s="21" t="s">
        <v>857</v>
      </c>
      <c r="AH721" s="29" t="s">
        <v>151</v>
      </c>
      <c r="AI721" s="30">
        <f>412777.32-11185.38+153298.14+162053.15</f>
        <v>716943.2300000001</v>
      </c>
      <c r="AJ721" s="30">
        <f>16617.93+10285.59+15452.81+18167.9+11690.43+33605.62+30904.31</f>
        <v>136724.59</v>
      </c>
    </row>
    <row r="722" spans="1:109" s="179" customFormat="1" ht="141.75" x14ac:dyDescent="0.25">
      <c r="A722" s="6">
        <v>719</v>
      </c>
      <c r="B722" s="31">
        <v>112409</v>
      </c>
      <c r="C722" s="31">
        <v>150</v>
      </c>
      <c r="D722" s="11" t="s">
        <v>143</v>
      </c>
      <c r="E722" s="24" t="s">
        <v>270</v>
      </c>
      <c r="F722" s="67" t="s">
        <v>1907</v>
      </c>
      <c r="G722" s="11" t="s">
        <v>603</v>
      </c>
      <c r="H722" s="8" t="s">
        <v>151</v>
      </c>
      <c r="I722" s="120" t="s">
        <v>2953</v>
      </c>
      <c r="J722" s="25">
        <v>43291</v>
      </c>
      <c r="K722" s="25">
        <v>43779</v>
      </c>
      <c r="L722" s="26">
        <f t="shared" si="260"/>
        <v>82.304188969946821</v>
      </c>
      <c r="M722" s="11" t="s">
        <v>272</v>
      </c>
      <c r="N722" s="11" t="s">
        <v>363</v>
      </c>
      <c r="O722" s="11" t="s">
        <v>255</v>
      </c>
      <c r="P722" s="27" t="s">
        <v>274</v>
      </c>
      <c r="Q722" s="11" t="s">
        <v>34</v>
      </c>
      <c r="R722" s="2">
        <f t="shared" si="272"/>
        <v>780523.20000000007</v>
      </c>
      <c r="S722" s="2">
        <v>629423.91</v>
      </c>
      <c r="T722" s="2">
        <v>151099.29</v>
      </c>
      <c r="U722" s="2">
        <f t="shared" si="270"/>
        <v>148849.57</v>
      </c>
      <c r="V722" s="28">
        <v>111074.8</v>
      </c>
      <c r="W722" s="28">
        <v>37774.769999999997</v>
      </c>
      <c r="X722" s="2">
        <f t="shared" si="267"/>
        <v>0</v>
      </c>
      <c r="Y722" s="2">
        <v>0</v>
      </c>
      <c r="Z722" s="2">
        <v>0</v>
      </c>
      <c r="AA722" s="2">
        <f t="shared" si="268"/>
        <v>18966.810000000001</v>
      </c>
      <c r="AB722" s="2">
        <v>15112.25</v>
      </c>
      <c r="AC722" s="2">
        <v>3854.56</v>
      </c>
      <c r="AD722" s="16">
        <f t="shared" si="271"/>
        <v>948339.58000000007</v>
      </c>
      <c r="AE722" s="2">
        <v>0</v>
      </c>
      <c r="AF722" s="2">
        <f t="shared" si="269"/>
        <v>948339.58000000007</v>
      </c>
      <c r="AG722" s="21" t="s">
        <v>857</v>
      </c>
      <c r="AH722" s="29" t="s">
        <v>151</v>
      </c>
      <c r="AI722" s="30">
        <f>479629.25+84387.23+5356.46</f>
        <v>569372.93999999994</v>
      </c>
      <c r="AJ722" s="30">
        <f>73382.49+16093.07+19106.61</f>
        <v>108582.17</v>
      </c>
    </row>
    <row r="723" spans="1:109" s="179" customFormat="1" ht="141.75" x14ac:dyDescent="0.25">
      <c r="A723" s="6">
        <v>720</v>
      </c>
      <c r="B723" s="31">
        <v>112861</v>
      </c>
      <c r="C723" s="31">
        <v>324</v>
      </c>
      <c r="D723" s="11" t="s">
        <v>143</v>
      </c>
      <c r="E723" s="24" t="s">
        <v>270</v>
      </c>
      <c r="F723" s="67" t="s">
        <v>604</v>
      </c>
      <c r="G723" s="11" t="s">
        <v>605</v>
      </c>
      <c r="H723" s="8" t="s">
        <v>151</v>
      </c>
      <c r="I723" s="46" t="s">
        <v>606</v>
      </c>
      <c r="J723" s="25">
        <v>43290</v>
      </c>
      <c r="K723" s="25">
        <v>43778</v>
      </c>
      <c r="L723" s="26">
        <f t="shared" si="260"/>
        <v>82.304190691615503</v>
      </c>
      <c r="M723" s="11" t="s">
        <v>272</v>
      </c>
      <c r="N723" s="11" t="s">
        <v>261</v>
      </c>
      <c r="O723" s="11" t="s">
        <v>261</v>
      </c>
      <c r="P723" s="27" t="s">
        <v>274</v>
      </c>
      <c r="Q723" s="11" t="s">
        <v>34</v>
      </c>
      <c r="R723" s="2">
        <f t="shared" si="272"/>
        <v>649951.84000000008</v>
      </c>
      <c r="S723" s="2">
        <v>524129.52</v>
      </c>
      <c r="T723" s="2">
        <v>125822.32</v>
      </c>
      <c r="U723" s="2">
        <f t="shared" si="270"/>
        <v>123949</v>
      </c>
      <c r="V723" s="28">
        <v>92493.43</v>
      </c>
      <c r="W723" s="28">
        <v>31455.57</v>
      </c>
      <c r="X723" s="2">
        <f t="shared" si="267"/>
        <v>0</v>
      </c>
      <c r="Y723" s="2">
        <v>0</v>
      </c>
      <c r="Z723" s="2">
        <v>0</v>
      </c>
      <c r="AA723" s="2">
        <f t="shared" si="268"/>
        <v>15793.869999999999</v>
      </c>
      <c r="AB723" s="2">
        <v>12584.14</v>
      </c>
      <c r="AC723" s="2">
        <v>3209.73</v>
      </c>
      <c r="AD723" s="16">
        <f t="shared" si="271"/>
        <v>789694.71000000008</v>
      </c>
      <c r="AE723" s="2">
        <v>0</v>
      </c>
      <c r="AF723" s="2">
        <f t="shared" si="269"/>
        <v>789694.71000000008</v>
      </c>
      <c r="AG723" s="21" t="s">
        <v>857</v>
      </c>
      <c r="AH723" s="29" t="s">
        <v>912</v>
      </c>
      <c r="AI723" s="30">
        <f>78969.47+33506.04+30781.72+5848.53+60387.9+38197.37+82803.77+168161.44-11081.22</f>
        <v>487575.02</v>
      </c>
      <c r="AJ723" s="30">
        <f>6389.76+5870.23+1115.34+11516.25+7284.43+15791.09+32069.22+12946.63</f>
        <v>92982.950000000012</v>
      </c>
    </row>
    <row r="724" spans="1:109" s="179" customFormat="1" ht="173.25" x14ac:dyDescent="0.25">
      <c r="A724" s="6">
        <v>721</v>
      </c>
      <c r="B724" s="31">
        <v>110709</v>
      </c>
      <c r="C724" s="31">
        <v>313</v>
      </c>
      <c r="D724" s="11" t="s">
        <v>143</v>
      </c>
      <c r="E724" s="24" t="s">
        <v>270</v>
      </c>
      <c r="F724" s="67" t="s">
        <v>607</v>
      </c>
      <c r="G724" s="11" t="s">
        <v>608</v>
      </c>
      <c r="H724" s="8" t="s">
        <v>151</v>
      </c>
      <c r="I724" s="46" t="s">
        <v>2954</v>
      </c>
      <c r="J724" s="25">
        <v>43291</v>
      </c>
      <c r="K724" s="25">
        <v>43779</v>
      </c>
      <c r="L724" s="26">
        <f t="shared" si="260"/>
        <v>82.304183081659716</v>
      </c>
      <c r="M724" s="11" t="s">
        <v>272</v>
      </c>
      <c r="N724" s="11" t="s">
        <v>261</v>
      </c>
      <c r="O724" s="11" t="s">
        <v>261</v>
      </c>
      <c r="P724" s="27" t="s">
        <v>274</v>
      </c>
      <c r="Q724" s="11" t="s">
        <v>34</v>
      </c>
      <c r="R724" s="2">
        <f t="shared" si="272"/>
        <v>821857.62999999989</v>
      </c>
      <c r="S724" s="2">
        <v>662756.56999999995</v>
      </c>
      <c r="T724" s="2">
        <v>159101.06</v>
      </c>
      <c r="U724" s="2">
        <f t="shared" si="270"/>
        <v>156732.34</v>
      </c>
      <c r="V724" s="28">
        <v>116957.1</v>
      </c>
      <c r="W724" s="28">
        <v>39775.24</v>
      </c>
      <c r="X724" s="2">
        <f t="shared" si="267"/>
        <v>0</v>
      </c>
      <c r="Y724" s="2">
        <v>0</v>
      </c>
      <c r="Z724" s="2">
        <v>0</v>
      </c>
      <c r="AA724" s="2">
        <f t="shared" si="268"/>
        <v>19971.22</v>
      </c>
      <c r="AB724" s="2">
        <v>15912.5</v>
      </c>
      <c r="AC724" s="2">
        <v>4058.72</v>
      </c>
      <c r="AD724" s="16">
        <f t="shared" si="271"/>
        <v>998561.18999999983</v>
      </c>
      <c r="AE724" s="2">
        <v>576</v>
      </c>
      <c r="AF724" s="2">
        <f t="shared" si="269"/>
        <v>999137.18999999983</v>
      </c>
      <c r="AG724" s="21" t="s">
        <v>857</v>
      </c>
      <c r="AH724" s="29" t="s">
        <v>151</v>
      </c>
      <c r="AI724" s="30">
        <f>489541.18+150804.97+87205.35</f>
        <v>727551.5</v>
      </c>
      <c r="AJ724" s="30">
        <f>93357.95+28759.24+16630.53</f>
        <v>138747.72</v>
      </c>
    </row>
    <row r="725" spans="1:109" s="179" customFormat="1" ht="378" x14ac:dyDescent="0.25">
      <c r="A725" s="6">
        <v>722</v>
      </c>
      <c r="B725" s="31">
        <v>113039</v>
      </c>
      <c r="C725" s="31">
        <v>200</v>
      </c>
      <c r="D725" s="11" t="s">
        <v>143</v>
      </c>
      <c r="E725" s="24" t="s">
        <v>270</v>
      </c>
      <c r="F725" s="67" t="s">
        <v>614</v>
      </c>
      <c r="G725" s="31" t="s">
        <v>615</v>
      </c>
      <c r="H725" s="8" t="s">
        <v>151</v>
      </c>
      <c r="I725" s="120" t="s">
        <v>616</v>
      </c>
      <c r="J725" s="25">
        <v>43291</v>
      </c>
      <c r="K725" s="25">
        <v>43779</v>
      </c>
      <c r="L725" s="26">
        <f t="shared" si="260"/>
        <v>82.30418382046426</v>
      </c>
      <c r="M725" s="11" t="s">
        <v>272</v>
      </c>
      <c r="N725" s="11" t="s">
        <v>231</v>
      </c>
      <c r="O725" s="11" t="s">
        <v>617</v>
      </c>
      <c r="P725" s="27" t="s">
        <v>274</v>
      </c>
      <c r="Q725" s="11" t="s">
        <v>34</v>
      </c>
      <c r="R725" s="2">
        <f t="shared" si="272"/>
        <v>812437.94000000006</v>
      </c>
      <c r="S725" s="2">
        <v>655160.41</v>
      </c>
      <c r="T725" s="2">
        <v>157277.53</v>
      </c>
      <c r="U725" s="2">
        <f t="shared" si="270"/>
        <v>154935.91999999998</v>
      </c>
      <c r="V725" s="28">
        <v>115616.54</v>
      </c>
      <c r="W725" s="28">
        <v>39319.379999999997</v>
      </c>
      <c r="X725" s="2">
        <f t="shared" si="267"/>
        <v>0</v>
      </c>
      <c r="Y725" s="2">
        <v>0</v>
      </c>
      <c r="Z725" s="2">
        <v>0</v>
      </c>
      <c r="AA725" s="2">
        <f t="shared" si="268"/>
        <v>19742.349999999999</v>
      </c>
      <c r="AB725" s="2">
        <v>15730.16</v>
      </c>
      <c r="AC725" s="2">
        <v>4012.19</v>
      </c>
      <c r="AD725" s="16">
        <f t="shared" si="271"/>
        <v>987116.21000000008</v>
      </c>
      <c r="AE725" s="2">
        <v>0</v>
      </c>
      <c r="AF725" s="2">
        <f t="shared" si="269"/>
        <v>987116.21000000008</v>
      </c>
      <c r="AG725" s="21" t="s">
        <v>857</v>
      </c>
      <c r="AH725" s="29" t="s">
        <v>1301</v>
      </c>
      <c r="AI725" s="30">
        <f>98711.62+82894.54-376.83+73798.02+80976.74+185141.28+260525.68-19533.72</f>
        <v>762137.33000000007</v>
      </c>
      <c r="AJ725" s="30">
        <f>15808.4+376.83+15333.49+13734.08+35307.36+49683.52+15099.61</f>
        <v>145343.28999999998</v>
      </c>
    </row>
    <row r="726" spans="1:109" s="179" customFormat="1" ht="141.75" x14ac:dyDescent="0.25">
      <c r="A726" s="6">
        <v>723</v>
      </c>
      <c r="B726" s="31">
        <v>113125</v>
      </c>
      <c r="C726" s="31">
        <v>230</v>
      </c>
      <c r="D726" s="11" t="s">
        <v>143</v>
      </c>
      <c r="E726" s="24" t="s">
        <v>270</v>
      </c>
      <c r="F726" s="67" t="s">
        <v>621</v>
      </c>
      <c r="G726" s="11" t="s">
        <v>622</v>
      </c>
      <c r="H726" s="8" t="s">
        <v>151</v>
      </c>
      <c r="I726" s="32" t="s">
        <v>623</v>
      </c>
      <c r="J726" s="25">
        <v>43291</v>
      </c>
      <c r="K726" s="25">
        <v>43718</v>
      </c>
      <c r="L726" s="26">
        <f t="shared" si="260"/>
        <v>82.304188716846156</v>
      </c>
      <c r="M726" s="11" t="s">
        <v>272</v>
      </c>
      <c r="N726" s="11" t="s">
        <v>261</v>
      </c>
      <c r="O726" s="11" t="s">
        <v>261</v>
      </c>
      <c r="P726" s="27" t="s">
        <v>274</v>
      </c>
      <c r="Q726" s="11" t="s">
        <v>34</v>
      </c>
      <c r="R726" s="2">
        <f t="shared" si="272"/>
        <v>736342.77</v>
      </c>
      <c r="S726" s="2">
        <v>593796.28</v>
      </c>
      <c r="T726" s="2">
        <v>142546.49</v>
      </c>
      <c r="U726" s="2">
        <f t="shared" si="270"/>
        <v>140424.16999999998</v>
      </c>
      <c r="V726" s="28">
        <v>104787.58</v>
      </c>
      <c r="W726" s="28">
        <v>35636.589999999997</v>
      </c>
      <c r="X726" s="2">
        <f t="shared" si="267"/>
        <v>0</v>
      </c>
      <c r="Y726" s="2">
        <v>0</v>
      </c>
      <c r="Z726" s="2">
        <v>0</v>
      </c>
      <c r="AA726" s="2">
        <f t="shared" si="268"/>
        <v>17893.2</v>
      </c>
      <c r="AB726" s="2">
        <v>14256.8</v>
      </c>
      <c r="AC726" s="2">
        <v>3636.4</v>
      </c>
      <c r="AD726" s="16">
        <f t="shared" si="271"/>
        <v>894660.1399999999</v>
      </c>
      <c r="AE726" s="2">
        <v>0</v>
      </c>
      <c r="AF726" s="2">
        <f t="shared" si="269"/>
        <v>894660.1399999999</v>
      </c>
      <c r="AG726" s="21" t="s">
        <v>857</v>
      </c>
      <c r="AH726" s="29" t="s">
        <v>358</v>
      </c>
      <c r="AI726" s="30">
        <f>431197.76+67607.74</f>
        <v>498805.5</v>
      </c>
      <c r="AJ726" s="30">
        <f>81263.8+12893.14</f>
        <v>94156.94</v>
      </c>
    </row>
    <row r="727" spans="1:109" s="179" customFormat="1" ht="157.5" x14ac:dyDescent="0.25">
      <c r="A727" s="6">
        <v>724</v>
      </c>
      <c r="B727" s="31">
        <v>112435</v>
      </c>
      <c r="C727" s="31">
        <v>323</v>
      </c>
      <c r="D727" s="11" t="s">
        <v>143</v>
      </c>
      <c r="E727" s="24" t="s">
        <v>270</v>
      </c>
      <c r="F727" s="67" t="s">
        <v>1908</v>
      </c>
      <c r="G727" s="11" t="s">
        <v>624</v>
      </c>
      <c r="H727" s="11" t="s">
        <v>625</v>
      </c>
      <c r="I727" s="120" t="s">
        <v>2955</v>
      </c>
      <c r="J727" s="25">
        <v>43292</v>
      </c>
      <c r="K727" s="25">
        <v>43780</v>
      </c>
      <c r="L727" s="26">
        <f t="shared" si="260"/>
        <v>82.304182891954625</v>
      </c>
      <c r="M727" s="11" t="s">
        <v>272</v>
      </c>
      <c r="N727" s="11" t="s">
        <v>280</v>
      </c>
      <c r="O727" s="11" t="s">
        <v>280</v>
      </c>
      <c r="P727" s="27" t="s">
        <v>274</v>
      </c>
      <c r="Q727" s="11" t="s">
        <v>34</v>
      </c>
      <c r="R727" s="2">
        <f t="shared" si="272"/>
        <v>815316.89</v>
      </c>
      <c r="S727" s="2">
        <v>657481.98</v>
      </c>
      <c r="T727" s="2">
        <v>157834.91</v>
      </c>
      <c r="U727" s="2">
        <f t="shared" si="270"/>
        <v>155484.97999999998</v>
      </c>
      <c r="V727" s="28">
        <v>116026.31</v>
      </c>
      <c r="W727" s="28">
        <v>39458.67</v>
      </c>
      <c r="X727" s="2">
        <f t="shared" si="267"/>
        <v>0</v>
      </c>
      <c r="Y727" s="2">
        <v>0</v>
      </c>
      <c r="Z727" s="2">
        <v>0</v>
      </c>
      <c r="AA727" s="2">
        <f t="shared" si="268"/>
        <v>19812.29</v>
      </c>
      <c r="AB727" s="2">
        <v>15785.9</v>
      </c>
      <c r="AC727" s="2">
        <v>4026.39</v>
      </c>
      <c r="AD727" s="16">
        <f t="shared" si="271"/>
        <v>990614.16</v>
      </c>
      <c r="AE727" s="2"/>
      <c r="AF727" s="2">
        <f t="shared" si="269"/>
        <v>990614.16</v>
      </c>
      <c r="AG727" s="21" t="s">
        <v>857</v>
      </c>
      <c r="AH727" s="29" t="s">
        <v>1143</v>
      </c>
      <c r="AI727" s="30">
        <f>694001.82-8054.22</f>
        <v>685947.6</v>
      </c>
      <c r="AJ727" s="30">
        <f>15703.63+42154.87+5183.15+19792.72+39704.75+8274.46</f>
        <v>130813.57999999999</v>
      </c>
    </row>
    <row r="728" spans="1:109" s="179" customFormat="1" ht="141.75" x14ac:dyDescent="0.25">
      <c r="A728" s="6">
        <v>725</v>
      </c>
      <c r="B728" s="31">
        <v>110839</v>
      </c>
      <c r="C728" s="31">
        <v>306</v>
      </c>
      <c r="D728" s="11" t="s">
        <v>143</v>
      </c>
      <c r="E728" s="24" t="s">
        <v>270</v>
      </c>
      <c r="F728" s="67" t="s">
        <v>626</v>
      </c>
      <c r="G728" s="11" t="s">
        <v>627</v>
      </c>
      <c r="H728" s="11" t="s">
        <v>629</v>
      </c>
      <c r="I728" s="32" t="s">
        <v>628</v>
      </c>
      <c r="J728" s="25">
        <v>43292</v>
      </c>
      <c r="K728" s="25">
        <v>43993</v>
      </c>
      <c r="L728" s="26">
        <f t="shared" si="260"/>
        <v>82.304186604752402</v>
      </c>
      <c r="M728" s="11" t="s">
        <v>272</v>
      </c>
      <c r="N728" s="11" t="s">
        <v>630</v>
      </c>
      <c r="O728" s="11" t="s">
        <v>630</v>
      </c>
      <c r="P728" s="27" t="s">
        <v>274</v>
      </c>
      <c r="Q728" s="11" t="s">
        <v>34</v>
      </c>
      <c r="R728" s="2">
        <f t="shared" si="272"/>
        <v>800537.35</v>
      </c>
      <c r="S728" s="2">
        <v>645563.62</v>
      </c>
      <c r="T728" s="2">
        <v>154973.73000000001</v>
      </c>
      <c r="U728" s="2">
        <f t="shared" si="270"/>
        <v>152666.38</v>
      </c>
      <c r="V728" s="28">
        <v>113922.98</v>
      </c>
      <c r="W728" s="28">
        <v>38743.4</v>
      </c>
      <c r="X728" s="2">
        <f t="shared" si="267"/>
        <v>0</v>
      </c>
      <c r="Y728" s="2">
        <v>0</v>
      </c>
      <c r="Z728" s="2">
        <v>0</v>
      </c>
      <c r="AA728" s="2">
        <f t="shared" si="268"/>
        <v>19453.169999999998</v>
      </c>
      <c r="AB728" s="2">
        <v>15499.74</v>
      </c>
      <c r="AC728" s="2">
        <v>3953.43</v>
      </c>
      <c r="AD728" s="16">
        <f t="shared" si="271"/>
        <v>972656.9</v>
      </c>
      <c r="AE728" s="2"/>
      <c r="AF728" s="2">
        <f t="shared" si="269"/>
        <v>972656.9</v>
      </c>
      <c r="AG728" s="38" t="s">
        <v>857</v>
      </c>
      <c r="AH728" s="29" t="s">
        <v>1376</v>
      </c>
      <c r="AI728" s="30">
        <f>655019.55+13323.41+14688.82</f>
        <v>683031.78</v>
      </c>
      <c r="AJ728" s="30">
        <f>124915.36+2540.83+2801.24</f>
        <v>130257.43000000001</v>
      </c>
    </row>
    <row r="729" spans="1:109" s="179" customFormat="1" ht="141.75" x14ac:dyDescent="0.25">
      <c r="A729" s="6">
        <v>726</v>
      </c>
      <c r="B729" s="31">
        <v>115895</v>
      </c>
      <c r="C729" s="31">
        <v>389</v>
      </c>
      <c r="D729" s="138" t="s">
        <v>143</v>
      </c>
      <c r="E729" s="139" t="s">
        <v>373</v>
      </c>
      <c r="F729" s="67" t="s">
        <v>634</v>
      </c>
      <c r="G729" s="11" t="s">
        <v>1702</v>
      </c>
      <c r="H729" s="11" t="s">
        <v>635</v>
      </c>
      <c r="I729" s="120" t="s">
        <v>2956</v>
      </c>
      <c r="J729" s="25">
        <v>43293</v>
      </c>
      <c r="K729" s="25">
        <v>45211</v>
      </c>
      <c r="L729" s="26">
        <f t="shared" si="260"/>
        <v>83.983864548494978</v>
      </c>
      <c r="M729" s="11" t="s">
        <v>272</v>
      </c>
      <c r="N729" s="11" t="s">
        <v>261</v>
      </c>
      <c r="O729" s="11" t="s">
        <v>261</v>
      </c>
      <c r="P729" s="27" t="s">
        <v>138</v>
      </c>
      <c r="Q729" s="11" t="s">
        <v>34</v>
      </c>
      <c r="R729" s="2">
        <f t="shared" si="272"/>
        <v>2511117.5499999998</v>
      </c>
      <c r="S729" s="2">
        <v>2024997.51</v>
      </c>
      <c r="T729" s="2">
        <v>486120.04</v>
      </c>
      <c r="U729" s="2">
        <f t="shared" si="270"/>
        <v>0</v>
      </c>
      <c r="V729" s="28"/>
      <c r="W729" s="28"/>
      <c r="X729" s="2">
        <f t="shared" si="267"/>
        <v>478882.44999999995</v>
      </c>
      <c r="Y729" s="2">
        <v>357352.47</v>
      </c>
      <c r="Z729" s="2">
        <v>121529.98</v>
      </c>
      <c r="AA729" s="2">
        <f t="shared" si="268"/>
        <v>0</v>
      </c>
      <c r="AB729" s="2">
        <v>0</v>
      </c>
      <c r="AC729" s="2">
        <v>0</v>
      </c>
      <c r="AD729" s="16">
        <f t="shared" si="271"/>
        <v>2990000</v>
      </c>
      <c r="AE729" s="2">
        <v>0</v>
      </c>
      <c r="AF729" s="2">
        <f t="shared" si="269"/>
        <v>2990000</v>
      </c>
      <c r="AG729" s="38" t="s">
        <v>486</v>
      </c>
      <c r="AH729" s="29" t="s">
        <v>3287</v>
      </c>
      <c r="AI729" s="30">
        <f>1101841.06+308901.88+307109.67+140785.22+76589.93+88067.17+24784.49+9172.74+7398.66+72760.84</f>
        <v>2137411.6599999997</v>
      </c>
      <c r="AJ729" s="30">
        <v>0</v>
      </c>
    </row>
    <row r="730" spans="1:109" s="179" customFormat="1" ht="267.75" x14ac:dyDescent="0.25">
      <c r="A730" s="6">
        <v>727</v>
      </c>
      <c r="B730" s="31">
        <v>111830</v>
      </c>
      <c r="C730" s="31">
        <v>377</v>
      </c>
      <c r="D730" s="97" t="s">
        <v>1640</v>
      </c>
      <c r="E730" s="139" t="s">
        <v>528</v>
      </c>
      <c r="F730" s="67" t="s">
        <v>1632</v>
      </c>
      <c r="G730" s="11" t="s">
        <v>636</v>
      </c>
      <c r="H730" s="11" t="s">
        <v>637</v>
      </c>
      <c r="I730" s="120" t="s">
        <v>638</v>
      </c>
      <c r="J730" s="25">
        <v>43297</v>
      </c>
      <c r="K730" s="25">
        <v>43906</v>
      </c>
      <c r="L730" s="26">
        <f t="shared" si="260"/>
        <v>83.143853842955224</v>
      </c>
      <c r="M730" s="11" t="s">
        <v>272</v>
      </c>
      <c r="N730" s="11" t="s">
        <v>261</v>
      </c>
      <c r="O730" s="11" t="s">
        <v>261</v>
      </c>
      <c r="P730" s="27" t="s">
        <v>138</v>
      </c>
      <c r="Q730" s="11" t="s">
        <v>34</v>
      </c>
      <c r="R730" s="2">
        <f t="shared" si="272"/>
        <v>5525318.4299999997</v>
      </c>
      <c r="S730" s="2">
        <v>4455687.8899999997</v>
      </c>
      <c r="T730" s="2">
        <v>1069630.54</v>
      </c>
      <c r="U730" s="2">
        <f t="shared" si="270"/>
        <v>987264.11999999988</v>
      </c>
      <c r="V730" s="28">
        <v>733359.19</v>
      </c>
      <c r="W730" s="28">
        <v>253904.93</v>
      </c>
      <c r="X730" s="2">
        <f t="shared" si="267"/>
        <v>0</v>
      </c>
      <c r="Y730" s="2">
        <v>0</v>
      </c>
      <c r="Z730" s="2">
        <v>0</v>
      </c>
      <c r="AA730" s="2">
        <f t="shared" si="268"/>
        <v>132909.78</v>
      </c>
      <c r="AB730" s="2">
        <v>105898.92</v>
      </c>
      <c r="AC730" s="2">
        <v>27010.86</v>
      </c>
      <c r="AD730" s="16">
        <f t="shared" si="271"/>
        <v>6645492.3300000001</v>
      </c>
      <c r="AE730" s="2">
        <v>0</v>
      </c>
      <c r="AF730" s="2">
        <f t="shared" si="269"/>
        <v>6645492.3300000001</v>
      </c>
      <c r="AG730" s="38" t="s">
        <v>857</v>
      </c>
      <c r="AH730" s="29" t="s">
        <v>1365</v>
      </c>
      <c r="AI730" s="30">
        <v>4546741.8800000018</v>
      </c>
      <c r="AJ730" s="30">
        <v>805170.18000000028</v>
      </c>
    </row>
    <row r="731" spans="1:109" s="179" customFormat="1" ht="267.75" x14ac:dyDescent="0.25">
      <c r="A731" s="6">
        <v>728</v>
      </c>
      <c r="B731" s="31">
        <v>126528</v>
      </c>
      <c r="C731" s="31">
        <v>496</v>
      </c>
      <c r="D731" s="97" t="s">
        <v>1640</v>
      </c>
      <c r="E731" s="32" t="s">
        <v>983</v>
      </c>
      <c r="F731" s="31" t="s">
        <v>1024</v>
      </c>
      <c r="G731" s="11" t="s">
        <v>1023</v>
      </c>
      <c r="H731" s="11" t="s">
        <v>1028</v>
      </c>
      <c r="I731" s="134" t="s">
        <v>2957</v>
      </c>
      <c r="J731" s="25">
        <v>43552</v>
      </c>
      <c r="K731" s="25">
        <v>44283</v>
      </c>
      <c r="L731" s="26">
        <f t="shared" si="260"/>
        <v>83.538686217523377</v>
      </c>
      <c r="M731" s="11" t="s">
        <v>1025</v>
      </c>
      <c r="N731" s="11" t="s">
        <v>1026</v>
      </c>
      <c r="O731" s="11" t="s">
        <v>1026</v>
      </c>
      <c r="P731" s="11" t="s">
        <v>274</v>
      </c>
      <c r="Q731" s="11" t="s">
        <v>34</v>
      </c>
      <c r="R731" s="30">
        <f t="shared" si="272"/>
        <v>1949308.98</v>
      </c>
      <c r="S731" s="93">
        <v>1949308.98</v>
      </c>
      <c r="T731" s="34">
        <v>0</v>
      </c>
      <c r="U731" s="30">
        <f t="shared" si="270"/>
        <v>337443.27</v>
      </c>
      <c r="V731" s="42">
        <v>337443.27</v>
      </c>
      <c r="W731" s="42">
        <v>0</v>
      </c>
      <c r="X731" s="30">
        <f t="shared" si="267"/>
        <v>6552.42</v>
      </c>
      <c r="Y731" s="93">
        <v>6552.42</v>
      </c>
      <c r="Z731" s="34">
        <v>0</v>
      </c>
      <c r="AA731" s="2">
        <f t="shared" si="268"/>
        <v>40116.009999999995</v>
      </c>
      <c r="AB731" s="93">
        <f>23632.16+16483.85</f>
        <v>40116.009999999995</v>
      </c>
      <c r="AC731" s="34">
        <v>0</v>
      </c>
      <c r="AD731" s="16">
        <f t="shared" si="271"/>
        <v>2333420.6799999997</v>
      </c>
      <c r="AE731" s="35">
        <v>0</v>
      </c>
      <c r="AF731" s="2">
        <f t="shared" si="269"/>
        <v>2333420.6799999997</v>
      </c>
      <c r="AG731" s="38" t="s">
        <v>857</v>
      </c>
      <c r="AH731" s="35" t="s">
        <v>151</v>
      </c>
      <c r="AI731" s="30">
        <f>1124643.02+142130.56+141973.95+153503.61+152349.68+121455.81-7033.67-26450.13</f>
        <v>1802572.8300000003</v>
      </c>
      <c r="AJ731" s="30">
        <f>154526.42+24578.05+24562.15+26694.06+26553.69+25966.76+30122.6</f>
        <v>313003.73</v>
      </c>
    </row>
    <row r="732" spans="1:109" s="179" customFormat="1" ht="141.75" x14ac:dyDescent="0.25">
      <c r="A732" s="6">
        <v>729</v>
      </c>
      <c r="B732" s="31">
        <v>109927</v>
      </c>
      <c r="C732" s="31">
        <v>334</v>
      </c>
      <c r="D732" s="11" t="s">
        <v>143</v>
      </c>
      <c r="E732" s="24" t="s">
        <v>270</v>
      </c>
      <c r="F732" s="67" t="s">
        <v>640</v>
      </c>
      <c r="G732" s="11" t="s">
        <v>641</v>
      </c>
      <c r="H732" s="8" t="s">
        <v>151</v>
      </c>
      <c r="I732" s="120" t="s">
        <v>642</v>
      </c>
      <c r="J732" s="25">
        <v>43297</v>
      </c>
      <c r="K732" s="25">
        <v>43785</v>
      </c>
      <c r="L732" s="26">
        <f t="shared" ref="L732:L793" si="273">R732/AD732*100</f>
        <v>82.304185890830638</v>
      </c>
      <c r="M732" s="11" t="s">
        <v>272</v>
      </c>
      <c r="N732" s="11" t="s">
        <v>261</v>
      </c>
      <c r="O732" s="11" t="s">
        <v>261</v>
      </c>
      <c r="P732" s="27" t="s">
        <v>138</v>
      </c>
      <c r="Q732" s="11" t="s">
        <v>34</v>
      </c>
      <c r="R732" s="2">
        <f t="shared" si="272"/>
        <v>793991.64999999991</v>
      </c>
      <c r="S732" s="2">
        <v>640285.07999999996</v>
      </c>
      <c r="T732" s="2">
        <v>153706.57</v>
      </c>
      <c r="U732" s="2">
        <f t="shared" si="270"/>
        <v>151418.12</v>
      </c>
      <c r="V732" s="28">
        <v>112991.49</v>
      </c>
      <c r="W732" s="28">
        <v>38426.629999999997</v>
      </c>
      <c r="X732" s="2">
        <f t="shared" ref="X732:X763" si="274">Y732+Z732</f>
        <v>0</v>
      </c>
      <c r="Y732" s="2">
        <v>0</v>
      </c>
      <c r="Z732" s="2">
        <v>0</v>
      </c>
      <c r="AA732" s="2">
        <f t="shared" ref="AA732:AA763" si="275">AB732+AC732</f>
        <v>19294.080000000002</v>
      </c>
      <c r="AB732" s="2">
        <v>15373</v>
      </c>
      <c r="AC732" s="2">
        <v>3921.08</v>
      </c>
      <c r="AD732" s="16">
        <f t="shared" si="271"/>
        <v>964703.84999999986</v>
      </c>
      <c r="AE732" s="2">
        <v>0</v>
      </c>
      <c r="AF732" s="2">
        <f t="shared" ref="AF732:AF763" si="276">AD732+AE732</f>
        <v>964703.84999999986</v>
      </c>
      <c r="AG732" s="21" t="s">
        <v>857</v>
      </c>
      <c r="AH732" s="29" t="s">
        <v>1320</v>
      </c>
      <c r="AI732" s="30">
        <f>402453.38+117377.22+258590.23+5842.52</f>
        <v>784263.35</v>
      </c>
      <c r="AJ732" s="30">
        <f>14469.9+11972.92+31909.61+40781.81+49314.41+1114.21</f>
        <v>149562.85999999999</v>
      </c>
    </row>
    <row r="733" spans="1:109" s="179" customFormat="1" ht="189" x14ac:dyDescent="0.25">
      <c r="A733" s="6">
        <v>730</v>
      </c>
      <c r="B733" s="31">
        <v>111446</v>
      </c>
      <c r="C733" s="31">
        <v>161</v>
      </c>
      <c r="D733" s="11" t="s">
        <v>143</v>
      </c>
      <c r="E733" s="24" t="s">
        <v>270</v>
      </c>
      <c r="F733" s="67" t="s">
        <v>643</v>
      </c>
      <c r="G733" s="11" t="s">
        <v>644</v>
      </c>
      <c r="H733" s="8" t="s">
        <v>151</v>
      </c>
      <c r="I733" s="12" t="s">
        <v>645</v>
      </c>
      <c r="J733" s="25">
        <v>43297</v>
      </c>
      <c r="K733" s="25">
        <v>43785</v>
      </c>
      <c r="L733" s="26">
        <f t="shared" si="273"/>
        <v>82.304180439174772</v>
      </c>
      <c r="M733" s="11" t="s">
        <v>272</v>
      </c>
      <c r="N733" s="11" t="s">
        <v>261</v>
      </c>
      <c r="O733" s="11" t="s">
        <v>261</v>
      </c>
      <c r="P733" s="27" t="s">
        <v>274</v>
      </c>
      <c r="Q733" s="11" t="s">
        <v>34</v>
      </c>
      <c r="R733" s="2">
        <f t="shared" si="272"/>
        <v>820476.63</v>
      </c>
      <c r="S733" s="2">
        <v>661642.92000000004</v>
      </c>
      <c r="T733" s="2">
        <v>158833.71</v>
      </c>
      <c r="U733" s="2">
        <f t="shared" si="270"/>
        <v>156469</v>
      </c>
      <c r="V733" s="28">
        <v>116760.53</v>
      </c>
      <c r="W733" s="28">
        <v>39708.47</v>
      </c>
      <c r="X733" s="2">
        <f t="shared" si="274"/>
        <v>0</v>
      </c>
      <c r="Y733" s="2">
        <v>0</v>
      </c>
      <c r="Z733" s="2">
        <v>0</v>
      </c>
      <c r="AA733" s="2">
        <f t="shared" si="275"/>
        <v>19937.669999999998</v>
      </c>
      <c r="AB733" s="2">
        <v>15885.81</v>
      </c>
      <c r="AC733" s="2">
        <v>4051.86</v>
      </c>
      <c r="AD733" s="16">
        <f t="shared" si="271"/>
        <v>996883.3</v>
      </c>
      <c r="AE733" s="2"/>
      <c r="AF733" s="2">
        <f t="shared" si="276"/>
        <v>996883.3</v>
      </c>
      <c r="AG733" s="21" t="s">
        <v>857</v>
      </c>
      <c r="AH733" s="29" t="s">
        <v>294</v>
      </c>
      <c r="AI733" s="30">
        <f>172463.58+91295.09-2619.6+99688.33+6676.64+99688.33+83929.71+100258.16+75790.79</f>
        <v>727171.03</v>
      </c>
      <c r="AJ733" s="30">
        <f>13878.6+17410.43+18511.49+20284.35+16005.79+38130.79+14453.69</f>
        <v>138675.14000000001</v>
      </c>
    </row>
    <row r="734" spans="1:109" s="179" customFormat="1" ht="141.75" x14ac:dyDescent="0.25">
      <c r="A734" s="6">
        <v>731</v>
      </c>
      <c r="B734" s="31">
        <v>111890</v>
      </c>
      <c r="C734" s="31">
        <v>249</v>
      </c>
      <c r="D734" s="11" t="s">
        <v>143</v>
      </c>
      <c r="E734" s="24" t="s">
        <v>270</v>
      </c>
      <c r="F734" s="67" t="s">
        <v>664</v>
      </c>
      <c r="G734" s="11" t="s">
        <v>665</v>
      </c>
      <c r="H734" s="11" t="s">
        <v>666</v>
      </c>
      <c r="I734" s="12" t="s">
        <v>2958</v>
      </c>
      <c r="J734" s="25">
        <v>43301</v>
      </c>
      <c r="K734" s="25">
        <v>43789</v>
      </c>
      <c r="L734" s="26">
        <f t="shared" si="273"/>
        <v>82.304184196855573</v>
      </c>
      <c r="M734" s="11" t="s">
        <v>272</v>
      </c>
      <c r="N734" s="11" t="s">
        <v>361</v>
      </c>
      <c r="O734" s="11" t="s">
        <v>361</v>
      </c>
      <c r="P734" s="27" t="s">
        <v>274</v>
      </c>
      <c r="Q734" s="11" t="s">
        <v>34</v>
      </c>
      <c r="R734" s="2">
        <f t="shared" si="272"/>
        <v>729395.17</v>
      </c>
      <c r="S734" s="2">
        <v>588193.66</v>
      </c>
      <c r="T734" s="2">
        <v>141201.51</v>
      </c>
      <c r="U734" s="2">
        <f t="shared" si="270"/>
        <v>139099.28</v>
      </c>
      <c r="V734" s="28">
        <v>103798.89</v>
      </c>
      <c r="W734" s="28">
        <v>35300.39</v>
      </c>
      <c r="X734" s="2">
        <f t="shared" si="274"/>
        <v>0</v>
      </c>
      <c r="Y734" s="2">
        <v>0</v>
      </c>
      <c r="Z734" s="2">
        <v>0</v>
      </c>
      <c r="AA734" s="2">
        <f t="shared" si="275"/>
        <v>17724.370000000003</v>
      </c>
      <c r="AB734" s="2">
        <v>14122.29</v>
      </c>
      <c r="AC734" s="2">
        <v>3602.08</v>
      </c>
      <c r="AD734" s="16">
        <f t="shared" si="271"/>
        <v>886218.82000000007</v>
      </c>
      <c r="AE734" s="2">
        <v>0</v>
      </c>
      <c r="AF734" s="2">
        <f t="shared" si="276"/>
        <v>886218.82000000007</v>
      </c>
      <c r="AG734" s="21" t="s">
        <v>857</v>
      </c>
      <c r="AH734" s="29" t="s">
        <v>1277</v>
      </c>
      <c r="AI734" s="30">
        <f>416218.9+121145.8+152202.09-7471.8-36155.33</f>
        <v>645939.66</v>
      </c>
      <c r="AJ734" s="30">
        <f>14022.63+14374.66+9282.27+24787.75+23442.2+29025.69+8248.64</f>
        <v>123183.84</v>
      </c>
    </row>
    <row r="735" spans="1:109" s="179" customFormat="1" ht="252" x14ac:dyDescent="0.25">
      <c r="A735" s="6">
        <v>732</v>
      </c>
      <c r="B735" s="31">
        <v>126511</v>
      </c>
      <c r="C735" s="31">
        <v>499</v>
      </c>
      <c r="D735" s="97" t="s">
        <v>1640</v>
      </c>
      <c r="E735" s="32" t="s">
        <v>983</v>
      </c>
      <c r="F735" s="11" t="s">
        <v>1011</v>
      </c>
      <c r="G735" s="11" t="s">
        <v>1012</v>
      </c>
      <c r="H735" s="8" t="s">
        <v>151</v>
      </c>
      <c r="I735" s="46" t="s">
        <v>1015</v>
      </c>
      <c r="J735" s="25">
        <v>43535</v>
      </c>
      <c r="K735" s="25">
        <v>44266</v>
      </c>
      <c r="L735" s="26">
        <f t="shared" si="273"/>
        <v>83.300000000000011</v>
      </c>
      <c r="M735" s="11" t="s">
        <v>1014</v>
      </c>
      <c r="N735" s="11" t="s">
        <v>1013</v>
      </c>
      <c r="O735" s="11" t="s">
        <v>1013</v>
      </c>
      <c r="P735" s="11" t="s">
        <v>274</v>
      </c>
      <c r="Q735" s="11" t="s">
        <v>34</v>
      </c>
      <c r="R735" s="30">
        <f t="shared" si="272"/>
        <v>2060383.85</v>
      </c>
      <c r="S735" s="2">
        <v>2060383.85</v>
      </c>
      <c r="T735" s="2">
        <v>0</v>
      </c>
      <c r="U735" s="30">
        <f t="shared" si="270"/>
        <v>363597.15</v>
      </c>
      <c r="V735" s="28">
        <v>363597.15</v>
      </c>
      <c r="W735" s="28">
        <v>0</v>
      </c>
      <c r="X735" s="30">
        <f t="shared" si="274"/>
        <v>0</v>
      </c>
      <c r="Y735" s="2">
        <v>0</v>
      </c>
      <c r="Z735" s="2">
        <v>0</v>
      </c>
      <c r="AA735" s="2">
        <f t="shared" si="275"/>
        <v>49469</v>
      </c>
      <c r="AB735" s="2">
        <v>49469</v>
      </c>
      <c r="AC735" s="2">
        <v>0</v>
      </c>
      <c r="AD735" s="16">
        <f t="shared" si="271"/>
        <v>2473450</v>
      </c>
      <c r="AE735" s="2">
        <v>0</v>
      </c>
      <c r="AF735" s="2">
        <f t="shared" si="276"/>
        <v>2473450</v>
      </c>
      <c r="AG735" s="38" t="s">
        <v>857</v>
      </c>
      <c r="AH735" s="29" t="s">
        <v>151</v>
      </c>
      <c r="AI735" s="30">
        <f>223418.82+247345-25227.12+247345+167983.62+12080.39+247345+335959.73+30394.68+247345+30380.57+158425.78</f>
        <v>1922796.47</v>
      </c>
      <c r="AJ735" s="30">
        <f>23926.18+54697.96+29644.16+45780.91+59287.01+49012.9+49010.35+27957.48</f>
        <v>339316.95</v>
      </c>
      <c r="AK735" s="43"/>
      <c r="AL735" s="43"/>
      <c r="AM735" s="43"/>
      <c r="AN735" s="43"/>
      <c r="AO735" s="43"/>
      <c r="AP735" s="43"/>
      <c r="AQ735" s="43"/>
      <c r="AR735" s="43"/>
      <c r="AS735" s="43"/>
      <c r="AT735" s="43"/>
      <c r="AU735" s="43"/>
      <c r="AV735" s="43"/>
      <c r="AW735" s="43"/>
      <c r="AX735" s="43"/>
      <c r="AY735" s="43"/>
      <c r="AZ735" s="43"/>
      <c r="BA735" s="43"/>
      <c r="BB735" s="43"/>
      <c r="BC735" s="43"/>
      <c r="BD735" s="43"/>
      <c r="BE735" s="43"/>
      <c r="BF735" s="43"/>
      <c r="BG735" s="43"/>
      <c r="BH735" s="43"/>
      <c r="BI735" s="43"/>
      <c r="BJ735" s="43"/>
      <c r="BK735" s="43"/>
      <c r="BL735" s="43"/>
      <c r="BM735" s="43"/>
      <c r="BN735" s="43"/>
      <c r="BO735" s="43"/>
      <c r="BP735" s="43"/>
      <c r="BQ735" s="43"/>
      <c r="BR735" s="43"/>
      <c r="BS735" s="43"/>
      <c r="BT735" s="43"/>
      <c r="BU735" s="43"/>
      <c r="BV735" s="43"/>
      <c r="BW735" s="43"/>
      <c r="BX735" s="43"/>
      <c r="BY735" s="43"/>
      <c r="BZ735" s="43"/>
      <c r="CA735" s="43"/>
      <c r="CB735" s="43"/>
      <c r="CC735" s="43"/>
      <c r="CD735" s="43"/>
      <c r="CE735" s="43"/>
      <c r="CF735" s="43"/>
      <c r="CG735" s="43"/>
      <c r="CH735" s="43"/>
      <c r="CI735" s="43"/>
      <c r="CJ735" s="43"/>
      <c r="CK735" s="43"/>
      <c r="CL735" s="43"/>
      <c r="CM735" s="43"/>
      <c r="CN735" s="43"/>
      <c r="CO735" s="43"/>
      <c r="CP735" s="43"/>
      <c r="CQ735" s="43"/>
      <c r="CR735" s="43"/>
      <c r="CS735" s="43"/>
      <c r="CT735" s="43"/>
      <c r="CU735" s="43"/>
      <c r="CV735" s="43"/>
      <c r="CW735" s="43"/>
      <c r="CX735" s="43"/>
      <c r="CY735" s="43"/>
      <c r="CZ735" s="43"/>
      <c r="DA735" s="43"/>
      <c r="DB735" s="43"/>
      <c r="DC735" s="43"/>
      <c r="DD735" s="43"/>
      <c r="DE735" s="43"/>
    </row>
    <row r="736" spans="1:109" s="179" customFormat="1" ht="204.75" x14ac:dyDescent="0.25">
      <c r="A736" s="6">
        <v>733</v>
      </c>
      <c r="B736" s="31">
        <v>113123</v>
      </c>
      <c r="C736" s="31">
        <v>217</v>
      </c>
      <c r="D736" s="11" t="s">
        <v>143</v>
      </c>
      <c r="E736" s="24" t="s">
        <v>270</v>
      </c>
      <c r="F736" s="11" t="s">
        <v>1909</v>
      </c>
      <c r="G736" s="11" t="s">
        <v>687</v>
      </c>
      <c r="H736" s="8" t="s">
        <v>151</v>
      </c>
      <c r="I736" s="120" t="s">
        <v>688</v>
      </c>
      <c r="J736" s="25">
        <v>43312</v>
      </c>
      <c r="K736" s="25">
        <v>44012</v>
      </c>
      <c r="L736" s="26">
        <f t="shared" si="273"/>
        <v>82.304192539701532</v>
      </c>
      <c r="M736" s="11" t="s">
        <v>272</v>
      </c>
      <c r="N736" s="11" t="s">
        <v>261</v>
      </c>
      <c r="O736" s="11" t="s">
        <v>261</v>
      </c>
      <c r="P736" s="27" t="s">
        <v>274</v>
      </c>
      <c r="Q736" s="11" t="s">
        <v>34</v>
      </c>
      <c r="R736" s="2">
        <f t="shared" si="272"/>
        <v>457182.16000000003</v>
      </c>
      <c r="S736" s="2">
        <v>368677.58</v>
      </c>
      <c r="T736" s="2">
        <v>88504.58</v>
      </c>
      <c r="U736" s="2">
        <f t="shared" si="270"/>
        <v>87186.86</v>
      </c>
      <c r="V736" s="28">
        <v>65060.76</v>
      </c>
      <c r="W736" s="28">
        <v>22126.1</v>
      </c>
      <c r="X736" s="2">
        <f t="shared" si="274"/>
        <v>0</v>
      </c>
      <c r="Y736" s="2">
        <v>0</v>
      </c>
      <c r="Z736" s="2">
        <v>0</v>
      </c>
      <c r="AA736" s="2">
        <f t="shared" si="275"/>
        <v>11109.56</v>
      </c>
      <c r="AB736" s="2">
        <v>8851.75</v>
      </c>
      <c r="AC736" s="2">
        <v>2257.81</v>
      </c>
      <c r="AD736" s="16">
        <f t="shared" si="271"/>
        <v>555478.58000000007</v>
      </c>
      <c r="AE736" s="2"/>
      <c r="AF736" s="2">
        <f t="shared" si="276"/>
        <v>555478.58000000007</v>
      </c>
      <c r="AG736" s="38" t="s">
        <v>857</v>
      </c>
      <c r="AH736" s="29" t="s">
        <v>1518</v>
      </c>
      <c r="AI736" s="30">
        <f>290762.69+44490.67+37570.73+60763.37-29595.26</f>
        <v>403992.19999999995</v>
      </c>
      <c r="AJ736" s="30">
        <f>7748.65+9425.87-0.12+10127.9+16559.69+16272.7+10964.7+5943.9</f>
        <v>77043.289999999994</v>
      </c>
    </row>
    <row r="737" spans="1:36" s="179" customFormat="1" ht="141.75" x14ac:dyDescent="0.25">
      <c r="A737" s="6">
        <v>734</v>
      </c>
      <c r="B737" s="31">
        <v>112769</v>
      </c>
      <c r="C737" s="31">
        <v>154</v>
      </c>
      <c r="D737" s="11" t="s">
        <v>143</v>
      </c>
      <c r="E737" s="24" t="s">
        <v>270</v>
      </c>
      <c r="F737" s="11" t="s">
        <v>698</v>
      </c>
      <c r="G737" s="11" t="s">
        <v>699</v>
      </c>
      <c r="H737" s="11" t="s">
        <v>700</v>
      </c>
      <c r="I737" s="120" t="s">
        <v>2959</v>
      </c>
      <c r="J737" s="25">
        <v>43312</v>
      </c>
      <c r="K737" s="25">
        <v>43799</v>
      </c>
      <c r="L737" s="26">
        <f t="shared" si="273"/>
        <v>82.304193908401487</v>
      </c>
      <c r="M737" s="11" t="s">
        <v>272</v>
      </c>
      <c r="N737" s="11" t="s">
        <v>261</v>
      </c>
      <c r="O737" s="11" t="s">
        <v>261</v>
      </c>
      <c r="P737" s="27" t="s">
        <v>274</v>
      </c>
      <c r="Q737" s="11" t="s">
        <v>34</v>
      </c>
      <c r="R737" s="2">
        <f t="shared" si="272"/>
        <v>810553.29</v>
      </c>
      <c r="S737" s="2">
        <v>653640.61</v>
      </c>
      <c r="T737" s="2">
        <v>156912.68</v>
      </c>
      <c r="U737" s="2">
        <f t="shared" si="270"/>
        <v>154576.41999999998</v>
      </c>
      <c r="V737" s="28">
        <v>115348.29</v>
      </c>
      <c r="W737" s="28">
        <v>39228.129999999997</v>
      </c>
      <c r="X737" s="2">
        <f t="shared" si="274"/>
        <v>0</v>
      </c>
      <c r="Y737" s="2">
        <v>0</v>
      </c>
      <c r="Z737" s="2">
        <v>0</v>
      </c>
      <c r="AA737" s="2">
        <f t="shared" si="275"/>
        <v>19696.52</v>
      </c>
      <c r="AB737" s="2">
        <v>15693.62</v>
      </c>
      <c r="AC737" s="2">
        <v>4002.9</v>
      </c>
      <c r="AD737" s="16">
        <f t="shared" si="271"/>
        <v>984826.23</v>
      </c>
      <c r="AE737" s="2"/>
      <c r="AF737" s="2">
        <f t="shared" si="276"/>
        <v>984826.23</v>
      </c>
      <c r="AG737" s="21" t="s">
        <v>857</v>
      </c>
      <c r="AH737" s="29" t="s">
        <v>151</v>
      </c>
      <c r="AI737" s="30">
        <f>505319.03+215529.97-3637.72</f>
        <v>717211.28</v>
      </c>
      <c r="AJ737" s="30">
        <f>15061.09+3.81+17176.67+17183.59+29510.05+41102.63+16737.76</f>
        <v>136775.6</v>
      </c>
    </row>
    <row r="738" spans="1:36" s="179" customFormat="1" ht="162.75" customHeight="1" x14ac:dyDescent="0.25">
      <c r="A738" s="6">
        <v>735</v>
      </c>
      <c r="B738" s="31">
        <v>118824</v>
      </c>
      <c r="C738" s="31">
        <v>451</v>
      </c>
      <c r="D738" s="32" t="s">
        <v>1639</v>
      </c>
      <c r="E738" s="24" t="s">
        <v>523</v>
      </c>
      <c r="F738" s="67" t="s">
        <v>1910</v>
      </c>
      <c r="G738" s="11" t="s">
        <v>703</v>
      </c>
      <c r="H738" s="11" t="s">
        <v>704</v>
      </c>
      <c r="I738" s="32" t="s">
        <v>2960</v>
      </c>
      <c r="J738" s="25">
        <v>43311</v>
      </c>
      <c r="K738" s="25">
        <v>44228</v>
      </c>
      <c r="L738" s="26">
        <f t="shared" si="273"/>
        <v>83.245540797683958</v>
      </c>
      <c r="M738" s="11" t="s">
        <v>272</v>
      </c>
      <c r="N738" s="11" t="s">
        <v>261</v>
      </c>
      <c r="O738" s="11" t="s">
        <v>261</v>
      </c>
      <c r="P738" s="27" t="s">
        <v>138</v>
      </c>
      <c r="Q738" s="11" t="s">
        <v>34</v>
      </c>
      <c r="R738" s="2">
        <f t="shared" si="272"/>
        <v>3071406.8699999992</v>
      </c>
      <c r="S738" s="2">
        <v>2476821.9799999991</v>
      </c>
      <c r="T738" s="2">
        <v>594584.89000000013</v>
      </c>
      <c r="U738" s="2">
        <f t="shared" si="270"/>
        <v>254554.26</v>
      </c>
      <c r="V738" s="28">
        <v>189953.91</v>
      </c>
      <c r="W738" s="28">
        <v>64600.35</v>
      </c>
      <c r="X738" s="2">
        <f t="shared" si="274"/>
        <v>331178.18</v>
      </c>
      <c r="Y738" s="2">
        <v>247132.34</v>
      </c>
      <c r="Z738" s="2">
        <v>84045.84</v>
      </c>
      <c r="AA738" s="2">
        <f t="shared" si="275"/>
        <v>32435.940000000002</v>
      </c>
      <c r="AB738" s="2">
        <v>25844.11</v>
      </c>
      <c r="AC738" s="2">
        <v>6591.83</v>
      </c>
      <c r="AD738" s="16">
        <f t="shared" si="271"/>
        <v>3689575.2499999991</v>
      </c>
      <c r="AE738" s="2"/>
      <c r="AF738" s="2">
        <f t="shared" si="276"/>
        <v>3689575.2499999991</v>
      </c>
      <c r="AG738" s="38" t="s">
        <v>857</v>
      </c>
      <c r="AH738" s="160" t="s">
        <v>1596</v>
      </c>
      <c r="AI738" s="30">
        <f>1525625.11+35665.38+461250.33+93312.31+190744.71+123191.32+39619.9+58518.28+50395.7-17494.62</f>
        <v>2560828.4199999995</v>
      </c>
      <c r="AJ738" s="30">
        <f>127973.9+32924.82+17795.12+23493.19+12881.11+5976.01</f>
        <v>221044.15000000002</v>
      </c>
    </row>
    <row r="739" spans="1:36" s="179" customFormat="1" ht="189" x14ac:dyDescent="0.25">
      <c r="A739" s="6">
        <v>736</v>
      </c>
      <c r="B739" s="31">
        <v>113009</v>
      </c>
      <c r="C739" s="31">
        <v>296</v>
      </c>
      <c r="D739" s="11" t="s">
        <v>143</v>
      </c>
      <c r="E739" s="24" t="s">
        <v>270</v>
      </c>
      <c r="F739" s="11" t="s">
        <v>710</v>
      </c>
      <c r="G739" s="11" t="s">
        <v>711</v>
      </c>
      <c r="H739" s="11" t="s">
        <v>712</v>
      </c>
      <c r="I739" s="33" t="s">
        <v>2961</v>
      </c>
      <c r="J739" s="25">
        <v>43318</v>
      </c>
      <c r="K739" s="25">
        <v>43775</v>
      </c>
      <c r="L739" s="26">
        <f t="shared" si="273"/>
        <v>82.304184738955826</v>
      </c>
      <c r="M739" s="11" t="s">
        <v>272</v>
      </c>
      <c r="N739" s="11" t="s">
        <v>194</v>
      </c>
      <c r="O739" s="11" t="s">
        <v>193</v>
      </c>
      <c r="P739" s="27" t="s">
        <v>274</v>
      </c>
      <c r="Q739" s="11" t="s">
        <v>34</v>
      </c>
      <c r="R739" s="2">
        <f t="shared" si="272"/>
        <v>819749.67999999993</v>
      </c>
      <c r="S739" s="2">
        <v>661056.71</v>
      </c>
      <c r="T739" s="2">
        <v>158692.97</v>
      </c>
      <c r="U739" s="2">
        <f t="shared" si="270"/>
        <v>156330.31</v>
      </c>
      <c r="V739" s="28">
        <v>116657.06</v>
      </c>
      <c r="W739" s="28">
        <v>39673.25</v>
      </c>
      <c r="X739" s="2">
        <f t="shared" si="274"/>
        <v>0</v>
      </c>
      <c r="Y739" s="2">
        <v>0</v>
      </c>
      <c r="Z739" s="2">
        <v>0</v>
      </c>
      <c r="AA739" s="2">
        <f t="shared" si="275"/>
        <v>19920.010000000002</v>
      </c>
      <c r="AB739" s="2">
        <v>15871.7</v>
      </c>
      <c r="AC739" s="2">
        <v>4048.31</v>
      </c>
      <c r="AD739" s="16">
        <f t="shared" si="271"/>
        <v>996000</v>
      </c>
      <c r="AE739" s="2"/>
      <c r="AF739" s="2">
        <f t="shared" si="276"/>
        <v>996000</v>
      </c>
      <c r="AG739" s="21" t="s">
        <v>857</v>
      </c>
      <c r="AH739" s="29" t="s">
        <v>1211</v>
      </c>
      <c r="AI739" s="30">
        <f>11711.89+112463.33+73006.84+70941.22+395259.82+67590.34</f>
        <v>730973.44000000006</v>
      </c>
      <c r="AJ739" s="30">
        <f>2233.51+2453.09+13922.77+13528.85+75378+31884.01</f>
        <v>139400.23000000001</v>
      </c>
    </row>
    <row r="740" spans="1:36" s="179" customFormat="1" ht="141.75" x14ac:dyDescent="0.25">
      <c r="A740" s="6">
        <v>737</v>
      </c>
      <c r="B740" s="31">
        <v>112982</v>
      </c>
      <c r="C740" s="31">
        <v>297</v>
      </c>
      <c r="D740" s="11" t="s">
        <v>143</v>
      </c>
      <c r="E740" s="24" t="s">
        <v>270</v>
      </c>
      <c r="F740" s="67" t="s">
        <v>713</v>
      </c>
      <c r="G740" s="11" t="s">
        <v>714</v>
      </c>
      <c r="H740" s="8" t="s">
        <v>151</v>
      </c>
      <c r="I740" s="12" t="s">
        <v>715</v>
      </c>
      <c r="J740" s="25">
        <v>43318</v>
      </c>
      <c r="K740" s="25">
        <v>43683</v>
      </c>
      <c r="L740" s="26">
        <f t="shared" si="273"/>
        <v>82.304142421748935</v>
      </c>
      <c r="M740" s="11" t="s">
        <v>272</v>
      </c>
      <c r="N740" s="11" t="s">
        <v>691</v>
      </c>
      <c r="O740" s="11" t="s">
        <v>716</v>
      </c>
      <c r="P740" s="27" t="s">
        <v>274</v>
      </c>
      <c r="Q740" s="11" t="s">
        <v>34</v>
      </c>
      <c r="R740" s="2">
        <f t="shared" si="272"/>
        <v>819220.94</v>
      </c>
      <c r="S740" s="2">
        <f>660630.34</f>
        <v>660630.34</v>
      </c>
      <c r="T740" s="2">
        <f>158590.6</f>
        <v>158590.6</v>
      </c>
      <c r="U740" s="2">
        <f t="shared" ref="U740:U771" si="277">V740+W740</f>
        <v>156229.57</v>
      </c>
      <c r="V740" s="28">
        <f>116581.85</f>
        <v>116581.85</v>
      </c>
      <c r="W740" s="28">
        <f>39647.72</f>
        <v>39647.72</v>
      </c>
      <c r="X740" s="2">
        <f t="shared" si="274"/>
        <v>0</v>
      </c>
      <c r="Y740" s="2">
        <v>0</v>
      </c>
      <c r="Z740" s="2">
        <v>0</v>
      </c>
      <c r="AA740" s="2">
        <f t="shared" si="275"/>
        <v>19907.580000000002</v>
      </c>
      <c r="AB740" s="2">
        <f>15861.83</f>
        <v>15861.83</v>
      </c>
      <c r="AC740" s="2">
        <f>4045.75</f>
        <v>4045.75</v>
      </c>
      <c r="AD740" s="16">
        <f t="shared" si="271"/>
        <v>995358.09</v>
      </c>
      <c r="AE740" s="2"/>
      <c r="AF740" s="2">
        <f t="shared" si="276"/>
        <v>995358.09</v>
      </c>
      <c r="AG740" s="21" t="s">
        <v>857</v>
      </c>
      <c r="AH740" s="29"/>
      <c r="AI740" s="30">
        <f>764833.39+7900.03</f>
        <v>772733.42</v>
      </c>
      <c r="AJ740" s="30">
        <f>145857.5+1506.57</f>
        <v>147364.07</v>
      </c>
    </row>
    <row r="741" spans="1:36" s="179" customFormat="1" ht="141.75" x14ac:dyDescent="0.25">
      <c r="A741" s="6">
        <v>738</v>
      </c>
      <c r="B741" s="31">
        <v>110476</v>
      </c>
      <c r="C741" s="31">
        <v>203</v>
      </c>
      <c r="D741" s="11" t="s">
        <v>143</v>
      </c>
      <c r="E741" s="24" t="s">
        <v>270</v>
      </c>
      <c r="F741" s="67" t="s">
        <v>1911</v>
      </c>
      <c r="G741" s="11" t="s">
        <v>727</v>
      </c>
      <c r="H741" s="11" t="s">
        <v>728</v>
      </c>
      <c r="I741" s="120" t="s">
        <v>2962</v>
      </c>
      <c r="J741" s="25">
        <v>43321</v>
      </c>
      <c r="K741" s="25">
        <v>43808</v>
      </c>
      <c r="L741" s="26">
        <f t="shared" si="273"/>
        <v>82.304185104915661</v>
      </c>
      <c r="M741" s="11" t="s">
        <v>272</v>
      </c>
      <c r="N741" s="11" t="s">
        <v>290</v>
      </c>
      <c r="O741" s="11" t="s">
        <v>290</v>
      </c>
      <c r="P741" s="27" t="s">
        <v>274</v>
      </c>
      <c r="Q741" s="11" t="s">
        <v>34</v>
      </c>
      <c r="R741" s="2">
        <f t="shared" si="272"/>
        <v>792472.48</v>
      </c>
      <c r="S741" s="2">
        <v>639060</v>
      </c>
      <c r="T741" s="2">
        <v>153412.48000000001</v>
      </c>
      <c r="U741" s="2">
        <f t="shared" si="277"/>
        <v>151128.4</v>
      </c>
      <c r="V741" s="28">
        <v>112775.26</v>
      </c>
      <c r="W741" s="28">
        <v>38353.14</v>
      </c>
      <c r="X741" s="2">
        <f t="shared" si="274"/>
        <v>0</v>
      </c>
      <c r="Y741" s="2">
        <v>0</v>
      </c>
      <c r="Z741" s="2">
        <v>0</v>
      </c>
      <c r="AA741" s="2">
        <f t="shared" si="275"/>
        <v>19257.18</v>
      </c>
      <c r="AB741" s="2">
        <v>15343.63</v>
      </c>
      <c r="AC741" s="2">
        <v>3913.55</v>
      </c>
      <c r="AD741" s="16">
        <f t="shared" si="271"/>
        <v>962858.06</v>
      </c>
      <c r="AE741" s="2"/>
      <c r="AF741" s="2">
        <f t="shared" si="276"/>
        <v>962858.06</v>
      </c>
      <c r="AG741" s="21" t="s">
        <v>857</v>
      </c>
      <c r="AH741" s="29" t="s">
        <v>1243</v>
      </c>
      <c r="AI741" s="30">
        <f>428320.62+93776.01+55027.39+139592.25</f>
        <v>716716.27</v>
      </c>
      <c r="AJ741" s="30">
        <f>81204.25+10493.99+44983.15</f>
        <v>136681.39000000001</v>
      </c>
    </row>
    <row r="742" spans="1:36" s="179" customFormat="1" ht="141.75" x14ac:dyDescent="0.25">
      <c r="A742" s="6">
        <v>739</v>
      </c>
      <c r="B742" s="31">
        <v>111413</v>
      </c>
      <c r="C742" s="31">
        <v>245</v>
      </c>
      <c r="D742" s="11" t="s">
        <v>143</v>
      </c>
      <c r="E742" s="24" t="s">
        <v>270</v>
      </c>
      <c r="F742" s="67" t="s">
        <v>732</v>
      </c>
      <c r="G742" s="11" t="s">
        <v>733</v>
      </c>
      <c r="H742" s="11" t="s">
        <v>734</v>
      </c>
      <c r="I742" s="12" t="s">
        <v>2963</v>
      </c>
      <c r="J742" s="25">
        <v>43325</v>
      </c>
      <c r="K742" s="25">
        <v>43812</v>
      </c>
      <c r="L742" s="26">
        <f t="shared" si="273"/>
        <v>82.510189524515496</v>
      </c>
      <c r="M742" s="11" t="s">
        <v>272</v>
      </c>
      <c r="N742" s="11" t="s">
        <v>261</v>
      </c>
      <c r="O742" s="11" t="s">
        <v>261</v>
      </c>
      <c r="P742" s="27" t="s">
        <v>274</v>
      </c>
      <c r="Q742" s="11" t="s">
        <v>34</v>
      </c>
      <c r="R742" s="2">
        <f t="shared" si="272"/>
        <v>805149.57</v>
      </c>
      <c r="S742" s="2">
        <v>649282.97</v>
      </c>
      <c r="T742" s="2">
        <v>155866.6</v>
      </c>
      <c r="U742" s="2">
        <f t="shared" si="277"/>
        <v>134378</v>
      </c>
      <c r="V742" s="28">
        <v>100275.78</v>
      </c>
      <c r="W742" s="28">
        <v>34102.22</v>
      </c>
      <c r="X742" s="2">
        <f t="shared" si="274"/>
        <v>19168</v>
      </c>
      <c r="Y742" s="2">
        <v>14303.59</v>
      </c>
      <c r="Z742" s="2">
        <v>4864.41</v>
      </c>
      <c r="AA742" s="2">
        <f t="shared" si="275"/>
        <v>17122.78</v>
      </c>
      <c r="AB742" s="2">
        <v>13642.95</v>
      </c>
      <c r="AC742" s="2">
        <v>3479.83</v>
      </c>
      <c r="AD742" s="16">
        <f t="shared" si="271"/>
        <v>975818.35</v>
      </c>
      <c r="AE742" s="2">
        <v>0</v>
      </c>
      <c r="AF742" s="2">
        <f t="shared" si="276"/>
        <v>975818.35</v>
      </c>
      <c r="AG742" s="21" t="s">
        <v>857</v>
      </c>
      <c r="AH742" s="29" t="s">
        <v>294</v>
      </c>
      <c r="AI742" s="30">
        <f>85600-10278.92+91440.93+64880.29+85600+67989.89+122279.98+103700.71+78599.18+1013.75+8269.89</f>
        <v>699095.70000000007</v>
      </c>
      <c r="AJ742" s="30">
        <f>10278.92+5199.07+27998.08+12966.01+23319.38+19776.21+14989.25+14467.31</f>
        <v>128994.23000000001</v>
      </c>
    </row>
    <row r="743" spans="1:36" s="179" customFormat="1" ht="346.5" x14ac:dyDescent="0.25">
      <c r="A743" s="6">
        <v>740</v>
      </c>
      <c r="B743" s="31">
        <v>112299</v>
      </c>
      <c r="C743" s="31">
        <v>370</v>
      </c>
      <c r="D743" s="97" t="s">
        <v>1640</v>
      </c>
      <c r="E743" s="24" t="s">
        <v>528</v>
      </c>
      <c r="F743" s="67" t="s">
        <v>741</v>
      </c>
      <c r="G743" s="11" t="s">
        <v>742</v>
      </c>
      <c r="H743" s="8" t="s">
        <v>151</v>
      </c>
      <c r="I743" s="82" t="s">
        <v>2964</v>
      </c>
      <c r="J743" s="25">
        <v>43322</v>
      </c>
      <c r="K743" s="25">
        <v>44206</v>
      </c>
      <c r="L743" s="26">
        <f t="shared" si="273"/>
        <v>82.304185787048553</v>
      </c>
      <c r="M743" s="11" t="s">
        <v>272</v>
      </c>
      <c r="N743" s="11" t="s">
        <v>261</v>
      </c>
      <c r="O743" s="11" t="s">
        <v>261</v>
      </c>
      <c r="P743" s="27" t="s">
        <v>274</v>
      </c>
      <c r="Q743" s="11" t="s">
        <v>34</v>
      </c>
      <c r="R743" s="2">
        <f t="shared" si="272"/>
        <v>5950616.5499999998</v>
      </c>
      <c r="S743" s="2">
        <v>4798653.8499999996</v>
      </c>
      <c r="T743" s="2">
        <v>1151962.7</v>
      </c>
      <c r="U743" s="2">
        <f t="shared" si="277"/>
        <v>1134811.9099999999</v>
      </c>
      <c r="V743" s="28">
        <v>846821.21</v>
      </c>
      <c r="W743" s="28">
        <v>287990.7</v>
      </c>
      <c r="X743" s="2">
        <f t="shared" si="274"/>
        <v>0</v>
      </c>
      <c r="Y743" s="2">
        <v>0</v>
      </c>
      <c r="Z743" s="2">
        <v>0</v>
      </c>
      <c r="AA743" s="2">
        <f t="shared" si="275"/>
        <v>144600.6</v>
      </c>
      <c r="AB743" s="2">
        <v>115213.75999999999</v>
      </c>
      <c r="AC743" s="2">
        <v>29386.84</v>
      </c>
      <c r="AD743" s="16">
        <f t="shared" si="271"/>
        <v>7230029.0599999996</v>
      </c>
      <c r="AE743" s="2">
        <v>125283.56</v>
      </c>
      <c r="AF743" s="2">
        <f t="shared" si="276"/>
        <v>7355312.6199999992</v>
      </c>
      <c r="AG743" s="38" t="s">
        <v>857</v>
      </c>
      <c r="AH743" s="29" t="s">
        <v>1453</v>
      </c>
      <c r="AI743" s="30">
        <f>2989084.5+138744.31+504052.17+175482.8+697385.83+985436.75-18731.85+479161.34-42061.19-32073.11-30697.52</f>
        <v>5845784.0299999993</v>
      </c>
      <c r="AJ743" s="30">
        <f>432152.92+26459.23+96125.26+71707.5+132994.92+240620.64+18731.85+23268.78+42061.19+30697.52</f>
        <v>1114819.81</v>
      </c>
    </row>
    <row r="744" spans="1:36" s="179" customFormat="1" ht="119.25" customHeight="1" x14ac:dyDescent="0.25">
      <c r="A744" s="6">
        <v>741</v>
      </c>
      <c r="B744" s="31">
        <v>112241</v>
      </c>
      <c r="C744" s="31">
        <v>291</v>
      </c>
      <c r="D744" s="11" t="s">
        <v>143</v>
      </c>
      <c r="E744" s="24" t="s">
        <v>270</v>
      </c>
      <c r="F744" s="67" t="s">
        <v>754</v>
      </c>
      <c r="G744" s="11" t="s">
        <v>755</v>
      </c>
      <c r="H744" s="11" t="s">
        <v>756</v>
      </c>
      <c r="I744" s="120" t="s">
        <v>757</v>
      </c>
      <c r="J744" s="25">
        <v>43332</v>
      </c>
      <c r="K744" s="25">
        <v>43819</v>
      </c>
      <c r="L744" s="26">
        <f t="shared" si="273"/>
        <v>82.583882850083839</v>
      </c>
      <c r="M744" s="27" t="s">
        <v>136</v>
      </c>
      <c r="N744" s="11" t="s">
        <v>582</v>
      </c>
      <c r="O744" s="11" t="s">
        <v>583</v>
      </c>
      <c r="P744" s="27" t="s">
        <v>274</v>
      </c>
      <c r="Q744" s="56" t="s">
        <v>34</v>
      </c>
      <c r="R744" s="2">
        <f t="shared" si="272"/>
        <v>824427.28</v>
      </c>
      <c r="S744" s="2">
        <v>664828.78</v>
      </c>
      <c r="T744" s="2">
        <v>159598.5</v>
      </c>
      <c r="U744" s="2">
        <f t="shared" si="277"/>
        <v>130597.97</v>
      </c>
      <c r="V744" s="28">
        <v>97455.03</v>
      </c>
      <c r="W744" s="28">
        <v>33142.94</v>
      </c>
      <c r="X744" s="2">
        <f t="shared" si="274"/>
        <v>26624.399999999998</v>
      </c>
      <c r="Y744" s="2">
        <v>19867.71</v>
      </c>
      <c r="Z744" s="2">
        <v>6756.69</v>
      </c>
      <c r="AA744" s="2">
        <f t="shared" si="275"/>
        <v>16641.12</v>
      </c>
      <c r="AB744" s="2">
        <v>13259.17</v>
      </c>
      <c r="AC744" s="2">
        <v>3381.95</v>
      </c>
      <c r="AD744" s="16">
        <f t="shared" si="271"/>
        <v>998290.77</v>
      </c>
      <c r="AE744" s="2"/>
      <c r="AF744" s="2">
        <f t="shared" si="276"/>
        <v>998290.77</v>
      </c>
      <c r="AG744" s="38" t="s">
        <v>857</v>
      </c>
      <c r="AH744" s="29"/>
      <c r="AI744" s="30">
        <f>750146.64-1652.46</f>
        <v>748494.18</v>
      </c>
      <c r="AJ744" s="30">
        <f>119349.39+1652.46</f>
        <v>121001.85</v>
      </c>
    </row>
    <row r="745" spans="1:36" s="179" customFormat="1" ht="270" customHeight="1" x14ac:dyDescent="0.25">
      <c r="A745" s="6">
        <v>742</v>
      </c>
      <c r="B745" s="31">
        <v>111881</v>
      </c>
      <c r="C745" s="31">
        <v>222</v>
      </c>
      <c r="D745" s="11" t="s">
        <v>143</v>
      </c>
      <c r="E745" s="24" t="s">
        <v>270</v>
      </c>
      <c r="F745" s="70" t="s">
        <v>758</v>
      </c>
      <c r="G745" s="27" t="s">
        <v>759</v>
      </c>
      <c r="H745" s="8" t="s">
        <v>151</v>
      </c>
      <c r="I745" s="12" t="s">
        <v>761</v>
      </c>
      <c r="J745" s="25">
        <v>43332</v>
      </c>
      <c r="K745" s="25">
        <v>43819</v>
      </c>
      <c r="L745" s="26">
        <f t="shared" si="273"/>
        <v>82.304193109047048</v>
      </c>
      <c r="M745" s="27" t="s">
        <v>136</v>
      </c>
      <c r="N745" s="11" t="s">
        <v>261</v>
      </c>
      <c r="O745" s="11" t="s">
        <v>261</v>
      </c>
      <c r="P745" s="27" t="s">
        <v>274</v>
      </c>
      <c r="Q745" s="11" t="s">
        <v>34</v>
      </c>
      <c r="R745" s="2">
        <f t="shared" si="272"/>
        <v>817219.92999999993</v>
      </c>
      <c r="S745" s="2">
        <v>659016.73</v>
      </c>
      <c r="T745" s="2">
        <v>158203.20000000001</v>
      </c>
      <c r="U745" s="2">
        <f t="shared" si="277"/>
        <v>155847.79</v>
      </c>
      <c r="V745" s="28">
        <v>116297.02</v>
      </c>
      <c r="W745" s="28">
        <v>39550.769999999997</v>
      </c>
      <c r="X745" s="2">
        <f t="shared" si="274"/>
        <v>19858.52</v>
      </c>
      <c r="Y745" s="2">
        <v>15822.64</v>
      </c>
      <c r="Z745" s="2">
        <v>4035.88</v>
      </c>
      <c r="AA745" s="2">
        <f t="shared" si="275"/>
        <v>0</v>
      </c>
      <c r="AB745" s="2">
        <v>0</v>
      </c>
      <c r="AC745" s="2">
        <v>0</v>
      </c>
      <c r="AD745" s="16">
        <f t="shared" si="271"/>
        <v>992926.24</v>
      </c>
      <c r="AE745" s="2"/>
      <c r="AF745" s="2">
        <f t="shared" si="276"/>
        <v>992926.24</v>
      </c>
      <c r="AG745" s="38" t="s">
        <v>857</v>
      </c>
      <c r="AH745" s="29" t="s">
        <v>956</v>
      </c>
      <c r="AI745" s="30">
        <f>99292.62-14519.17+90653.42-15093.22+94237.53+80664.42-14592.29+91109.94+330680.29</f>
        <v>742433.54</v>
      </c>
      <c r="AJ745" s="30">
        <f>14519.17+15093.22+15383.12+14592.29+81997.93</f>
        <v>141585.72999999998</v>
      </c>
    </row>
    <row r="746" spans="1:36" s="179" customFormat="1" ht="252" x14ac:dyDescent="0.25">
      <c r="A746" s="6">
        <v>743</v>
      </c>
      <c r="B746" s="31">
        <v>111434</v>
      </c>
      <c r="C746" s="31">
        <v>141</v>
      </c>
      <c r="D746" s="11" t="s">
        <v>143</v>
      </c>
      <c r="E746" s="24" t="s">
        <v>270</v>
      </c>
      <c r="F746" s="67" t="s">
        <v>765</v>
      </c>
      <c r="G746" s="11" t="s">
        <v>766</v>
      </c>
      <c r="H746" s="11" t="s">
        <v>767</v>
      </c>
      <c r="I746" s="120" t="s">
        <v>820</v>
      </c>
      <c r="J746" s="25">
        <v>43332</v>
      </c>
      <c r="K746" s="25">
        <v>43881</v>
      </c>
      <c r="L746" s="26">
        <f t="shared" si="273"/>
        <v>82.30418537074344</v>
      </c>
      <c r="M746" s="11" t="s">
        <v>272</v>
      </c>
      <c r="N746" s="11" t="s">
        <v>261</v>
      </c>
      <c r="O746" s="11" t="s">
        <v>261</v>
      </c>
      <c r="P746" s="27" t="s">
        <v>274</v>
      </c>
      <c r="Q746" s="56" t="s">
        <v>34</v>
      </c>
      <c r="R746" s="2">
        <f t="shared" si="272"/>
        <v>822576.44</v>
      </c>
      <c r="S746" s="2">
        <v>663336.19999999995</v>
      </c>
      <c r="T746" s="2">
        <v>159240.24</v>
      </c>
      <c r="U746" s="2">
        <f t="shared" si="277"/>
        <v>156869.40000000002</v>
      </c>
      <c r="V746" s="28">
        <v>117059.35</v>
      </c>
      <c r="W746" s="28">
        <v>39810.050000000003</v>
      </c>
      <c r="X746" s="2">
        <f t="shared" si="274"/>
        <v>19988.68</v>
      </c>
      <c r="Y746" s="2">
        <v>15926.46</v>
      </c>
      <c r="Z746" s="2">
        <v>4062.22</v>
      </c>
      <c r="AA746" s="2">
        <f t="shared" si="275"/>
        <v>0</v>
      </c>
      <c r="AB746" s="2">
        <v>0</v>
      </c>
      <c r="AC746" s="2">
        <v>0</v>
      </c>
      <c r="AD746" s="16">
        <f t="shared" si="271"/>
        <v>999434.52</v>
      </c>
      <c r="AE746" s="2"/>
      <c r="AF746" s="2">
        <f t="shared" si="276"/>
        <v>999434.52</v>
      </c>
      <c r="AG746" s="38" t="s">
        <v>1427</v>
      </c>
      <c r="AH746" s="29" t="s">
        <v>1375</v>
      </c>
      <c r="AI746" s="30">
        <f>49971.72+83543.84+96913+21111.43+81377.76+128016.73+84993.07+90341.92+71327.12</f>
        <v>707596.59000000008</v>
      </c>
      <c r="AJ746" s="30">
        <f>24884.17+21127.4+22831.19+16208.59+25868.4+24022.36</f>
        <v>134942.10999999999</v>
      </c>
    </row>
    <row r="747" spans="1:36" s="179" customFormat="1" ht="174" customHeight="1" x14ac:dyDescent="0.25">
      <c r="A747" s="6">
        <v>744</v>
      </c>
      <c r="B747" s="31">
        <v>112374</v>
      </c>
      <c r="C747" s="31">
        <v>142</v>
      </c>
      <c r="D747" s="11" t="s">
        <v>143</v>
      </c>
      <c r="E747" s="24" t="s">
        <v>270</v>
      </c>
      <c r="F747" s="67" t="s">
        <v>770</v>
      </c>
      <c r="G747" s="11" t="s">
        <v>771</v>
      </c>
      <c r="H747" s="8" t="s">
        <v>151</v>
      </c>
      <c r="I747" s="120" t="s">
        <v>2965</v>
      </c>
      <c r="J747" s="25">
        <v>43333</v>
      </c>
      <c r="K747" s="25">
        <v>43911</v>
      </c>
      <c r="L747" s="26">
        <f t="shared" si="273"/>
        <v>82.304182898535288</v>
      </c>
      <c r="M747" s="11" t="s">
        <v>272</v>
      </c>
      <c r="N747" s="11" t="s">
        <v>261</v>
      </c>
      <c r="O747" s="11" t="s">
        <v>261</v>
      </c>
      <c r="P747" s="27" t="s">
        <v>274</v>
      </c>
      <c r="Q747" s="11" t="s">
        <v>34</v>
      </c>
      <c r="R747" s="2">
        <f t="shared" si="272"/>
        <v>776266.51</v>
      </c>
      <c r="S747" s="2">
        <v>625991.30000000005</v>
      </c>
      <c r="T747" s="2">
        <v>150275.21</v>
      </c>
      <c r="U747" s="2">
        <f t="shared" si="277"/>
        <v>148037.87</v>
      </c>
      <c r="V747" s="28">
        <v>110469.08</v>
      </c>
      <c r="W747" s="28">
        <v>37568.79</v>
      </c>
      <c r="X747" s="2">
        <f t="shared" si="274"/>
        <v>0</v>
      </c>
      <c r="Y747" s="2">
        <v>0</v>
      </c>
      <c r="Z747" s="2">
        <v>0</v>
      </c>
      <c r="AA747" s="2">
        <f t="shared" si="275"/>
        <v>18863.37</v>
      </c>
      <c r="AB747" s="2">
        <v>15029.81</v>
      </c>
      <c r="AC747" s="2">
        <v>3833.56</v>
      </c>
      <c r="AD747" s="16">
        <f t="shared" si="271"/>
        <v>943167.75</v>
      </c>
      <c r="AE747" s="2">
        <v>0</v>
      </c>
      <c r="AF747" s="2">
        <f t="shared" si="276"/>
        <v>943167.75</v>
      </c>
      <c r="AG747" s="38" t="s">
        <v>857</v>
      </c>
      <c r="AH747" s="29" t="s">
        <v>1405</v>
      </c>
      <c r="AI747" s="30">
        <v>678261.97000000009</v>
      </c>
      <c r="AJ747" s="30">
        <v>129347.91000000002</v>
      </c>
    </row>
    <row r="748" spans="1:36" s="179" customFormat="1" ht="189" x14ac:dyDescent="0.25">
      <c r="A748" s="6">
        <v>745</v>
      </c>
      <c r="B748" s="31">
        <v>111379</v>
      </c>
      <c r="C748" s="31">
        <v>228</v>
      </c>
      <c r="D748" s="11" t="s">
        <v>143</v>
      </c>
      <c r="E748" s="24" t="s">
        <v>270</v>
      </c>
      <c r="F748" s="27" t="s">
        <v>772</v>
      </c>
      <c r="G748" s="70" t="s">
        <v>773</v>
      </c>
      <c r="H748" s="11" t="s">
        <v>774</v>
      </c>
      <c r="I748" s="120" t="s">
        <v>775</v>
      </c>
      <c r="J748" s="25">
        <v>43333</v>
      </c>
      <c r="K748" s="25">
        <v>43820</v>
      </c>
      <c r="L748" s="26">
        <f t="shared" si="273"/>
        <v>82.304192034439112</v>
      </c>
      <c r="M748" s="11" t="s">
        <v>272</v>
      </c>
      <c r="N748" s="11" t="s">
        <v>261</v>
      </c>
      <c r="O748" s="11" t="s">
        <v>261</v>
      </c>
      <c r="P748" s="27" t="s">
        <v>274</v>
      </c>
      <c r="Q748" s="11" t="s">
        <v>34</v>
      </c>
      <c r="R748" s="2">
        <f t="shared" si="272"/>
        <v>811155.73</v>
      </c>
      <c r="S748" s="2">
        <v>654126.39</v>
      </c>
      <c r="T748" s="2">
        <v>157029.34</v>
      </c>
      <c r="U748" s="2">
        <f t="shared" si="277"/>
        <v>154691.31</v>
      </c>
      <c r="V748" s="28">
        <v>115434</v>
      </c>
      <c r="W748" s="28">
        <v>39257.31</v>
      </c>
      <c r="X748" s="2">
        <f t="shared" si="274"/>
        <v>19711.18</v>
      </c>
      <c r="Y748" s="2">
        <v>15705.37</v>
      </c>
      <c r="Z748" s="2">
        <v>4005.81</v>
      </c>
      <c r="AA748" s="2">
        <f t="shared" si="275"/>
        <v>0</v>
      </c>
      <c r="AB748" s="2">
        <v>0</v>
      </c>
      <c r="AC748" s="2">
        <v>0</v>
      </c>
      <c r="AD748" s="16">
        <f t="shared" si="271"/>
        <v>985558.22000000009</v>
      </c>
      <c r="AE748" s="2"/>
      <c r="AF748" s="2">
        <f t="shared" si="276"/>
        <v>985558.22000000009</v>
      </c>
      <c r="AG748" s="38" t="s">
        <v>857</v>
      </c>
      <c r="AH748" s="29" t="s">
        <v>1287</v>
      </c>
      <c r="AI748" s="30">
        <f>91009.38-9270.26+57880.76-12678.05+33855.88+91009.38+115144.49+303539.89+74137.89</f>
        <v>744629.36</v>
      </c>
      <c r="AJ748" s="30">
        <f>9270.26+12678.05+8716.65+21958.63+75242.46+14138.42</f>
        <v>142004.47</v>
      </c>
    </row>
    <row r="749" spans="1:36" s="179" customFormat="1" ht="264.75" customHeight="1" x14ac:dyDescent="0.25">
      <c r="A749" s="6">
        <v>746</v>
      </c>
      <c r="B749" s="31">
        <v>112711</v>
      </c>
      <c r="C749" s="31">
        <v>209</v>
      </c>
      <c r="D749" s="68" t="s">
        <v>143</v>
      </c>
      <c r="E749" s="24" t="s">
        <v>270</v>
      </c>
      <c r="F749" s="67" t="s">
        <v>779</v>
      </c>
      <c r="G749" s="11" t="s">
        <v>780</v>
      </c>
      <c r="H749" s="68" t="s">
        <v>781</v>
      </c>
      <c r="I749" s="12" t="s">
        <v>2966</v>
      </c>
      <c r="J749" s="25">
        <v>43335</v>
      </c>
      <c r="K749" s="25">
        <v>43822</v>
      </c>
      <c r="L749" s="26">
        <f t="shared" si="273"/>
        <v>82.640124999999998</v>
      </c>
      <c r="M749" s="11" t="s">
        <v>272</v>
      </c>
      <c r="N749" s="11" t="s">
        <v>261</v>
      </c>
      <c r="O749" s="11" t="s">
        <v>261</v>
      </c>
      <c r="P749" s="27" t="s">
        <v>274</v>
      </c>
      <c r="Q749" s="11" t="s">
        <v>34</v>
      </c>
      <c r="R749" s="2">
        <f t="shared" si="272"/>
        <v>826401.25</v>
      </c>
      <c r="S749" s="2">
        <v>666420.59</v>
      </c>
      <c r="T749" s="2">
        <v>159980.66</v>
      </c>
      <c r="U749" s="2">
        <f t="shared" si="277"/>
        <v>153598.75</v>
      </c>
      <c r="V749" s="28">
        <v>114416.53</v>
      </c>
      <c r="W749" s="28">
        <v>39182.22</v>
      </c>
      <c r="X749" s="2">
        <f t="shared" si="274"/>
        <v>20000</v>
      </c>
      <c r="Y749" s="2">
        <v>15935.46</v>
      </c>
      <c r="Z749" s="2">
        <v>4064.54</v>
      </c>
      <c r="AA749" s="2">
        <f t="shared" si="275"/>
        <v>0</v>
      </c>
      <c r="AB749" s="2">
        <v>0</v>
      </c>
      <c r="AC749" s="2">
        <v>0</v>
      </c>
      <c r="AD749" s="16">
        <f t="shared" si="271"/>
        <v>1000000</v>
      </c>
      <c r="AE749" s="2"/>
      <c r="AF749" s="2">
        <f t="shared" si="276"/>
        <v>1000000</v>
      </c>
      <c r="AG749" s="38" t="s">
        <v>857</v>
      </c>
      <c r="AH749" s="29" t="s">
        <v>760</v>
      </c>
      <c r="AI749" s="30">
        <f>98952.8+38728.19+96005.78+68225.96+103165.27+4938.26+145762.12+161102.5+9031.2+61138.02</f>
        <v>787050.1</v>
      </c>
      <c r="AJ749" s="30">
        <f>24992.94+30773.35+1365.53+941.74+26883.3+29808.77+1722.28+29615.87</f>
        <v>146103.78</v>
      </c>
    </row>
    <row r="750" spans="1:36" s="179" customFormat="1" ht="146.25" customHeight="1" x14ac:dyDescent="0.25">
      <c r="A750" s="6">
        <v>747</v>
      </c>
      <c r="B750" s="31">
        <v>112827</v>
      </c>
      <c r="C750" s="31">
        <v>305</v>
      </c>
      <c r="D750" s="11" t="s">
        <v>143</v>
      </c>
      <c r="E750" s="24" t="s">
        <v>270</v>
      </c>
      <c r="F750" s="67" t="s">
        <v>787</v>
      </c>
      <c r="G750" s="67" t="s">
        <v>786</v>
      </c>
      <c r="H750" s="11" t="s">
        <v>788</v>
      </c>
      <c r="I750" s="120" t="s">
        <v>789</v>
      </c>
      <c r="J750" s="25">
        <v>43325</v>
      </c>
      <c r="K750" s="25">
        <v>43812</v>
      </c>
      <c r="L750" s="26">
        <f t="shared" si="273"/>
        <v>82.304185909112974</v>
      </c>
      <c r="M750" s="11" t="s">
        <v>272</v>
      </c>
      <c r="N750" s="11" t="s">
        <v>226</v>
      </c>
      <c r="O750" s="11" t="s">
        <v>790</v>
      </c>
      <c r="P750" s="27" t="s">
        <v>274</v>
      </c>
      <c r="Q750" s="11" t="s">
        <v>34</v>
      </c>
      <c r="R750" s="2">
        <f t="shared" si="272"/>
        <v>819344.36</v>
      </c>
      <c r="S750" s="2">
        <v>660729.87</v>
      </c>
      <c r="T750" s="2">
        <v>158614.49</v>
      </c>
      <c r="U750" s="2">
        <f t="shared" si="277"/>
        <v>156253</v>
      </c>
      <c r="V750" s="28">
        <v>116599.38</v>
      </c>
      <c r="W750" s="28">
        <v>39653.620000000003</v>
      </c>
      <c r="X750" s="2">
        <f t="shared" si="274"/>
        <v>0</v>
      </c>
      <c r="Y750" s="2">
        <v>0</v>
      </c>
      <c r="Z750" s="2">
        <v>0</v>
      </c>
      <c r="AA750" s="2">
        <f t="shared" si="275"/>
        <v>19910.16</v>
      </c>
      <c r="AB750" s="2">
        <v>15863.84</v>
      </c>
      <c r="AC750" s="2">
        <v>4046.32</v>
      </c>
      <c r="AD750" s="16">
        <f t="shared" si="271"/>
        <v>995507.52</v>
      </c>
      <c r="AE750" s="2"/>
      <c r="AF750" s="2">
        <f t="shared" si="276"/>
        <v>995507.52</v>
      </c>
      <c r="AG750" s="21" t="s">
        <v>857</v>
      </c>
      <c r="AH750" s="29" t="s">
        <v>1316</v>
      </c>
      <c r="AI750" s="30">
        <f>165274.95+38664.92+10408+235707.44+78966.94+38496.07-3710.24+4162.74</f>
        <v>567970.81999999995</v>
      </c>
      <c r="AJ750" s="30">
        <f>22672.13+60694.84+16616.38+7341.42+990.1</f>
        <v>108314.87000000001</v>
      </c>
    </row>
    <row r="751" spans="1:36" s="179" customFormat="1" ht="141.75" x14ac:dyDescent="0.25">
      <c r="A751" s="6">
        <v>748</v>
      </c>
      <c r="B751" s="31">
        <v>112220</v>
      </c>
      <c r="C751" s="31">
        <v>239</v>
      </c>
      <c r="D751" s="68" t="s">
        <v>143</v>
      </c>
      <c r="E751" s="24" t="s">
        <v>270</v>
      </c>
      <c r="F751" s="11" t="s">
        <v>798</v>
      </c>
      <c r="G751" s="11" t="s">
        <v>1202</v>
      </c>
      <c r="H751" s="11" t="s">
        <v>799</v>
      </c>
      <c r="I751" s="120" t="s">
        <v>801</v>
      </c>
      <c r="J751" s="25">
        <v>43346</v>
      </c>
      <c r="K751" s="25">
        <v>43772</v>
      </c>
      <c r="L751" s="26">
        <f t="shared" si="273"/>
        <v>82.53761528755669</v>
      </c>
      <c r="M751" s="11" t="s">
        <v>272</v>
      </c>
      <c r="N751" s="11" t="s">
        <v>182</v>
      </c>
      <c r="O751" s="11" t="s">
        <v>800</v>
      </c>
      <c r="P751" s="27" t="s">
        <v>274</v>
      </c>
      <c r="Q751" s="11" t="s">
        <v>34</v>
      </c>
      <c r="R751" s="2">
        <f t="shared" si="272"/>
        <v>770988.47</v>
      </c>
      <c r="S751" s="2">
        <v>621735</v>
      </c>
      <c r="T751" s="2">
        <v>149253.47</v>
      </c>
      <c r="U751" s="2">
        <f t="shared" si="277"/>
        <v>126240.19</v>
      </c>
      <c r="V751" s="28">
        <v>94203.17</v>
      </c>
      <c r="W751" s="28">
        <v>32037.02</v>
      </c>
      <c r="X751" s="2">
        <f t="shared" si="274"/>
        <v>20791.07</v>
      </c>
      <c r="Y751" s="2">
        <v>15514.77</v>
      </c>
      <c r="Z751" s="2">
        <v>5276.3</v>
      </c>
      <c r="AA751" s="2">
        <f t="shared" si="275"/>
        <v>16085.85</v>
      </c>
      <c r="AB751" s="2">
        <v>12816.75</v>
      </c>
      <c r="AC751" s="2">
        <v>3269.1</v>
      </c>
      <c r="AD751" s="16">
        <f t="shared" si="271"/>
        <v>934105.57999999984</v>
      </c>
      <c r="AE751" s="2"/>
      <c r="AF751" s="2">
        <f t="shared" si="276"/>
        <v>934105.57999999984</v>
      </c>
      <c r="AG751" s="21" t="s">
        <v>857</v>
      </c>
      <c r="AH751" s="29" t="s">
        <v>294</v>
      </c>
      <c r="AI751" s="30">
        <f>539565.25+96369.35+53688.91+16794.02</f>
        <v>706417.53</v>
      </c>
      <c r="AJ751" s="30">
        <f>81386.87+28616.84+7174.44</f>
        <v>117178.15</v>
      </c>
    </row>
    <row r="752" spans="1:36" s="179" customFormat="1" ht="141.75" x14ac:dyDescent="0.25">
      <c r="A752" s="6">
        <v>749</v>
      </c>
      <c r="B752" s="31">
        <v>111775</v>
      </c>
      <c r="C752" s="31">
        <v>364</v>
      </c>
      <c r="D752" s="68" t="s">
        <v>143</v>
      </c>
      <c r="E752" s="24" t="s">
        <v>270</v>
      </c>
      <c r="F752" s="27" t="s">
        <v>802</v>
      </c>
      <c r="G752" s="27" t="s">
        <v>803</v>
      </c>
      <c r="H752" s="11" t="s">
        <v>804</v>
      </c>
      <c r="I752" s="120" t="s">
        <v>2967</v>
      </c>
      <c r="J752" s="25">
        <v>43346</v>
      </c>
      <c r="K752" s="25">
        <v>43833</v>
      </c>
      <c r="L752" s="26">
        <f t="shared" si="273"/>
        <v>82.30418188922819</v>
      </c>
      <c r="M752" s="11" t="s">
        <v>272</v>
      </c>
      <c r="N752" s="11" t="s">
        <v>182</v>
      </c>
      <c r="O752" s="11" t="s">
        <v>394</v>
      </c>
      <c r="P752" s="27" t="s">
        <v>274</v>
      </c>
      <c r="Q752" s="11" t="s">
        <v>34</v>
      </c>
      <c r="R752" s="2">
        <f t="shared" ref="R752:R782" si="278">S752+T752</f>
        <v>779789.21</v>
      </c>
      <c r="S752" s="2">
        <v>628832.06999999995</v>
      </c>
      <c r="T752" s="2">
        <v>150957.14000000001</v>
      </c>
      <c r="U752" s="2">
        <f t="shared" si="277"/>
        <v>148709.68</v>
      </c>
      <c r="V752" s="28">
        <v>110970.39</v>
      </c>
      <c r="W752" s="28">
        <v>37739.29</v>
      </c>
      <c r="X752" s="2">
        <f t="shared" si="274"/>
        <v>0</v>
      </c>
      <c r="Y752" s="2">
        <v>0</v>
      </c>
      <c r="Z752" s="2">
        <v>0</v>
      </c>
      <c r="AA752" s="2">
        <f t="shared" si="275"/>
        <v>18948.97</v>
      </c>
      <c r="AB752" s="2">
        <v>15098.01</v>
      </c>
      <c r="AC752" s="2">
        <v>3850.96</v>
      </c>
      <c r="AD752" s="16">
        <f t="shared" si="271"/>
        <v>947447.85999999987</v>
      </c>
      <c r="AE752" s="2">
        <v>0</v>
      </c>
      <c r="AF752" s="2">
        <f t="shared" si="276"/>
        <v>947447.85999999987</v>
      </c>
      <c r="AG752" s="38" t="s">
        <v>857</v>
      </c>
      <c r="AH752" s="29" t="s">
        <v>294</v>
      </c>
      <c r="AI752" s="30">
        <f>94744.78+10125.98+94121.04-10122.56+91207.91+17880.02+109270.79+147206.72+63316.18</f>
        <v>617750.8600000001</v>
      </c>
      <c r="AJ752" s="30">
        <f>7252.41+12628.02+15463.44+21478.12+20838.49+28073.09+12074.67</f>
        <v>117808.24</v>
      </c>
    </row>
    <row r="753" spans="1:109" s="179" customFormat="1" ht="141.75" x14ac:dyDescent="0.25">
      <c r="A753" s="6">
        <v>750</v>
      </c>
      <c r="B753" s="31">
        <v>112027</v>
      </c>
      <c r="C753" s="31">
        <v>290</v>
      </c>
      <c r="D753" s="68" t="s">
        <v>143</v>
      </c>
      <c r="E753" s="24" t="s">
        <v>270</v>
      </c>
      <c r="F753" s="70" t="s">
        <v>806</v>
      </c>
      <c r="G753" s="91" t="s">
        <v>807</v>
      </c>
      <c r="H753" s="8" t="s">
        <v>151</v>
      </c>
      <c r="I753" s="120" t="s">
        <v>808</v>
      </c>
      <c r="J753" s="25">
        <v>43346</v>
      </c>
      <c r="K753" s="25">
        <v>43833</v>
      </c>
      <c r="L753" s="26">
        <f t="shared" si="273"/>
        <v>82.30418483269878</v>
      </c>
      <c r="M753" s="11" t="s">
        <v>272</v>
      </c>
      <c r="N753" s="11" t="s">
        <v>261</v>
      </c>
      <c r="O753" s="11" t="s">
        <v>261</v>
      </c>
      <c r="P753" s="27" t="s">
        <v>274</v>
      </c>
      <c r="Q753" s="11" t="s">
        <v>34</v>
      </c>
      <c r="R753" s="2">
        <f t="shared" si="278"/>
        <v>765927.6</v>
      </c>
      <c r="S753" s="2">
        <v>617653.87</v>
      </c>
      <c r="T753" s="2">
        <v>148273.73000000001</v>
      </c>
      <c r="U753" s="2">
        <f t="shared" si="277"/>
        <v>146066.19</v>
      </c>
      <c r="V753" s="28">
        <v>108997.75999999999</v>
      </c>
      <c r="W753" s="28">
        <v>37068.43</v>
      </c>
      <c r="X753" s="2">
        <f t="shared" si="274"/>
        <v>0</v>
      </c>
      <c r="Y753" s="2">
        <v>0</v>
      </c>
      <c r="Z753" s="2">
        <v>0</v>
      </c>
      <c r="AA753" s="2">
        <f t="shared" si="275"/>
        <v>18612.11</v>
      </c>
      <c r="AB753" s="2">
        <v>14829.62</v>
      </c>
      <c r="AC753" s="2">
        <v>3782.49</v>
      </c>
      <c r="AD753" s="16">
        <f t="shared" si="271"/>
        <v>930605.9</v>
      </c>
      <c r="AE753" s="2"/>
      <c r="AF753" s="2">
        <f t="shared" si="276"/>
        <v>930605.9</v>
      </c>
      <c r="AG753" s="38" t="s">
        <v>857</v>
      </c>
      <c r="AH753" s="29" t="s">
        <v>1073</v>
      </c>
      <c r="AI753" s="30">
        <f>459559.75+93000+163179.08+18037.22</f>
        <v>733776.04999999993</v>
      </c>
      <c r="AJ753" s="30">
        <f>87640.32+31119.04+21175.37</f>
        <v>139934.73000000001</v>
      </c>
    </row>
    <row r="754" spans="1:109" s="179" customFormat="1" ht="141.75" x14ac:dyDescent="0.25">
      <c r="A754" s="6">
        <v>751</v>
      </c>
      <c r="B754" s="31">
        <v>112733</v>
      </c>
      <c r="C754" s="31">
        <v>146</v>
      </c>
      <c r="D754" s="68" t="s">
        <v>143</v>
      </c>
      <c r="E754" s="24" t="s">
        <v>270</v>
      </c>
      <c r="F754" s="67" t="s">
        <v>811</v>
      </c>
      <c r="G754" s="11" t="s">
        <v>812</v>
      </c>
      <c r="H754" s="11" t="s">
        <v>813</v>
      </c>
      <c r="I754" s="120" t="s">
        <v>814</v>
      </c>
      <c r="J754" s="25">
        <v>43349</v>
      </c>
      <c r="K754" s="25">
        <v>43836</v>
      </c>
      <c r="L754" s="26">
        <f t="shared" si="273"/>
        <v>82.53318349196968</v>
      </c>
      <c r="M754" s="11" t="s">
        <v>272</v>
      </c>
      <c r="N754" s="11" t="s">
        <v>261</v>
      </c>
      <c r="O754" s="11" t="s">
        <v>261</v>
      </c>
      <c r="P754" s="27" t="s">
        <v>274</v>
      </c>
      <c r="Q754" s="11" t="s">
        <v>34</v>
      </c>
      <c r="R754" s="2">
        <f t="shared" si="278"/>
        <v>819750.19</v>
      </c>
      <c r="S754" s="2">
        <v>661057.13</v>
      </c>
      <c r="T754" s="2">
        <v>158693.06</v>
      </c>
      <c r="U754" s="2">
        <f t="shared" si="277"/>
        <v>134642.41999999998</v>
      </c>
      <c r="V754" s="28">
        <v>100473.09</v>
      </c>
      <c r="W754" s="28">
        <v>34169.33</v>
      </c>
      <c r="X754" s="2">
        <f t="shared" si="274"/>
        <v>21688.010000000002</v>
      </c>
      <c r="Y754" s="2">
        <v>16184.04</v>
      </c>
      <c r="Z754" s="2">
        <v>5503.97</v>
      </c>
      <c r="AA754" s="2">
        <f t="shared" si="275"/>
        <v>17156.47</v>
      </c>
      <c r="AB754" s="2">
        <v>13669.8</v>
      </c>
      <c r="AC754" s="2">
        <v>3486.67</v>
      </c>
      <c r="AD754" s="16">
        <f t="shared" si="271"/>
        <v>993237.08999999985</v>
      </c>
      <c r="AE754" s="2"/>
      <c r="AF754" s="2">
        <f t="shared" si="276"/>
        <v>993237.08999999985</v>
      </c>
      <c r="AG754" s="38" t="s">
        <v>857</v>
      </c>
      <c r="AH754" s="29" t="s">
        <v>294</v>
      </c>
      <c r="AI754" s="30">
        <f>85782.36-3113.23+78199.1+6754.09+75351.32+67788.76+80934.28+47367.75+243835.23+7975.27+6575.1</f>
        <v>697450.03</v>
      </c>
      <c r="AJ754" s="30">
        <f>12524.47+12068.37+12962.55+11810.14+16080.76+46500.56+1520.93</f>
        <v>113467.78</v>
      </c>
    </row>
    <row r="755" spans="1:109" s="179" customFormat="1" ht="155.25" customHeight="1" x14ac:dyDescent="0.25">
      <c r="A755" s="6">
        <v>752</v>
      </c>
      <c r="B755" s="31">
        <v>111432</v>
      </c>
      <c r="C755" s="31">
        <v>277</v>
      </c>
      <c r="D755" s="68" t="s">
        <v>143</v>
      </c>
      <c r="E755" s="24" t="s">
        <v>270</v>
      </c>
      <c r="F755" s="27" t="s">
        <v>816</v>
      </c>
      <c r="G755" s="11" t="s">
        <v>815</v>
      </c>
      <c r="H755" s="11" t="s">
        <v>817</v>
      </c>
      <c r="I755" s="12" t="s">
        <v>2968</v>
      </c>
      <c r="J755" s="25">
        <v>43349</v>
      </c>
      <c r="K755" s="25">
        <v>43836</v>
      </c>
      <c r="L755" s="26">
        <f t="shared" si="273"/>
        <v>82.304186591731991</v>
      </c>
      <c r="M755" s="11" t="s">
        <v>272</v>
      </c>
      <c r="N755" s="11" t="s">
        <v>261</v>
      </c>
      <c r="O755" s="11" t="s">
        <v>261</v>
      </c>
      <c r="P755" s="27" t="s">
        <v>274</v>
      </c>
      <c r="Q755" s="11" t="s">
        <v>34</v>
      </c>
      <c r="R755" s="2">
        <f t="shared" si="278"/>
        <v>811369.98</v>
      </c>
      <c r="S755" s="2">
        <v>654299.23</v>
      </c>
      <c r="T755" s="2">
        <v>157070.75</v>
      </c>
      <c r="U755" s="2">
        <f t="shared" si="277"/>
        <v>154732.24</v>
      </c>
      <c r="V755" s="28">
        <v>115464.54</v>
      </c>
      <c r="W755" s="28">
        <v>39267.699999999997</v>
      </c>
      <c r="X755" s="2">
        <f t="shared" si="274"/>
        <v>0</v>
      </c>
      <c r="Y755" s="2">
        <v>0</v>
      </c>
      <c r="Z755" s="2">
        <v>0</v>
      </c>
      <c r="AA755" s="2">
        <f t="shared" si="275"/>
        <v>19716.38</v>
      </c>
      <c r="AB755" s="2">
        <v>15709.45</v>
      </c>
      <c r="AC755" s="2">
        <v>4006.93</v>
      </c>
      <c r="AD755" s="16">
        <f t="shared" si="271"/>
        <v>985818.6</v>
      </c>
      <c r="AE755" s="2">
        <v>0</v>
      </c>
      <c r="AF755" s="2">
        <f t="shared" si="276"/>
        <v>985818.6</v>
      </c>
      <c r="AG755" s="38" t="s">
        <v>857</v>
      </c>
      <c r="AH755" s="29" t="s">
        <v>1382</v>
      </c>
      <c r="AI755" s="30">
        <f>98500+28477.95+215174.75+92328.2+224990.6+149766.49-5027.14-10718.19</f>
        <v>793492.66</v>
      </c>
      <c r="AJ755" s="30">
        <f>23037.95+41034.92+43208.62+30634.3+13407.25</f>
        <v>151323.03999999998</v>
      </c>
    </row>
    <row r="756" spans="1:109" s="179" customFormat="1" ht="330.75" x14ac:dyDescent="0.25">
      <c r="A756" s="6">
        <v>753</v>
      </c>
      <c r="B756" s="31">
        <v>112592</v>
      </c>
      <c r="C756" s="31">
        <v>144</v>
      </c>
      <c r="D756" s="11" t="s">
        <v>143</v>
      </c>
      <c r="E756" s="24" t="s">
        <v>270</v>
      </c>
      <c r="F756" s="27" t="s">
        <v>818</v>
      </c>
      <c r="G756" s="11" t="s">
        <v>819</v>
      </c>
      <c r="H756" s="8" t="s">
        <v>151</v>
      </c>
      <c r="I756" s="120" t="s">
        <v>2969</v>
      </c>
      <c r="J756" s="25">
        <v>43349</v>
      </c>
      <c r="K756" s="25">
        <v>43836</v>
      </c>
      <c r="L756" s="26">
        <f t="shared" si="273"/>
        <v>82.304195666897996</v>
      </c>
      <c r="M756" s="11" t="s">
        <v>272</v>
      </c>
      <c r="N756" s="11" t="s">
        <v>261</v>
      </c>
      <c r="O756" s="11" t="s">
        <v>261</v>
      </c>
      <c r="P756" s="27" t="s">
        <v>274</v>
      </c>
      <c r="Q756" s="56" t="s">
        <v>34</v>
      </c>
      <c r="R756" s="2">
        <f t="shared" si="278"/>
        <v>809057.98</v>
      </c>
      <c r="S756" s="2">
        <v>652434.75</v>
      </c>
      <c r="T756" s="2">
        <v>156623.23000000001</v>
      </c>
      <c r="U756" s="2">
        <f t="shared" si="277"/>
        <v>154291.24</v>
      </c>
      <c r="V756" s="28">
        <v>115135.49</v>
      </c>
      <c r="W756" s="28">
        <v>39155.75</v>
      </c>
      <c r="X756" s="2">
        <f t="shared" si="274"/>
        <v>0</v>
      </c>
      <c r="Y756" s="2">
        <v>0</v>
      </c>
      <c r="Z756" s="2">
        <v>0</v>
      </c>
      <c r="AA756" s="2">
        <f t="shared" si="275"/>
        <v>19660.18</v>
      </c>
      <c r="AB756" s="2">
        <v>15664.68</v>
      </c>
      <c r="AC756" s="2">
        <v>3995.5</v>
      </c>
      <c r="AD756" s="16">
        <f t="shared" si="271"/>
        <v>983009.4</v>
      </c>
      <c r="AE756" s="2">
        <v>0</v>
      </c>
      <c r="AF756" s="2">
        <f t="shared" si="276"/>
        <v>983009.4</v>
      </c>
      <c r="AG756" s="38" t="s">
        <v>857</v>
      </c>
      <c r="AH756" s="29" t="s">
        <v>294</v>
      </c>
      <c r="AI756" s="30">
        <f>409932.52+98300+186513.93+69525</f>
        <v>764271.45</v>
      </c>
      <c r="AJ756" s="30">
        <f>78176.15+54315.44+13258.71</f>
        <v>145750.29999999999</v>
      </c>
    </row>
    <row r="757" spans="1:109" s="179" customFormat="1" ht="267.75" x14ac:dyDescent="0.25">
      <c r="A757" s="6">
        <v>754</v>
      </c>
      <c r="B757" s="31">
        <v>111141</v>
      </c>
      <c r="C757" s="31">
        <v>312</v>
      </c>
      <c r="D757" s="11" t="s">
        <v>143</v>
      </c>
      <c r="E757" s="24" t="s">
        <v>270</v>
      </c>
      <c r="F757" s="27" t="s">
        <v>826</v>
      </c>
      <c r="G757" s="11" t="s">
        <v>827</v>
      </c>
      <c r="H757" s="11" t="s">
        <v>828</v>
      </c>
      <c r="I757" s="120" t="s">
        <v>2970</v>
      </c>
      <c r="J757" s="25">
        <v>43349</v>
      </c>
      <c r="K757" s="25">
        <v>43836</v>
      </c>
      <c r="L757" s="26">
        <f t="shared" si="273"/>
        <v>82.8034002708998</v>
      </c>
      <c r="M757" s="11" t="s">
        <v>272</v>
      </c>
      <c r="N757" s="11" t="s">
        <v>261</v>
      </c>
      <c r="O757" s="11" t="s">
        <v>261</v>
      </c>
      <c r="P757" s="27" t="s">
        <v>274</v>
      </c>
      <c r="Q757" s="56" t="s">
        <v>34</v>
      </c>
      <c r="R757" s="2">
        <f t="shared" si="278"/>
        <v>826298.46000000008</v>
      </c>
      <c r="S757" s="2">
        <v>666337.68000000005</v>
      </c>
      <c r="T757" s="2">
        <v>159960.78</v>
      </c>
      <c r="U757" s="2">
        <f t="shared" si="277"/>
        <v>151647.47000000003</v>
      </c>
      <c r="V757" s="28">
        <v>112862.79000000001</v>
      </c>
      <c r="W757" s="28">
        <v>38784.680000000008</v>
      </c>
      <c r="X757" s="2">
        <f t="shared" si="274"/>
        <v>0</v>
      </c>
      <c r="Y757" s="2">
        <v>0</v>
      </c>
      <c r="Z757" s="2">
        <v>0</v>
      </c>
      <c r="AA757" s="2">
        <f t="shared" si="275"/>
        <v>19958.09</v>
      </c>
      <c r="AB757" s="2">
        <v>15902.08</v>
      </c>
      <c r="AC757" s="2">
        <v>4056.01</v>
      </c>
      <c r="AD757" s="16">
        <f t="shared" si="271"/>
        <v>997904.02000000014</v>
      </c>
      <c r="AE757" s="2">
        <v>0</v>
      </c>
      <c r="AF757" s="2">
        <f t="shared" si="276"/>
        <v>997904.02000000014</v>
      </c>
      <c r="AG757" s="38" t="s">
        <v>857</v>
      </c>
      <c r="AH757" s="29"/>
      <c r="AI757" s="30">
        <f>632254.35-10189.51+33087.89+85540.85+35748.72</f>
        <v>776442.29999999993</v>
      </c>
      <c r="AJ757" s="30">
        <f>11343.79+2719.14+19935.24+14501.99+9712.84+39877.8+10189.51+12230.9+14249.55+7931</f>
        <v>142691.75999999998</v>
      </c>
    </row>
    <row r="758" spans="1:109" s="179" customFormat="1" ht="330.75" x14ac:dyDescent="0.25">
      <c r="A758" s="6">
        <v>755</v>
      </c>
      <c r="B758" s="31">
        <v>110676</v>
      </c>
      <c r="C758" s="31">
        <v>129</v>
      </c>
      <c r="D758" s="11" t="s">
        <v>143</v>
      </c>
      <c r="E758" s="24" t="s">
        <v>270</v>
      </c>
      <c r="F758" s="11" t="s">
        <v>829</v>
      </c>
      <c r="G758" s="11" t="s">
        <v>830</v>
      </c>
      <c r="H758" s="11"/>
      <c r="I758" s="120" t="s">
        <v>2971</v>
      </c>
      <c r="J758" s="25">
        <v>43350</v>
      </c>
      <c r="K758" s="25">
        <v>43715</v>
      </c>
      <c r="L758" s="26">
        <f t="shared" si="273"/>
        <v>82.304181371109394</v>
      </c>
      <c r="M758" s="11" t="s">
        <v>272</v>
      </c>
      <c r="N758" s="11" t="s">
        <v>261</v>
      </c>
      <c r="O758" s="11" t="s">
        <v>261</v>
      </c>
      <c r="P758" s="27" t="s">
        <v>274</v>
      </c>
      <c r="Q758" s="56" t="s">
        <v>34</v>
      </c>
      <c r="R758" s="2">
        <f t="shared" si="278"/>
        <v>815129.60000000009</v>
      </c>
      <c r="S758" s="2">
        <v>657331.03</v>
      </c>
      <c r="T758" s="2">
        <v>157798.57</v>
      </c>
      <c r="U758" s="2">
        <f t="shared" si="277"/>
        <v>155449.32</v>
      </c>
      <c r="V758" s="28">
        <v>115999.63</v>
      </c>
      <c r="W758" s="28">
        <v>39449.69</v>
      </c>
      <c r="X758" s="2">
        <f t="shared" si="274"/>
        <v>0</v>
      </c>
      <c r="Y758" s="2">
        <v>0</v>
      </c>
      <c r="Z758" s="2">
        <v>0</v>
      </c>
      <c r="AA758" s="2">
        <f t="shared" si="275"/>
        <v>19807.7</v>
      </c>
      <c r="AB758" s="2">
        <v>15782.23</v>
      </c>
      <c r="AC758" s="2">
        <v>4025.47</v>
      </c>
      <c r="AD758" s="16">
        <f t="shared" si="271"/>
        <v>990386.62000000011</v>
      </c>
      <c r="AE758" s="2">
        <v>0</v>
      </c>
      <c r="AF758" s="2">
        <f t="shared" si="276"/>
        <v>990386.62000000011</v>
      </c>
      <c r="AG758" s="21" t="s">
        <v>857</v>
      </c>
      <c r="AH758" s="29" t="s">
        <v>978</v>
      </c>
      <c r="AI758" s="30">
        <f>743622.47+43643.44+7380.99</f>
        <v>794646.89999999991</v>
      </c>
      <c r="AJ758" s="30">
        <f>123314.06+26821.35+1407.6</f>
        <v>151543.01</v>
      </c>
    </row>
    <row r="759" spans="1:109" s="179" customFormat="1" ht="173.25" x14ac:dyDescent="0.25">
      <c r="A759" s="6">
        <v>756</v>
      </c>
      <c r="B759" s="31">
        <v>111475</v>
      </c>
      <c r="C759" s="31">
        <v>168</v>
      </c>
      <c r="D759" s="11" t="s">
        <v>143</v>
      </c>
      <c r="E759" s="24" t="s">
        <v>270</v>
      </c>
      <c r="F759" s="27" t="s">
        <v>834</v>
      </c>
      <c r="G759" s="11" t="s">
        <v>835</v>
      </c>
      <c r="H759" s="11"/>
      <c r="I759" s="120" t="s">
        <v>2972</v>
      </c>
      <c r="J759" s="25">
        <v>43353</v>
      </c>
      <c r="K759" s="25">
        <v>44022</v>
      </c>
      <c r="L759" s="26">
        <f t="shared" si="273"/>
        <v>82.304183420576962</v>
      </c>
      <c r="M759" s="11" t="s">
        <v>272</v>
      </c>
      <c r="N759" s="11" t="s">
        <v>261</v>
      </c>
      <c r="O759" s="11" t="s">
        <v>261</v>
      </c>
      <c r="P759" s="27" t="s">
        <v>274</v>
      </c>
      <c r="Q759" s="56" t="s">
        <v>34</v>
      </c>
      <c r="R759" s="2">
        <f t="shared" si="278"/>
        <v>771409.35000000009</v>
      </c>
      <c r="S759" s="2">
        <v>622074.41</v>
      </c>
      <c r="T759" s="2">
        <v>149334.94</v>
      </c>
      <c r="U759" s="2">
        <f t="shared" si="277"/>
        <v>147111.59</v>
      </c>
      <c r="V759" s="28">
        <v>109777.84</v>
      </c>
      <c r="W759" s="28">
        <v>37333.75</v>
      </c>
      <c r="X759" s="2">
        <f t="shared" si="274"/>
        <v>0</v>
      </c>
      <c r="Y759" s="2">
        <v>0</v>
      </c>
      <c r="Z759" s="2">
        <v>0</v>
      </c>
      <c r="AA759" s="2">
        <f t="shared" si="275"/>
        <v>18745.329999999998</v>
      </c>
      <c r="AB759" s="2">
        <v>14935.8</v>
      </c>
      <c r="AC759" s="2">
        <v>3809.53</v>
      </c>
      <c r="AD759" s="16">
        <f t="shared" si="271"/>
        <v>937266.27</v>
      </c>
      <c r="AE759" s="2">
        <v>0</v>
      </c>
      <c r="AF759" s="2">
        <f t="shared" si="276"/>
        <v>937266.27</v>
      </c>
      <c r="AG759" s="21" t="s">
        <v>857</v>
      </c>
      <c r="AH759" s="29" t="s">
        <v>1302</v>
      </c>
      <c r="AI759" s="30">
        <f>588678.78+85709.9-9801.35</f>
        <v>664587.33000000007</v>
      </c>
      <c r="AJ759" s="30">
        <f>94389.89+16345.34+16004.96</f>
        <v>126740.19</v>
      </c>
    </row>
    <row r="760" spans="1:109" s="179" customFormat="1" ht="173.25" x14ac:dyDescent="0.25">
      <c r="A760" s="6">
        <v>757</v>
      </c>
      <c r="B760" s="15">
        <v>118813</v>
      </c>
      <c r="C760" s="15">
        <v>449</v>
      </c>
      <c r="D760" s="32" t="s">
        <v>1639</v>
      </c>
      <c r="E760" s="24" t="s">
        <v>523</v>
      </c>
      <c r="F760" s="27" t="s">
        <v>832</v>
      </c>
      <c r="G760" s="11" t="s">
        <v>1716</v>
      </c>
      <c r="H760" s="27" t="s">
        <v>1921</v>
      </c>
      <c r="I760" s="161" t="s">
        <v>833</v>
      </c>
      <c r="J760" s="25">
        <v>43350</v>
      </c>
      <c r="K760" s="25">
        <v>45267</v>
      </c>
      <c r="L760" s="26">
        <f t="shared" si="273"/>
        <v>83.983860839237224</v>
      </c>
      <c r="M760" s="11" t="s">
        <v>272</v>
      </c>
      <c r="N760" s="11" t="s">
        <v>261</v>
      </c>
      <c r="O760" s="11" t="s">
        <v>261</v>
      </c>
      <c r="P760" s="27" t="s">
        <v>138</v>
      </c>
      <c r="Q760" s="56" t="s">
        <v>34</v>
      </c>
      <c r="R760" s="2">
        <f t="shared" si="278"/>
        <v>4176569.1</v>
      </c>
      <c r="S760" s="2">
        <v>3368039.08</v>
      </c>
      <c r="T760" s="2">
        <v>808530.02</v>
      </c>
      <c r="U760" s="2">
        <f t="shared" si="277"/>
        <v>0</v>
      </c>
      <c r="V760" s="28">
        <v>0</v>
      </c>
      <c r="W760" s="28">
        <v>0</v>
      </c>
      <c r="X760" s="2">
        <f t="shared" si="274"/>
        <v>796492.46</v>
      </c>
      <c r="Y760" s="2">
        <v>594359.94999999995</v>
      </c>
      <c r="Z760" s="2">
        <v>202132.51</v>
      </c>
      <c r="AA760" s="2">
        <f t="shared" si="275"/>
        <v>0</v>
      </c>
      <c r="AB760" s="2">
        <v>0</v>
      </c>
      <c r="AC760" s="2">
        <v>0</v>
      </c>
      <c r="AD760" s="16">
        <f t="shared" si="271"/>
        <v>4973061.5600000005</v>
      </c>
      <c r="AE760" s="2">
        <v>0</v>
      </c>
      <c r="AF760" s="2">
        <f t="shared" si="276"/>
        <v>4973061.5600000005</v>
      </c>
      <c r="AG760" s="38" t="s">
        <v>486</v>
      </c>
      <c r="AH760" s="160" t="s">
        <v>3264</v>
      </c>
      <c r="AI760" s="30">
        <f>15282.4+285261.79+452078.97+376522.78</f>
        <v>1129145.94</v>
      </c>
      <c r="AJ760" s="30">
        <v>0</v>
      </c>
    </row>
    <row r="761" spans="1:109" s="179" customFormat="1" ht="236.25" x14ac:dyDescent="0.25">
      <c r="A761" s="6">
        <v>758</v>
      </c>
      <c r="B761" s="31">
        <v>126532</v>
      </c>
      <c r="C761" s="31">
        <v>500</v>
      </c>
      <c r="D761" s="97" t="s">
        <v>1640</v>
      </c>
      <c r="E761" s="32" t="s">
        <v>983</v>
      </c>
      <c r="F761" s="11" t="s">
        <v>986</v>
      </c>
      <c r="G761" s="11" t="s">
        <v>985</v>
      </c>
      <c r="H761" s="8" t="s">
        <v>151</v>
      </c>
      <c r="I761" s="46" t="s">
        <v>987</v>
      </c>
      <c r="J761" s="25">
        <v>43516</v>
      </c>
      <c r="K761" s="25">
        <v>44336</v>
      </c>
      <c r="L761" s="26">
        <f t="shared" si="273"/>
        <v>83.299999838210468</v>
      </c>
      <c r="M761" s="11" t="s">
        <v>988</v>
      </c>
      <c r="N761" s="11" t="s">
        <v>989</v>
      </c>
      <c r="O761" s="11" t="s">
        <v>989</v>
      </c>
      <c r="P761" s="11" t="s">
        <v>274</v>
      </c>
      <c r="Q761" s="11" t="s">
        <v>34</v>
      </c>
      <c r="R761" s="30">
        <f t="shared" si="278"/>
        <v>2059465.88</v>
      </c>
      <c r="S761" s="2">
        <v>2059465.88</v>
      </c>
      <c r="T761" s="2">
        <v>0</v>
      </c>
      <c r="U761" s="30">
        <f t="shared" si="277"/>
        <v>363435.16</v>
      </c>
      <c r="V761" s="28">
        <v>363435.16</v>
      </c>
      <c r="W761" s="28">
        <v>0</v>
      </c>
      <c r="X761" s="30">
        <f t="shared" si="274"/>
        <v>0</v>
      </c>
      <c r="Y761" s="2">
        <v>0</v>
      </c>
      <c r="Z761" s="2">
        <v>0</v>
      </c>
      <c r="AA761" s="2">
        <f t="shared" si="275"/>
        <v>49446.96</v>
      </c>
      <c r="AB761" s="2">
        <v>49446.96</v>
      </c>
      <c r="AC761" s="2">
        <v>0</v>
      </c>
      <c r="AD761" s="16">
        <f t="shared" si="271"/>
        <v>2472348</v>
      </c>
      <c r="AE761" s="2">
        <v>0</v>
      </c>
      <c r="AF761" s="2">
        <f t="shared" si="276"/>
        <v>2472348</v>
      </c>
      <c r="AG761" s="38" t="s">
        <v>857</v>
      </c>
      <c r="AH761" s="29" t="s">
        <v>1727</v>
      </c>
      <c r="AI761" s="30">
        <f>1040799.12+310822.29+233529.06-13700.94+290881.93</f>
        <v>1862331.46</v>
      </c>
      <c r="AJ761" s="30">
        <f>140041.6+54850.99+41211+41211+51332.11</f>
        <v>328646.69999999995</v>
      </c>
      <c r="AK761" s="43"/>
      <c r="AL761" s="43"/>
      <c r="AM761" s="43"/>
      <c r="AN761" s="43"/>
      <c r="AO761" s="43"/>
      <c r="AP761" s="43"/>
      <c r="AQ761" s="43"/>
      <c r="AR761" s="43"/>
      <c r="AS761" s="43"/>
      <c r="AT761" s="43"/>
      <c r="AU761" s="43"/>
      <c r="AV761" s="43"/>
      <c r="AW761" s="43"/>
      <c r="AX761" s="43"/>
      <c r="AY761" s="43"/>
      <c r="AZ761" s="43"/>
      <c r="BA761" s="43"/>
      <c r="BB761" s="43"/>
      <c r="BC761" s="43"/>
      <c r="BD761" s="43"/>
      <c r="BE761" s="43"/>
      <c r="BF761" s="43"/>
      <c r="BG761" s="43"/>
      <c r="BH761" s="43"/>
      <c r="BI761" s="43"/>
      <c r="BJ761" s="43"/>
      <c r="BK761" s="43"/>
      <c r="BL761" s="43"/>
      <c r="BM761" s="43"/>
      <c r="BN761" s="43"/>
      <c r="BO761" s="43"/>
      <c r="BP761" s="43"/>
      <c r="BQ761" s="43"/>
      <c r="BR761" s="43"/>
      <c r="BS761" s="43"/>
      <c r="BT761" s="43"/>
      <c r="BU761" s="43"/>
      <c r="BV761" s="43"/>
      <c r="BW761" s="43"/>
      <c r="BX761" s="43"/>
      <c r="BY761" s="43"/>
      <c r="BZ761" s="43"/>
      <c r="CA761" s="43"/>
      <c r="CB761" s="43"/>
      <c r="CC761" s="43"/>
      <c r="CD761" s="43"/>
      <c r="CE761" s="43"/>
      <c r="CF761" s="43"/>
      <c r="CG761" s="43"/>
      <c r="CH761" s="43"/>
      <c r="CI761" s="43"/>
      <c r="CJ761" s="43"/>
      <c r="CK761" s="43"/>
      <c r="CL761" s="43"/>
      <c r="CM761" s="43"/>
      <c r="CN761" s="43"/>
      <c r="CO761" s="43"/>
      <c r="CP761" s="43"/>
      <c r="CQ761" s="43"/>
      <c r="CR761" s="43"/>
      <c r="CS761" s="43"/>
      <c r="CT761" s="43"/>
      <c r="CU761" s="43"/>
      <c r="CV761" s="43"/>
      <c r="CW761" s="43"/>
      <c r="CX761" s="43"/>
      <c r="CY761" s="43"/>
      <c r="CZ761" s="43"/>
      <c r="DA761" s="43"/>
      <c r="DB761" s="43"/>
      <c r="DC761" s="43"/>
      <c r="DD761" s="43"/>
      <c r="DE761" s="43"/>
    </row>
    <row r="762" spans="1:109" s="179" customFormat="1" ht="189" x14ac:dyDescent="0.25">
      <c r="A762" s="6">
        <v>759</v>
      </c>
      <c r="B762" s="31">
        <v>112820</v>
      </c>
      <c r="C762" s="31">
        <v>158</v>
      </c>
      <c r="D762" s="11" t="s">
        <v>143</v>
      </c>
      <c r="E762" s="24" t="s">
        <v>270</v>
      </c>
      <c r="F762" s="27" t="s">
        <v>840</v>
      </c>
      <c r="G762" s="27" t="s">
        <v>841</v>
      </c>
      <c r="H762" s="8" t="s">
        <v>151</v>
      </c>
      <c r="I762" s="120" t="s">
        <v>2973</v>
      </c>
      <c r="J762" s="25">
        <v>43361</v>
      </c>
      <c r="K762" s="25">
        <v>43848</v>
      </c>
      <c r="L762" s="26">
        <f t="shared" si="273"/>
        <v>82.304187792803134</v>
      </c>
      <c r="M762" s="11" t="s">
        <v>272</v>
      </c>
      <c r="N762" s="11" t="s">
        <v>189</v>
      </c>
      <c r="O762" s="11" t="s">
        <v>842</v>
      </c>
      <c r="P762" s="27" t="s">
        <v>274</v>
      </c>
      <c r="Q762" s="56" t="s">
        <v>34</v>
      </c>
      <c r="R762" s="2">
        <f t="shared" si="278"/>
        <v>812316.49</v>
      </c>
      <c r="S762" s="2">
        <v>655062.44999999995</v>
      </c>
      <c r="T762" s="2">
        <v>157254.04</v>
      </c>
      <c r="U762" s="2">
        <f t="shared" si="277"/>
        <v>154912.73000000001</v>
      </c>
      <c r="V762" s="28">
        <v>115599.25</v>
      </c>
      <c r="W762" s="28">
        <v>39313.480000000003</v>
      </c>
      <c r="X762" s="2">
        <f t="shared" si="274"/>
        <v>0</v>
      </c>
      <c r="Y762" s="2">
        <v>0</v>
      </c>
      <c r="Z762" s="2">
        <v>0</v>
      </c>
      <c r="AA762" s="2">
        <f t="shared" si="275"/>
        <v>19739.38</v>
      </c>
      <c r="AB762" s="2">
        <v>15727.81</v>
      </c>
      <c r="AC762" s="2">
        <v>4011.57</v>
      </c>
      <c r="AD762" s="16">
        <f t="shared" si="271"/>
        <v>986968.6</v>
      </c>
      <c r="AE762" s="2"/>
      <c r="AF762" s="2">
        <f t="shared" si="276"/>
        <v>986968.6</v>
      </c>
      <c r="AG762" s="38" t="s">
        <v>857</v>
      </c>
      <c r="AH762" s="29"/>
      <c r="AI762" s="30">
        <f>385890.19+98696.6+156767.33+71161.76+44833.4</f>
        <v>757349.28</v>
      </c>
      <c r="AJ762" s="30">
        <f>73591.17+48718.2+13570.88+8549.93</f>
        <v>144430.18</v>
      </c>
    </row>
    <row r="763" spans="1:109" s="179" customFormat="1" ht="204.75" x14ac:dyDescent="0.25">
      <c r="A763" s="6">
        <v>760</v>
      </c>
      <c r="B763" s="31">
        <v>111916</v>
      </c>
      <c r="C763" s="31">
        <v>145</v>
      </c>
      <c r="D763" s="11" t="s">
        <v>143</v>
      </c>
      <c r="E763" s="24" t="s">
        <v>270</v>
      </c>
      <c r="F763" s="27" t="s">
        <v>843</v>
      </c>
      <c r="G763" s="27" t="s">
        <v>844</v>
      </c>
      <c r="H763" s="8" t="s">
        <v>151</v>
      </c>
      <c r="I763" s="120" t="s">
        <v>2974</v>
      </c>
      <c r="J763" s="25">
        <v>43361</v>
      </c>
      <c r="K763" s="25">
        <v>43848</v>
      </c>
      <c r="L763" s="26">
        <f t="shared" si="273"/>
        <v>82.304185955094169</v>
      </c>
      <c r="M763" s="11" t="s">
        <v>272</v>
      </c>
      <c r="N763" s="11" t="s">
        <v>763</v>
      </c>
      <c r="O763" s="11" t="s">
        <v>763</v>
      </c>
      <c r="P763" s="27" t="s">
        <v>274</v>
      </c>
      <c r="Q763" s="56" t="s">
        <v>34</v>
      </c>
      <c r="R763" s="2">
        <f t="shared" si="278"/>
        <v>810699.03</v>
      </c>
      <c r="S763" s="2">
        <v>653758.11</v>
      </c>
      <c r="T763" s="2">
        <v>156940.92000000001</v>
      </c>
      <c r="U763" s="2">
        <f t="shared" si="277"/>
        <v>154604.29</v>
      </c>
      <c r="V763" s="28">
        <v>115369.07</v>
      </c>
      <c r="W763" s="28">
        <v>39235.22</v>
      </c>
      <c r="X763" s="2">
        <f t="shared" si="274"/>
        <v>0</v>
      </c>
      <c r="Y763" s="2">
        <v>0</v>
      </c>
      <c r="Z763" s="2">
        <v>0</v>
      </c>
      <c r="AA763" s="2">
        <f t="shared" si="275"/>
        <v>19700.080000000002</v>
      </c>
      <c r="AB763" s="2">
        <v>15696.51</v>
      </c>
      <c r="AC763" s="2">
        <v>4003.57</v>
      </c>
      <c r="AD763" s="16">
        <f t="shared" si="271"/>
        <v>985003.4</v>
      </c>
      <c r="AE763" s="2"/>
      <c r="AF763" s="2">
        <f t="shared" si="276"/>
        <v>985003.4</v>
      </c>
      <c r="AG763" s="38" t="s">
        <v>857</v>
      </c>
      <c r="AH763" s="29"/>
      <c r="AI763" s="30">
        <f>98000+15936.3+98000+14229.11+98000+184958.55+34915.59+218662.58+34786.69</f>
        <v>797488.81999999983</v>
      </c>
      <c r="AJ763" s="30">
        <f>21728.22+21402.65+35272.51+25347.65+41700.04+6633.99</f>
        <v>152085.06</v>
      </c>
    </row>
    <row r="764" spans="1:109" s="179" customFormat="1" ht="96" customHeight="1" x14ac:dyDescent="0.25">
      <c r="A764" s="6">
        <v>761</v>
      </c>
      <c r="B764" s="31">
        <v>116156</v>
      </c>
      <c r="C764" s="31">
        <v>392</v>
      </c>
      <c r="D764" s="11" t="s">
        <v>143</v>
      </c>
      <c r="E764" s="24" t="s">
        <v>373</v>
      </c>
      <c r="F764" s="67" t="s">
        <v>845</v>
      </c>
      <c r="G764" s="11" t="s">
        <v>1944</v>
      </c>
      <c r="H764" s="11" t="s">
        <v>846</v>
      </c>
      <c r="I764" s="32" t="s">
        <v>1591</v>
      </c>
      <c r="J764" s="25">
        <v>43356</v>
      </c>
      <c r="K764" s="25">
        <v>44908</v>
      </c>
      <c r="L764" s="26">
        <f t="shared" si="273"/>
        <v>83.983861962743134</v>
      </c>
      <c r="M764" s="11" t="s">
        <v>272</v>
      </c>
      <c r="N764" s="11" t="s">
        <v>261</v>
      </c>
      <c r="O764" s="11" t="s">
        <v>261</v>
      </c>
      <c r="P764" s="27" t="s">
        <v>138</v>
      </c>
      <c r="Q764" s="11" t="s">
        <v>34</v>
      </c>
      <c r="R764" s="2">
        <f t="shared" si="278"/>
        <v>2299022.9900000002</v>
      </c>
      <c r="S764" s="2">
        <v>1853961.73</v>
      </c>
      <c r="T764" s="2">
        <v>445061.26</v>
      </c>
      <c r="U764" s="2">
        <f t="shared" si="277"/>
        <v>0</v>
      </c>
      <c r="V764" s="28">
        <v>0</v>
      </c>
      <c r="W764" s="28">
        <v>0</v>
      </c>
      <c r="X764" s="2">
        <f t="shared" ref="X764:X780" si="279">Y764+Z764</f>
        <v>438435.06</v>
      </c>
      <c r="Y764" s="2">
        <v>327169.75</v>
      </c>
      <c r="Z764" s="2">
        <v>111265.31</v>
      </c>
      <c r="AA764" s="2">
        <f t="shared" ref="AA764:AA787" si="280">AB764+AC764</f>
        <v>0</v>
      </c>
      <c r="AB764" s="2">
        <v>0</v>
      </c>
      <c r="AC764" s="2">
        <v>0</v>
      </c>
      <c r="AD764" s="16">
        <f t="shared" si="271"/>
        <v>2737458.0500000003</v>
      </c>
      <c r="AE764" s="2"/>
      <c r="AF764" s="2">
        <f t="shared" ref="AF764:AF793" si="281">AD764+AE764</f>
        <v>2737458.0500000003</v>
      </c>
      <c r="AG764" s="38" t="s">
        <v>1412</v>
      </c>
      <c r="AH764" s="29" t="s">
        <v>1800</v>
      </c>
      <c r="AI764" s="30">
        <f>194922.68+48813.95+146150.63+39090.27+127031.01+26684.2+32010.45+45499.94+192459.09+29074.37+123869.59</f>
        <v>1005606.1799999998</v>
      </c>
      <c r="AJ764" s="30">
        <v>0</v>
      </c>
    </row>
    <row r="765" spans="1:109" s="179" customFormat="1" ht="141.75" x14ac:dyDescent="0.25">
      <c r="A765" s="6">
        <v>762</v>
      </c>
      <c r="B765" s="31">
        <v>109770</v>
      </c>
      <c r="C765" s="31">
        <v>300</v>
      </c>
      <c r="D765" s="11" t="s">
        <v>143</v>
      </c>
      <c r="E765" s="24" t="s">
        <v>270</v>
      </c>
      <c r="F765" s="67" t="s">
        <v>1420</v>
      </c>
      <c r="G765" s="11" t="s">
        <v>847</v>
      </c>
      <c r="H765" s="8" t="s">
        <v>151</v>
      </c>
      <c r="I765" s="120" t="s">
        <v>848</v>
      </c>
      <c r="J765" s="25">
        <v>43362</v>
      </c>
      <c r="K765" s="25">
        <v>43849</v>
      </c>
      <c r="L765" s="26">
        <f t="shared" si="273"/>
        <v>82.304184197970017</v>
      </c>
      <c r="M765" s="11" t="s">
        <v>272</v>
      </c>
      <c r="N765" s="11" t="s">
        <v>261</v>
      </c>
      <c r="O765" s="11" t="s">
        <v>261</v>
      </c>
      <c r="P765" s="27" t="s">
        <v>274</v>
      </c>
      <c r="Q765" s="11" t="s">
        <v>34</v>
      </c>
      <c r="R765" s="2">
        <f t="shared" si="278"/>
        <v>786369.83000000007</v>
      </c>
      <c r="S765" s="2">
        <v>634138.80000000005</v>
      </c>
      <c r="T765" s="2">
        <v>152231.03</v>
      </c>
      <c r="U765" s="2">
        <f t="shared" si="277"/>
        <v>149964.62</v>
      </c>
      <c r="V765" s="28">
        <v>111906.86</v>
      </c>
      <c r="W765" s="28">
        <v>38057.760000000002</v>
      </c>
      <c r="X765" s="2">
        <f t="shared" si="279"/>
        <v>0</v>
      </c>
      <c r="Y765" s="2">
        <v>0</v>
      </c>
      <c r="Z765" s="2">
        <v>0</v>
      </c>
      <c r="AA765" s="2">
        <f t="shared" si="280"/>
        <v>19108.870000000003</v>
      </c>
      <c r="AB765" s="2">
        <v>15225.37</v>
      </c>
      <c r="AC765" s="2">
        <v>3883.5</v>
      </c>
      <c r="AD765" s="16">
        <f t="shared" si="271"/>
        <v>955443.32000000007</v>
      </c>
      <c r="AE765" s="2"/>
      <c r="AF765" s="2">
        <f t="shared" si="281"/>
        <v>955443.32000000007</v>
      </c>
      <c r="AG765" s="38" t="s">
        <v>857</v>
      </c>
      <c r="AH765" s="29"/>
      <c r="AI765" s="30">
        <f>495588.73+36434.18+37098.36+130866.04+63944.95-22724.91</f>
        <v>741207.35</v>
      </c>
      <c r="AJ765" s="30">
        <f>13512.19+19201.01+11646.04+10486.67+21444.53+15302.78+16400.64+17142.5+2328.48+13886.98</f>
        <v>141351.82</v>
      </c>
    </row>
    <row r="766" spans="1:109" s="179" customFormat="1" ht="141.75" x14ac:dyDescent="0.25">
      <c r="A766" s="6">
        <v>763</v>
      </c>
      <c r="B766" s="31">
        <v>112155</v>
      </c>
      <c r="C766" s="31">
        <v>224</v>
      </c>
      <c r="D766" s="11" t="s">
        <v>143</v>
      </c>
      <c r="E766" s="24" t="s">
        <v>270</v>
      </c>
      <c r="F766" s="67" t="s">
        <v>849</v>
      </c>
      <c r="G766" s="11" t="s">
        <v>1331</v>
      </c>
      <c r="H766" s="11" t="s">
        <v>850</v>
      </c>
      <c r="I766" s="120" t="s">
        <v>2975</v>
      </c>
      <c r="J766" s="25">
        <v>43362</v>
      </c>
      <c r="K766" s="25">
        <v>44031</v>
      </c>
      <c r="L766" s="26">
        <f t="shared" si="273"/>
        <v>82.838167350644355</v>
      </c>
      <c r="M766" s="11" t="s">
        <v>272</v>
      </c>
      <c r="N766" s="11" t="s">
        <v>763</v>
      </c>
      <c r="O766" s="11" t="s">
        <v>763</v>
      </c>
      <c r="P766" s="27" t="s">
        <v>274</v>
      </c>
      <c r="Q766" s="11" t="s">
        <v>34</v>
      </c>
      <c r="R766" s="2">
        <f t="shared" si="278"/>
        <v>821979.65</v>
      </c>
      <c r="S766" s="2">
        <v>662854.93000000005</v>
      </c>
      <c r="T766" s="2">
        <v>159124.72</v>
      </c>
      <c r="U766" s="2">
        <f t="shared" si="277"/>
        <v>150446.54</v>
      </c>
      <c r="V766" s="28">
        <v>111947.56</v>
      </c>
      <c r="W766" s="28">
        <v>38498.980000000003</v>
      </c>
      <c r="X766" s="2">
        <f t="shared" si="279"/>
        <v>6308.99</v>
      </c>
      <c r="Y766" s="2">
        <v>5026.84</v>
      </c>
      <c r="Z766" s="2">
        <v>1282.1500000000001</v>
      </c>
      <c r="AA766" s="2">
        <f t="shared" si="280"/>
        <v>13536.47</v>
      </c>
      <c r="AB766" s="2">
        <v>10785.49</v>
      </c>
      <c r="AC766" s="2">
        <v>2750.98</v>
      </c>
      <c r="AD766" s="16">
        <f t="shared" si="271"/>
        <v>992271.65</v>
      </c>
      <c r="AE766" s="2"/>
      <c r="AF766" s="2">
        <f t="shared" si="281"/>
        <v>992271.65</v>
      </c>
      <c r="AG766" s="38" t="s">
        <v>857</v>
      </c>
      <c r="AH766" s="29" t="s">
        <v>1587</v>
      </c>
      <c r="AI766" s="30">
        <f>680682.08+95992.86</f>
        <v>776674.94</v>
      </c>
      <c r="AJ766" s="30">
        <f>124682.16+17920.66</f>
        <v>142602.82</v>
      </c>
    </row>
    <row r="767" spans="1:109" s="179" customFormat="1" ht="267.75" x14ac:dyDescent="0.25">
      <c r="A767" s="6">
        <v>764</v>
      </c>
      <c r="B767" s="31">
        <v>111612</v>
      </c>
      <c r="C767" s="31">
        <v>153</v>
      </c>
      <c r="D767" s="11" t="s">
        <v>143</v>
      </c>
      <c r="E767" s="24" t="s">
        <v>270</v>
      </c>
      <c r="F767" s="11" t="s">
        <v>854</v>
      </c>
      <c r="G767" s="11" t="s">
        <v>855</v>
      </c>
      <c r="H767" s="11" t="s">
        <v>856</v>
      </c>
      <c r="I767" s="120" t="s">
        <v>2976</v>
      </c>
      <c r="J767" s="25">
        <v>43371</v>
      </c>
      <c r="K767" s="25">
        <v>43889</v>
      </c>
      <c r="L767" s="26">
        <f t="shared" si="273"/>
        <v>82.304183068176116</v>
      </c>
      <c r="M767" s="11" t="s">
        <v>272</v>
      </c>
      <c r="N767" s="11" t="s">
        <v>261</v>
      </c>
      <c r="O767" s="11" t="s">
        <v>261</v>
      </c>
      <c r="P767" s="27" t="s">
        <v>274</v>
      </c>
      <c r="Q767" s="11" t="s">
        <v>34</v>
      </c>
      <c r="R767" s="2">
        <f t="shared" si="278"/>
        <v>719578.88</v>
      </c>
      <c r="S767" s="2">
        <v>580277.67000000004</v>
      </c>
      <c r="T767" s="2">
        <v>139301.21</v>
      </c>
      <c r="U767" s="2">
        <f t="shared" si="277"/>
        <v>137227.27000000002</v>
      </c>
      <c r="V767" s="28">
        <v>102401.97</v>
      </c>
      <c r="W767" s="28">
        <v>34825.300000000003</v>
      </c>
      <c r="X767" s="2">
        <f t="shared" si="279"/>
        <v>0</v>
      </c>
      <c r="Y767" s="2">
        <v>0</v>
      </c>
      <c r="Z767" s="2">
        <v>0</v>
      </c>
      <c r="AA767" s="2">
        <f t="shared" si="280"/>
        <v>17485.84</v>
      </c>
      <c r="AB767" s="2">
        <v>13932.24</v>
      </c>
      <c r="AC767" s="2">
        <v>3553.6</v>
      </c>
      <c r="AD767" s="16">
        <f t="shared" si="271"/>
        <v>874291.99</v>
      </c>
      <c r="AE767" s="2"/>
      <c r="AF767" s="2">
        <f t="shared" si="281"/>
        <v>874291.99</v>
      </c>
      <c r="AG767" s="38" t="s">
        <v>1427</v>
      </c>
      <c r="AH767" s="29"/>
      <c r="AI767" s="30">
        <v>557994.05000000005</v>
      </c>
      <c r="AJ767" s="30">
        <v>106412.25</v>
      </c>
    </row>
    <row r="768" spans="1:109" s="179" customFormat="1" ht="390" customHeight="1" x14ac:dyDescent="0.25">
      <c r="A768" s="6">
        <v>765</v>
      </c>
      <c r="B768" s="31">
        <v>110058</v>
      </c>
      <c r="C768" s="31">
        <v>302</v>
      </c>
      <c r="D768" s="11" t="s">
        <v>143</v>
      </c>
      <c r="E768" s="24" t="s">
        <v>270</v>
      </c>
      <c r="F768" s="67" t="s">
        <v>858</v>
      </c>
      <c r="G768" s="11" t="s">
        <v>859</v>
      </c>
      <c r="H768" s="11" t="s">
        <v>860</v>
      </c>
      <c r="I768" s="12" t="s">
        <v>2977</v>
      </c>
      <c r="J768" s="25">
        <v>43370</v>
      </c>
      <c r="K768" s="25">
        <v>43857</v>
      </c>
      <c r="L768" s="26">
        <f t="shared" si="273"/>
        <v>82.767157561916832</v>
      </c>
      <c r="M768" s="11" t="s">
        <v>272</v>
      </c>
      <c r="N768" s="11" t="s">
        <v>261</v>
      </c>
      <c r="O768" s="11" t="s">
        <v>261</v>
      </c>
      <c r="P768" s="27" t="s">
        <v>274</v>
      </c>
      <c r="Q768" s="11" t="s">
        <v>34</v>
      </c>
      <c r="R768" s="2">
        <f t="shared" si="278"/>
        <v>803873.75</v>
      </c>
      <c r="S768" s="2">
        <v>648254.14</v>
      </c>
      <c r="T768" s="2">
        <v>155619.60999999999</v>
      </c>
      <c r="U768" s="2">
        <f t="shared" si="277"/>
        <v>147948.57</v>
      </c>
      <c r="V768" s="28">
        <v>110131.78</v>
      </c>
      <c r="W768" s="28">
        <v>37816.79</v>
      </c>
      <c r="X768" s="2">
        <f t="shared" si="279"/>
        <v>0</v>
      </c>
      <c r="Y768" s="2">
        <v>0</v>
      </c>
      <c r="Z768" s="2">
        <v>0</v>
      </c>
      <c r="AA768" s="2">
        <f t="shared" si="280"/>
        <v>19424.939999999999</v>
      </c>
      <c r="AB768" s="2">
        <v>15477.26</v>
      </c>
      <c r="AC768" s="2">
        <v>3947.68</v>
      </c>
      <c r="AD768" s="16">
        <f t="shared" si="271"/>
        <v>971247.26</v>
      </c>
      <c r="AE768" s="37"/>
      <c r="AF768" s="2">
        <f t="shared" si="281"/>
        <v>971247.26</v>
      </c>
      <c r="AG768" s="38" t="s">
        <v>857</v>
      </c>
      <c r="AH768" s="29"/>
      <c r="AI768" s="30">
        <v>445374.68</v>
      </c>
      <c r="AJ768" s="30">
        <v>64020.07</v>
      </c>
    </row>
    <row r="769" spans="1:36" s="179" customFormat="1" ht="390" customHeight="1" x14ac:dyDescent="0.25">
      <c r="A769" s="6">
        <v>766</v>
      </c>
      <c r="B769" s="31">
        <v>111482</v>
      </c>
      <c r="C769" s="31">
        <v>133</v>
      </c>
      <c r="D769" s="11" t="s">
        <v>143</v>
      </c>
      <c r="E769" s="24" t="s">
        <v>270</v>
      </c>
      <c r="F769" s="11" t="s">
        <v>1912</v>
      </c>
      <c r="G769" s="11" t="s">
        <v>863</v>
      </c>
      <c r="H769" s="11" t="s">
        <v>864</v>
      </c>
      <c r="I769" s="12" t="s">
        <v>2978</v>
      </c>
      <c r="J769" s="25">
        <v>43376</v>
      </c>
      <c r="K769" s="25">
        <v>43864</v>
      </c>
      <c r="L769" s="26">
        <f t="shared" si="273"/>
        <v>82.928005929547282</v>
      </c>
      <c r="M769" s="11" t="s">
        <v>272</v>
      </c>
      <c r="N769" s="11" t="s">
        <v>254</v>
      </c>
      <c r="O769" s="11" t="s">
        <v>865</v>
      </c>
      <c r="P769" s="27" t="s">
        <v>274</v>
      </c>
      <c r="Q769" s="11" t="s">
        <v>34</v>
      </c>
      <c r="R769" s="2">
        <f t="shared" si="278"/>
        <v>795878.74</v>
      </c>
      <c r="S769" s="2">
        <v>641806.86</v>
      </c>
      <c r="T769" s="2">
        <v>154071.88</v>
      </c>
      <c r="U769" s="2">
        <f t="shared" si="277"/>
        <v>144649.33000000002</v>
      </c>
      <c r="V769" s="28">
        <v>107580.1</v>
      </c>
      <c r="W769" s="28">
        <v>37069.230000000003</v>
      </c>
      <c r="X769" s="2">
        <f t="shared" si="279"/>
        <v>0</v>
      </c>
      <c r="Y769" s="2">
        <v>0</v>
      </c>
      <c r="Z769" s="2">
        <v>0</v>
      </c>
      <c r="AA769" s="2">
        <f t="shared" si="280"/>
        <v>19194.440000000002</v>
      </c>
      <c r="AB769" s="2">
        <v>15293.61</v>
      </c>
      <c r="AC769" s="2">
        <v>3900.83</v>
      </c>
      <c r="AD769" s="16">
        <f t="shared" si="271"/>
        <v>959722.51</v>
      </c>
      <c r="AE769" s="37"/>
      <c r="AF769" s="2">
        <f t="shared" si="281"/>
        <v>959722.51</v>
      </c>
      <c r="AG769" s="38" t="s">
        <v>1427</v>
      </c>
      <c r="AH769" s="29"/>
      <c r="AI769" s="30">
        <f>452366.02+99602.01+111344.12+21724.75+63905.55-5611.91+3477.02</f>
        <v>746807.56</v>
      </c>
      <c r="AJ769" s="30">
        <f>80055.29+4398.75+19458.27+15146.77+4830.12+12009.98</f>
        <v>135899.18</v>
      </c>
    </row>
    <row r="770" spans="1:36" s="179" customFormat="1" ht="390" customHeight="1" x14ac:dyDescent="0.25">
      <c r="A770" s="6">
        <v>767</v>
      </c>
      <c r="B770" s="31">
        <v>112266</v>
      </c>
      <c r="C770" s="31">
        <v>310</v>
      </c>
      <c r="D770" s="11" t="s">
        <v>143</v>
      </c>
      <c r="E770" s="24" t="s">
        <v>270</v>
      </c>
      <c r="F770" s="11" t="s">
        <v>866</v>
      </c>
      <c r="G770" s="11" t="s">
        <v>867</v>
      </c>
      <c r="H770" s="11" t="s">
        <v>868</v>
      </c>
      <c r="I770" s="12" t="s">
        <v>2979</v>
      </c>
      <c r="J770" s="25">
        <v>43376</v>
      </c>
      <c r="K770" s="25">
        <v>43802</v>
      </c>
      <c r="L770" s="26">
        <f t="shared" si="273"/>
        <v>83.010839519489394</v>
      </c>
      <c r="M770" s="11" t="s">
        <v>272</v>
      </c>
      <c r="N770" s="11" t="s">
        <v>261</v>
      </c>
      <c r="O770" s="11" t="s">
        <v>261</v>
      </c>
      <c r="P770" s="27" t="s">
        <v>138</v>
      </c>
      <c r="Q770" s="11" t="s">
        <v>34</v>
      </c>
      <c r="R770" s="2">
        <f t="shared" si="278"/>
        <v>830076.27</v>
      </c>
      <c r="S770" s="2">
        <v>669384.21</v>
      </c>
      <c r="T770" s="2">
        <v>160692.06</v>
      </c>
      <c r="U770" s="2">
        <f t="shared" si="277"/>
        <v>149885.79999999999</v>
      </c>
      <c r="V770" s="28">
        <v>111422.7</v>
      </c>
      <c r="W770" s="28">
        <v>38463.1</v>
      </c>
      <c r="X770" s="2">
        <f t="shared" si="279"/>
        <v>0</v>
      </c>
      <c r="Y770" s="2">
        <v>0</v>
      </c>
      <c r="Z770" s="2">
        <v>0</v>
      </c>
      <c r="AA770" s="2">
        <f t="shared" si="280"/>
        <v>19999.23</v>
      </c>
      <c r="AB770" s="2">
        <v>15934.82</v>
      </c>
      <c r="AC770" s="2">
        <v>4064.41</v>
      </c>
      <c r="AD770" s="16">
        <f t="shared" si="271"/>
        <v>999961.3</v>
      </c>
      <c r="AE770" s="37"/>
      <c r="AF770" s="2">
        <f t="shared" si="281"/>
        <v>999961.3</v>
      </c>
      <c r="AG770" s="21" t="s">
        <v>857</v>
      </c>
      <c r="AH770" s="29"/>
      <c r="AI770" s="30">
        <f>469376.77+159988.61+70050.81+33529.44+16757.29</f>
        <v>749702.91999999993</v>
      </c>
      <c r="AJ770" s="30">
        <f>66498.13+28816.19+19174.69+12319.23+7898.78</f>
        <v>134707.02000000002</v>
      </c>
    </row>
    <row r="771" spans="1:36" s="179" customFormat="1" ht="390" customHeight="1" x14ac:dyDescent="0.25">
      <c r="A771" s="6">
        <v>768</v>
      </c>
      <c r="B771" s="31">
        <v>118704</v>
      </c>
      <c r="C771" s="31">
        <v>434</v>
      </c>
      <c r="D771" s="32" t="s">
        <v>1639</v>
      </c>
      <c r="E771" s="24" t="s">
        <v>523</v>
      </c>
      <c r="F771" s="67" t="s">
        <v>869</v>
      </c>
      <c r="G771" s="11" t="s">
        <v>870</v>
      </c>
      <c r="H771" s="8" t="s">
        <v>151</v>
      </c>
      <c r="I771" s="12" t="s">
        <v>871</v>
      </c>
      <c r="J771" s="25">
        <v>43389</v>
      </c>
      <c r="K771" s="25">
        <v>43906</v>
      </c>
      <c r="L771" s="26">
        <f t="shared" si="273"/>
        <v>83.983864465105967</v>
      </c>
      <c r="M771" s="11" t="s">
        <v>272</v>
      </c>
      <c r="N771" s="11" t="s">
        <v>261</v>
      </c>
      <c r="O771" s="11" t="s">
        <v>261</v>
      </c>
      <c r="P771" s="27" t="s">
        <v>138</v>
      </c>
      <c r="Q771" s="56" t="s">
        <v>34</v>
      </c>
      <c r="R771" s="2">
        <f t="shared" si="278"/>
        <v>1448623.93</v>
      </c>
      <c r="S771" s="2">
        <v>1168188.98</v>
      </c>
      <c r="T771" s="2">
        <v>280434.95</v>
      </c>
      <c r="U771" s="2">
        <f t="shared" si="277"/>
        <v>0</v>
      </c>
      <c r="V771" s="28">
        <v>0</v>
      </c>
      <c r="W771" s="28">
        <v>0</v>
      </c>
      <c r="X771" s="2">
        <f t="shared" si="279"/>
        <v>0</v>
      </c>
      <c r="Y771" s="2">
        <v>0</v>
      </c>
      <c r="Z771" s="2">
        <v>0</v>
      </c>
      <c r="AA771" s="2">
        <f t="shared" si="280"/>
        <v>276259.7</v>
      </c>
      <c r="AB771" s="2">
        <v>206150.98</v>
      </c>
      <c r="AC771" s="2">
        <v>70108.72</v>
      </c>
      <c r="AD771" s="16">
        <f t="shared" si="271"/>
        <v>1724883.63</v>
      </c>
      <c r="AE771" s="37">
        <v>442846.63</v>
      </c>
      <c r="AF771" s="2">
        <f t="shared" si="281"/>
        <v>2167730.2599999998</v>
      </c>
      <c r="AG771" s="38" t="s">
        <v>857</v>
      </c>
      <c r="AH771" s="29" t="s">
        <v>1391</v>
      </c>
      <c r="AI771" s="30">
        <v>1389240.11</v>
      </c>
      <c r="AJ771" s="30">
        <v>0</v>
      </c>
    </row>
    <row r="772" spans="1:36" s="179" customFormat="1" ht="288.75" customHeight="1" x14ac:dyDescent="0.25">
      <c r="A772" s="6">
        <v>769</v>
      </c>
      <c r="B772" s="31">
        <v>111265</v>
      </c>
      <c r="C772" s="31">
        <v>156</v>
      </c>
      <c r="D772" s="11" t="s">
        <v>143</v>
      </c>
      <c r="E772" s="24" t="s">
        <v>270</v>
      </c>
      <c r="F772" s="67" t="s">
        <v>874</v>
      </c>
      <c r="G772" s="11" t="s">
        <v>895</v>
      </c>
      <c r="H772" s="11" t="s">
        <v>875</v>
      </c>
      <c r="I772" s="12" t="s">
        <v>2980</v>
      </c>
      <c r="J772" s="25">
        <v>43390</v>
      </c>
      <c r="K772" s="25">
        <v>44029</v>
      </c>
      <c r="L772" s="26">
        <f t="shared" si="273"/>
        <v>82.304182001288282</v>
      </c>
      <c r="M772" s="11" t="s">
        <v>272</v>
      </c>
      <c r="N772" s="11" t="s">
        <v>226</v>
      </c>
      <c r="O772" s="11" t="s">
        <v>226</v>
      </c>
      <c r="P772" s="27" t="s">
        <v>274</v>
      </c>
      <c r="Q772" s="11" t="s">
        <v>34</v>
      </c>
      <c r="R772" s="2">
        <f t="shared" si="278"/>
        <v>800497.47</v>
      </c>
      <c r="S772" s="2">
        <v>645531.5</v>
      </c>
      <c r="T772" s="2">
        <v>154965.97</v>
      </c>
      <c r="U772" s="2">
        <f>V772+W772</f>
        <v>152658.85</v>
      </c>
      <c r="V772" s="28">
        <v>113917.34</v>
      </c>
      <c r="W772" s="28">
        <v>38741.51</v>
      </c>
      <c r="X772" s="2">
        <f t="shared" si="279"/>
        <v>0</v>
      </c>
      <c r="Y772" s="2">
        <v>0</v>
      </c>
      <c r="Z772" s="2">
        <v>0</v>
      </c>
      <c r="AA772" s="2">
        <f t="shared" si="280"/>
        <v>19452.18</v>
      </c>
      <c r="AB772" s="2">
        <v>15498.93</v>
      </c>
      <c r="AC772" s="2">
        <v>3953.25</v>
      </c>
      <c r="AD772" s="16">
        <f t="shared" si="271"/>
        <v>972608.5</v>
      </c>
      <c r="AE772" s="37"/>
      <c r="AF772" s="2">
        <f t="shared" si="281"/>
        <v>972608.5</v>
      </c>
      <c r="AG772" s="38" t="s">
        <v>857</v>
      </c>
      <c r="AH772" s="29" t="s">
        <v>1588</v>
      </c>
      <c r="AI772" s="30">
        <f>699788.34+65000-20399.56</f>
        <v>744388.77999999991</v>
      </c>
      <c r="AJ772" s="30">
        <f>130435.52+11523.1</f>
        <v>141958.62</v>
      </c>
    </row>
    <row r="773" spans="1:36" s="179" customFormat="1" ht="390" customHeight="1" x14ac:dyDescent="0.25">
      <c r="A773" s="6">
        <v>770</v>
      </c>
      <c r="B773" s="31">
        <v>112719</v>
      </c>
      <c r="C773" s="31">
        <v>287</v>
      </c>
      <c r="D773" s="11" t="s">
        <v>143</v>
      </c>
      <c r="E773" s="24" t="s">
        <v>270</v>
      </c>
      <c r="F773" s="67" t="s">
        <v>882</v>
      </c>
      <c r="G773" s="11" t="s">
        <v>883</v>
      </c>
      <c r="H773" s="11" t="s">
        <v>884</v>
      </c>
      <c r="I773" s="12" t="s">
        <v>885</v>
      </c>
      <c r="J773" s="25">
        <v>43399</v>
      </c>
      <c r="K773" s="25">
        <v>43887</v>
      </c>
      <c r="L773" s="26">
        <f t="shared" si="273"/>
        <v>82.304184463081299</v>
      </c>
      <c r="M773" s="11" t="s">
        <v>272</v>
      </c>
      <c r="N773" s="11" t="s">
        <v>261</v>
      </c>
      <c r="O773" s="11" t="s">
        <v>261</v>
      </c>
      <c r="P773" s="27" t="s">
        <v>274</v>
      </c>
      <c r="Q773" s="11" t="s">
        <v>34</v>
      </c>
      <c r="R773" s="2">
        <f t="shared" si="278"/>
        <v>780735</v>
      </c>
      <c r="S773" s="2">
        <v>629594.75</v>
      </c>
      <c r="T773" s="2">
        <v>151140.25</v>
      </c>
      <c r="U773" s="2">
        <f t="shared" ref="U773:U799" si="282">V773+W773</f>
        <v>148890.03999999998</v>
      </c>
      <c r="V773" s="28">
        <v>111105.01</v>
      </c>
      <c r="W773" s="28">
        <v>37785.03</v>
      </c>
      <c r="X773" s="2">
        <f t="shared" si="279"/>
        <v>0</v>
      </c>
      <c r="Y773" s="2">
        <v>0</v>
      </c>
      <c r="Z773" s="2">
        <v>0</v>
      </c>
      <c r="AA773" s="2">
        <f t="shared" si="280"/>
        <v>18971.93</v>
      </c>
      <c r="AB773" s="2">
        <v>15116.28</v>
      </c>
      <c r="AC773" s="2">
        <v>3855.65</v>
      </c>
      <c r="AD773" s="16">
        <f t="shared" ref="AD773:AD836" si="283">R773+U773+X773+AA773</f>
        <v>948596.97000000009</v>
      </c>
      <c r="AE773" s="37"/>
      <c r="AF773" s="2">
        <f t="shared" si="281"/>
        <v>948596.97000000009</v>
      </c>
      <c r="AG773" s="38" t="s">
        <v>857</v>
      </c>
      <c r="AH773" s="29"/>
      <c r="AI773" s="30">
        <v>771851.04999999993</v>
      </c>
      <c r="AJ773" s="30">
        <v>147195.82</v>
      </c>
    </row>
    <row r="774" spans="1:36" s="179" customFormat="1" ht="390" customHeight="1" x14ac:dyDescent="0.25">
      <c r="A774" s="6">
        <v>771</v>
      </c>
      <c r="B774" s="31">
        <v>112591</v>
      </c>
      <c r="C774" s="31">
        <v>205</v>
      </c>
      <c r="D774" s="11" t="s">
        <v>143</v>
      </c>
      <c r="E774" s="24" t="s">
        <v>270</v>
      </c>
      <c r="F774" s="67" t="s">
        <v>886</v>
      </c>
      <c r="G774" s="11" t="s">
        <v>887</v>
      </c>
      <c r="H774" s="11" t="s">
        <v>889</v>
      </c>
      <c r="I774" s="12" t="s">
        <v>888</v>
      </c>
      <c r="J774" s="25">
        <v>43404</v>
      </c>
      <c r="K774" s="25">
        <v>44043</v>
      </c>
      <c r="L774" s="26">
        <f t="shared" si="273"/>
        <v>82.304185509371194</v>
      </c>
      <c r="M774" s="11" t="s">
        <v>272</v>
      </c>
      <c r="N774" s="11" t="s">
        <v>261</v>
      </c>
      <c r="O774" s="11" t="s">
        <v>261</v>
      </c>
      <c r="P774" s="27" t="s">
        <v>274</v>
      </c>
      <c r="Q774" s="11" t="s">
        <v>34</v>
      </c>
      <c r="R774" s="2">
        <f t="shared" si="278"/>
        <v>767059.33000000007</v>
      </c>
      <c r="S774" s="2">
        <v>618566.54</v>
      </c>
      <c r="T774" s="2">
        <v>148492.79</v>
      </c>
      <c r="U774" s="2">
        <f t="shared" si="282"/>
        <v>146282</v>
      </c>
      <c r="V774" s="28">
        <v>109158.78</v>
      </c>
      <c r="W774" s="28">
        <v>37123.22</v>
      </c>
      <c r="X774" s="2">
        <f t="shared" si="279"/>
        <v>0</v>
      </c>
      <c r="Y774" s="2">
        <v>0</v>
      </c>
      <c r="Z774" s="2">
        <v>0</v>
      </c>
      <c r="AA774" s="2">
        <f t="shared" si="280"/>
        <v>18639.620000000003</v>
      </c>
      <c r="AB774" s="2">
        <v>14851.53</v>
      </c>
      <c r="AC774" s="2">
        <v>3788.09</v>
      </c>
      <c r="AD774" s="16">
        <f t="shared" si="283"/>
        <v>931980.95000000007</v>
      </c>
      <c r="AE774" s="37"/>
      <c r="AF774" s="2">
        <f t="shared" si="281"/>
        <v>931980.95000000007</v>
      </c>
      <c r="AG774" s="38" t="s">
        <v>857</v>
      </c>
      <c r="AH774" s="29" t="s">
        <v>1432</v>
      </c>
      <c r="AI774" s="30">
        <f>666492.64+22146.42-19754.94</f>
        <v>668884.12000000011</v>
      </c>
      <c r="AJ774" s="30">
        <f>109685.73+4223.42+13650.28</f>
        <v>127559.43</v>
      </c>
    </row>
    <row r="775" spans="1:36" s="179" customFormat="1" ht="390" customHeight="1" x14ac:dyDescent="0.25">
      <c r="A775" s="6">
        <v>772</v>
      </c>
      <c r="B775" s="31">
        <v>109897</v>
      </c>
      <c r="C775" s="31">
        <v>159</v>
      </c>
      <c r="D775" s="11" t="s">
        <v>143</v>
      </c>
      <c r="E775" s="24" t="s">
        <v>270</v>
      </c>
      <c r="F775" s="67" t="s">
        <v>893</v>
      </c>
      <c r="G775" s="11" t="s">
        <v>894</v>
      </c>
      <c r="H775" s="8" t="s">
        <v>151</v>
      </c>
      <c r="I775" s="12" t="s">
        <v>2981</v>
      </c>
      <c r="J775" s="25">
        <v>43418</v>
      </c>
      <c r="K775" s="25">
        <v>44179</v>
      </c>
      <c r="L775" s="26">
        <f t="shared" si="273"/>
        <v>82.304185631079861</v>
      </c>
      <c r="M775" s="11" t="s">
        <v>272</v>
      </c>
      <c r="N775" s="11" t="s">
        <v>261</v>
      </c>
      <c r="O775" s="11" t="s">
        <v>137</v>
      </c>
      <c r="P775" s="27" t="s">
        <v>274</v>
      </c>
      <c r="Q775" s="11" t="s">
        <v>34</v>
      </c>
      <c r="R775" s="2">
        <f t="shared" si="278"/>
        <v>763718.81</v>
      </c>
      <c r="S775" s="2">
        <v>615872.68000000005</v>
      </c>
      <c r="T775" s="2">
        <v>147846.13</v>
      </c>
      <c r="U775" s="2">
        <f t="shared" si="282"/>
        <v>145644.94</v>
      </c>
      <c r="V775" s="28">
        <v>108683.39</v>
      </c>
      <c r="W775" s="28">
        <v>36961.550000000003</v>
      </c>
      <c r="X775" s="2">
        <f t="shared" si="279"/>
        <v>0</v>
      </c>
      <c r="Y775" s="2">
        <v>0</v>
      </c>
      <c r="Z775" s="2">
        <v>0</v>
      </c>
      <c r="AA775" s="2">
        <f t="shared" si="280"/>
        <v>18558.45</v>
      </c>
      <c r="AB775" s="2">
        <v>14786.89</v>
      </c>
      <c r="AC775" s="2">
        <v>3771.56</v>
      </c>
      <c r="AD775" s="16">
        <f t="shared" si="283"/>
        <v>927922.2</v>
      </c>
      <c r="AE775" s="37"/>
      <c r="AF775" s="2">
        <f t="shared" si="281"/>
        <v>927922.2</v>
      </c>
      <c r="AG775" s="38" t="s">
        <v>857</v>
      </c>
      <c r="AH775" s="29" t="s">
        <v>1663</v>
      </c>
      <c r="AI775" s="30">
        <f>574601.53+25027.07+25599.89+28316.77+19320.08</f>
        <v>672865.34</v>
      </c>
      <c r="AJ775" s="30">
        <f>109579.31+4772.77+4882.03+5400.13+3684.44</f>
        <v>128318.68000000001</v>
      </c>
    </row>
    <row r="776" spans="1:36" s="179" customFormat="1" ht="141.75" x14ac:dyDescent="0.25">
      <c r="A776" s="6">
        <v>773</v>
      </c>
      <c r="B776" s="31">
        <v>127778</v>
      </c>
      <c r="C776" s="31">
        <v>580</v>
      </c>
      <c r="D776" s="11" t="s">
        <v>143</v>
      </c>
      <c r="E776" s="24" t="s">
        <v>979</v>
      </c>
      <c r="F776" s="67" t="s">
        <v>931</v>
      </c>
      <c r="G776" s="27" t="s">
        <v>1738</v>
      </c>
      <c r="H776" s="8" t="s">
        <v>151</v>
      </c>
      <c r="I776" s="12" t="s">
        <v>2982</v>
      </c>
      <c r="J776" s="25">
        <v>43447</v>
      </c>
      <c r="K776" s="25">
        <v>45273</v>
      </c>
      <c r="L776" s="26">
        <f t="shared" si="273"/>
        <v>83.983863025604222</v>
      </c>
      <c r="M776" s="11" t="s">
        <v>272</v>
      </c>
      <c r="N776" s="11" t="s">
        <v>261</v>
      </c>
      <c r="O776" s="11" t="s">
        <v>261</v>
      </c>
      <c r="P776" s="27" t="s">
        <v>138</v>
      </c>
      <c r="Q776" s="11" t="s">
        <v>34</v>
      </c>
      <c r="R776" s="2">
        <f t="shared" si="278"/>
        <v>10837735.800000001</v>
      </c>
      <c r="S776" s="2">
        <v>8739689.6600000001</v>
      </c>
      <c r="T776" s="2">
        <v>2098046.14</v>
      </c>
      <c r="U776" s="2">
        <f t="shared" si="282"/>
        <v>0</v>
      </c>
      <c r="V776" s="28">
        <v>0</v>
      </c>
      <c r="W776" s="28">
        <v>0</v>
      </c>
      <c r="X776" s="2">
        <f t="shared" si="279"/>
        <v>2066809.68</v>
      </c>
      <c r="Y776" s="2">
        <v>1542298.18</v>
      </c>
      <c r="Z776" s="2">
        <v>524511.5</v>
      </c>
      <c r="AA776" s="2">
        <f t="shared" si="280"/>
        <v>0</v>
      </c>
      <c r="AB776" s="2">
        <v>0</v>
      </c>
      <c r="AC776" s="2">
        <v>0</v>
      </c>
      <c r="AD776" s="16">
        <f t="shared" si="283"/>
        <v>12904545.48</v>
      </c>
      <c r="AE776" s="37">
        <v>0</v>
      </c>
      <c r="AF776" s="2">
        <f t="shared" si="281"/>
        <v>12904545.48</v>
      </c>
      <c r="AG776" s="38" t="s">
        <v>486</v>
      </c>
      <c r="AH776" s="29" t="s">
        <v>1932</v>
      </c>
      <c r="AI776" s="30">
        <f>4431509.92+140328.64+1052131.93</f>
        <v>5623970.4899999993</v>
      </c>
      <c r="AJ776" s="30">
        <v>0</v>
      </c>
    </row>
    <row r="777" spans="1:36" s="179" customFormat="1" ht="173.25" x14ac:dyDescent="0.25">
      <c r="A777" s="6">
        <v>774</v>
      </c>
      <c r="B777" s="31">
        <v>127575</v>
      </c>
      <c r="C777" s="31">
        <v>604</v>
      </c>
      <c r="D777" s="11" t="s">
        <v>143</v>
      </c>
      <c r="E777" s="24" t="s">
        <v>979</v>
      </c>
      <c r="F777" s="67" t="s">
        <v>941</v>
      </c>
      <c r="G777" s="11" t="s">
        <v>83</v>
      </c>
      <c r="H777" s="8" t="s">
        <v>151</v>
      </c>
      <c r="I777" s="12" t="s">
        <v>2983</v>
      </c>
      <c r="J777" s="25">
        <v>43448</v>
      </c>
      <c r="K777" s="25">
        <v>44787</v>
      </c>
      <c r="L777" s="26">
        <f t="shared" si="273"/>
        <v>83.983862818828996</v>
      </c>
      <c r="M777" s="11" t="s">
        <v>272</v>
      </c>
      <c r="N777" s="11" t="s">
        <v>261</v>
      </c>
      <c r="O777" s="11" t="s">
        <v>261</v>
      </c>
      <c r="P777" s="27" t="s">
        <v>138</v>
      </c>
      <c r="Q777" s="11" t="s">
        <v>34</v>
      </c>
      <c r="R777" s="2">
        <f t="shared" si="278"/>
        <v>71134346.109999999</v>
      </c>
      <c r="S777" s="2">
        <v>57363652.549999997</v>
      </c>
      <c r="T777" s="2">
        <v>13770693.560000001</v>
      </c>
      <c r="U777" s="2">
        <f t="shared" si="282"/>
        <v>0</v>
      </c>
      <c r="V777" s="28">
        <v>0</v>
      </c>
      <c r="W777" s="28">
        <v>0</v>
      </c>
      <c r="X777" s="2">
        <f t="shared" si="279"/>
        <v>13565670.92</v>
      </c>
      <c r="Y777" s="2">
        <v>10122997.52</v>
      </c>
      <c r="Z777" s="2">
        <v>3442673.4</v>
      </c>
      <c r="AA777" s="2">
        <f t="shared" si="280"/>
        <v>0</v>
      </c>
      <c r="AB777" s="2">
        <v>0</v>
      </c>
      <c r="AC777" s="2">
        <v>0</v>
      </c>
      <c r="AD777" s="16">
        <f t="shared" si="283"/>
        <v>84700017.030000001</v>
      </c>
      <c r="AE777" s="37">
        <v>0</v>
      </c>
      <c r="AF777" s="2">
        <f t="shared" si="281"/>
        <v>84700017.030000001</v>
      </c>
      <c r="AG777" s="38" t="s">
        <v>857</v>
      </c>
      <c r="AH777" s="29" t="s">
        <v>1810</v>
      </c>
      <c r="AI777" s="30">
        <f>64822540.56+76490.69+412755.49+1062706.95+631076.16</f>
        <v>67005569.850000001</v>
      </c>
      <c r="AJ777" s="30">
        <v>0</v>
      </c>
    </row>
    <row r="778" spans="1:36" s="179" customFormat="1" ht="141.75" x14ac:dyDescent="0.25">
      <c r="A778" s="6">
        <v>775</v>
      </c>
      <c r="B778" s="31">
        <v>116834</v>
      </c>
      <c r="C778" s="31">
        <v>397</v>
      </c>
      <c r="D778" s="11" t="s">
        <v>143</v>
      </c>
      <c r="E778" s="24" t="s">
        <v>373</v>
      </c>
      <c r="F778" s="67" t="s">
        <v>951</v>
      </c>
      <c r="G778" s="11" t="s">
        <v>1772</v>
      </c>
      <c r="H778" s="11" t="s">
        <v>1786</v>
      </c>
      <c r="I778" s="33" t="s">
        <v>953</v>
      </c>
      <c r="J778" s="25">
        <v>43462</v>
      </c>
      <c r="K778" s="25">
        <v>44832</v>
      </c>
      <c r="L778" s="26">
        <f t="shared" si="273"/>
        <v>83.923407076315016</v>
      </c>
      <c r="M778" s="11" t="s">
        <v>272</v>
      </c>
      <c r="N778" s="11" t="s">
        <v>261</v>
      </c>
      <c r="O778" s="11" t="s">
        <v>261</v>
      </c>
      <c r="P778" s="27" t="s">
        <v>138</v>
      </c>
      <c r="Q778" s="11" t="s">
        <v>34</v>
      </c>
      <c r="R778" s="2">
        <f t="shared" si="278"/>
        <v>2024489.7200000002</v>
      </c>
      <c r="S778" s="2">
        <v>1632574.6</v>
      </c>
      <c r="T778" s="2">
        <v>391915.12</v>
      </c>
      <c r="U778" s="2">
        <f t="shared" si="282"/>
        <v>13627.730000000001</v>
      </c>
      <c r="V778" s="28">
        <v>10169.310000000001</v>
      </c>
      <c r="W778" s="28">
        <v>3458.4199999999996</v>
      </c>
      <c r="X778" s="2">
        <f t="shared" si="279"/>
        <v>372452.47000000003</v>
      </c>
      <c r="Y778" s="2">
        <v>277932.08</v>
      </c>
      <c r="Z778" s="2">
        <v>94520.39</v>
      </c>
      <c r="AA778" s="2">
        <f t="shared" si="280"/>
        <v>1736.48</v>
      </c>
      <c r="AB778" s="2">
        <v>1383.58</v>
      </c>
      <c r="AC778" s="2">
        <v>352.9</v>
      </c>
      <c r="AD778" s="16">
        <f t="shared" si="283"/>
        <v>2412306.4000000004</v>
      </c>
      <c r="AE778" s="37">
        <v>0</v>
      </c>
      <c r="AF778" s="2">
        <f t="shared" si="281"/>
        <v>2412306.4000000004</v>
      </c>
      <c r="AG778" s="38" t="s">
        <v>857</v>
      </c>
      <c r="AH778" s="29" t="s">
        <v>2148</v>
      </c>
      <c r="AI778" s="30">
        <f>300519.38+28866.82+79839.52+134620.7+189329.14+94392.77+126250.23</f>
        <v>953818.56</v>
      </c>
      <c r="AJ778" s="30">
        <v>13627.73</v>
      </c>
    </row>
    <row r="779" spans="1:36" s="179" customFormat="1" ht="204.75" x14ac:dyDescent="0.25">
      <c r="A779" s="6">
        <v>776</v>
      </c>
      <c r="B779" s="31">
        <v>116793</v>
      </c>
      <c r="C779" s="31">
        <v>398</v>
      </c>
      <c r="D779" s="11" t="s">
        <v>143</v>
      </c>
      <c r="E779" s="24" t="s">
        <v>373</v>
      </c>
      <c r="F779" s="67" t="s">
        <v>954</v>
      </c>
      <c r="G779" s="11" t="s">
        <v>1772</v>
      </c>
      <c r="H779" s="32" t="s">
        <v>1771</v>
      </c>
      <c r="I779" s="33" t="s">
        <v>2984</v>
      </c>
      <c r="J779" s="25">
        <v>43462</v>
      </c>
      <c r="K779" s="25">
        <v>44801</v>
      </c>
      <c r="L779" s="26">
        <f t="shared" si="273"/>
        <v>83.876278600754787</v>
      </c>
      <c r="M779" s="11" t="s">
        <v>272</v>
      </c>
      <c r="N779" s="11" t="s">
        <v>261</v>
      </c>
      <c r="O779" s="11" t="s">
        <v>261</v>
      </c>
      <c r="P779" s="27" t="s">
        <v>138</v>
      </c>
      <c r="Q779" s="11" t="s">
        <v>34</v>
      </c>
      <c r="R779" s="2">
        <f>S779+T779</f>
        <v>2294555.41</v>
      </c>
      <c r="S779" s="2">
        <v>1850359.01</v>
      </c>
      <c r="T779" s="2">
        <v>444196.40000000008</v>
      </c>
      <c r="U779" s="2">
        <f>V779+W779</f>
        <v>121410.03</v>
      </c>
      <c r="V779" s="28">
        <v>89921.42</v>
      </c>
      <c r="W779" s="28">
        <v>31488.610000000008</v>
      </c>
      <c r="X779" s="2">
        <f>Y779+Z779</f>
        <v>319677.40000000002</v>
      </c>
      <c r="Y779" s="2">
        <v>239404.74</v>
      </c>
      <c r="Z779" s="2">
        <v>80272.66</v>
      </c>
      <c r="AA779" s="2">
        <f>AB779+AC779</f>
        <v>0</v>
      </c>
      <c r="AB779" s="2">
        <v>0</v>
      </c>
      <c r="AC779" s="2">
        <v>0</v>
      </c>
      <c r="AD779" s="16">
        <f t="shared" si="283"/>
        <v>2735642.84</v>
      </c>
      <c r="AE779" s="37"/>
      <c r="AF779" s="2">
        <f>AD779+AE779</f>
        <v>2735642.84</v>
      </c>
      <c r="AG779" s="38" t="s">
        <v>857</v>
      </c>
      <c r="AH779" s="29" t="s">
        <v>2302</v>
      </c>
      <c r="AI779" s="30">
        <f>747588.05+119267.92+123350.9+38783.99+46531.38+20689.06+20035.23+31690.07+70570.67+11219.61+133492.64</f>
        <v>1363219.52</v>
      </c>
      <c r="AJ779" s="30">
        <f>58485.17+21100.17+23112.49+11901.81+748.32</f>
        <v>115347.96</v>
      </c>
    </row>
    <row r="780" spans="1:36" s="179" customFormat="1" ht="172.5" customHeight="1" x14ac:dyDescent="0.25">
      <c r="A780" s="6">
        <v>777</v>
      </c>
      <c r="B780" s="31">
        <v>127534</v>
      </c>
      <c r="C780" s="31">
        <v>619</v>
      </c>
      <c r="D780" s="11" t="s">
        <v>143</v>
      </c>
      <c r="E780" s="24" t="s">
        <v>979</v>
      </c>
      <c r="F780" s="67" t="s">
        <v>964</v>
      </c>
      <c r="G780" s="27" t="s">
        <v>1768</v>
      </c>
      <c r="H780" s="8" t="s">
        <v>151</v>
      </c>
      <c r="I780" s="12" t="s">
        <v>2985</v>
      </c>
      <c r="J780" s="25">
        <v>43490</v>
      </c>
      <c r="K780" s="25">
        <v>44525</v>
      </c>
      <c r="L780" s="26">
        <f t="shared" si="273"/>
        <v>83.983862982309589</v>
      </c>
      <c r="M780" s="11" t="s">
        <v>272</v>
      </c>
      <c r="N780" s="11" t="s">
        <v>261</v>
      </c>
      <c r="O780" s="11" t="s">
        <v>261</v>
      </c>
      <c r="P780" s="27" t="s">
        <v>138</v>
      </c>
      <c r="Q780" s="11" t="s">
        <v>34</v>
      </c>
      <c r="R780" s="2">
        <f t="shared" si="278"/>
        <v>8137225.4000000022</v>
      </c>
      <c r="S780" s="2">
        <v>6561963.3800000027</v>
      </c>
      <c r="T780" s="2">
        <v>1575262.0199999993</v>
      </c>
      <c r="U780" s="2">
        <f t="shared" si="282"/>
        <v>0</v>
      </c>
      <c r="V780" s="28">
        <v>0</v>
      </c>
      <c r="W780" s="28">
        <v>0</v>
      </c>
      <c r="X780" s="2">
        <f t="shared" si="279"/>
        <v>1551809.03</v>
      </c>
      <c r="Y780" s="2">
        <v>1157993.46</v>
      </c>
      <c r="Z780" s="2">
        <v>393815.57</v>
      </c>
      <c r="AA780" s="2">
        <f t="shared" si="280"/>
        <v>0</v>
      </c>
      <c r="AB780" s="2">
        <v>0</v>
      </c>
      <c r="AC780" s="2">
        <v>0</v>
      </c>
      <c r="AD780" s="16">
        <f t="shared" si="283"/>
        <v>9689034.4300000016</v>
      </c>
      <c r="AE780" s="37">
        <v>0</v>
      </c>
      <c r="AF780" s="2">
        <f t="shared" si="281"/>
        <v>9689034.4300000016</v>
      </c>
      <c r="AG780" s="38" t="s">
        <v>857</v>
      </c>
      <c r="AH780" s="29" t="s">
        <v>1769</v>
      </c>
      <c r="AI780" s="30">
        <f>1463301.67+53394.41+40843.87+3495745.94+550641.88+46927.65+715246.04+1403826.39</f>
        <v>7769927.8499999996</v>
      </c>
      <c r="AJ780" s="30">
        <v>0</v>
      </c>
    </row>
    <row r="781" spans="1:36" s="179" customFormat="1" ht="189" x14ac:dyDescent="0.25">
      <c r="A781" s="6">
        <v>778</v>
      </c>
      <c r="B781" s="31">
        <v>111384</v>
      </c>
      <c r="C781" s="31">
        <v>166</v>
      </c>
      <c r="D781" s="11" t="s">
        <v>143</v>
      </c>
      <c r="E781" s="24" t="s">
        <v>270</v>
      </c>
      <c r="F781" s="67" t="s">
        <v>969</v>
      </c>
      <c r="G781" s="11" t="s">
        <v>970</v>
      </c>
      <c r="H781" s="8" t="s">
        <v>151</v>
      </c>
      <c r="I781" s="12" t="s">
        <v>971</v>
      </c>
      <c r="J781" s="25">
        <v>43497</v>
      </c>
      <c r="K781" s="25">
        <v>43983</v>
      </c>
      <c r="L781" s="26">
        <f t="shared" si="273"/>
        <v>82.304190607330156</v>
      </c>
      <c r="M781" s="11" t="s">
        <v>272</v>
      </c>
      <c r="N781" s="11" t="s">
        <v>186</v>
      </c>
      <c r="O781" s="11" t="s">
        <v>186</v>
      </c>
      <c r="P781" s="27" t="s">
        <v>274</v>
      </c>
      <c r="Q781" s="11" t="s">
        <v>34</v>
      </c>
      <c r="R781" s="2">
        <f t="shared" si="278"/>
        <v>765704.55999999994</v>
      </c>
      <c r="S781" s="2">
        <v>617473.98</v>
      </c>
      <c r="T781" s="2">
        <v>148230.57999999999</v>
      </c>
      <c r="U781" s="2">
        <f t="shared" si="282"/>
        <v>146023.57999999999</v>
      </c>
      <c r="V781" s="28">
        <v>108965.98</v>
      </c>
      <c r="W781" s="28">
        <v>37057.599999999999</v>
      </c>
      <c r="X781" s="2">
        <v>0</v>
      </c>
      <c r="Y781" s="2">
        <v>0</v>
      </c>
      <c r="Z781" s="2">
        <v>0</v>
      </c>
      <c r="AA781" s="2">
        <f t="shared" si="280"/>
        <v>18606.7</v>
      </c>
      <c r="AB781" s="2">
        <v>14825.33</v>
      </c>
      <c r="AC781" s="2">
        <v>3781.37</v>
      </c>
      <c r="AD781" s="16">
        <f t="shared" si="283"/>
        <v>930334.83999999985</v>
      </c>
      <c r="AE781" s="37">
        <v>0</v>
      </c>
      <c r="AF781" s="2">
        <f t="shared" si="281"/>
        <v>930334.83999999985</v>
      </c>
      <c r="AG781" s="38" t="s">
        <v>857</v>
      </c>
      <c r="AH781" s="29"/>
      <c r="AI781" s="30">
        <v>407560.11</v>
      </c>
      <c r="AJ781" s="30">
        <v>76478.45</v>
      </c>
    </row>
    <row r="782" spans="1:36" s="179" customFormat="1" ht="159.75" customHeight="1" x14ac:dyDescent="0.25">
      <c r="A782" s="6">
        <v>779</v>
      </c>
      <c r="B782" s="31">
        <v>118765</v>
      </c>
      <c r="C782" s="31">
        <v>454</v>
      </c>
      <c r="D782" s="97" t="s">
        <v>1640</v>
      </c>
      <c r="E782" s="24" t="s">
        <v>425</v>
      </c>
      <c r="F782" s="67" t="s">
        <v>809</v>
      </c>
      <c r="G782" s="11" t="s">
        <v>810</v>
      </c>
      <c r="H782" s="11" t="s">
        <v>977</v>
      </c>
      <c r="I782" s="46" t="s">
        <v>2986</v>
      </c>
      <c r="J782" s="25">
        <v>43348</v>
      </c>
      <c r="K782" s="25">
        <v>45112</v>
      </c>
      <c r="L782" s="26">
        <f t="shared" si="273"/>
        <v>83.983863009939782</v>
      </c>
      <c r="M782" s="27" t="s">
        <v>136</v>
      </c>
      <c r="N782" s="11" t="s">
        <v>261</v>
      </c>
      <c r="O782" s="11" t="s">
        <v>137</v>
      </c>
      <c r="P782" s="15" t="s">
        <v>138</v>
      </c>
      <c r="Q782" s="27" t="s">
        <v>34</v>
      </c>
      <c r="R782" s="2">
        <f t="shared" si="278"/>
        <v>21008573.409999996</v>
      </c>
      <c r="S782" s="2">
        <v>16941584.049999997</v>
      </c>
      <c r="T782" s="2">
        <v>4066989.3599999989</v>
      </c>
      <c r="U782" s="2">
        <f t="shared" si="282"/>
        <v>0</v>
      </c>
      <c r="V782" s="28">
        <v>0</v>
      </c>
      <c r="W782" s="28">
        <v>0</v>
      </c>
      <c r="X782" s="2">
        <f t="shared" ref="X782:X800" si="284">Y782+Z782</f>
        <v>4006438.5900000008</v>
      </c>
      <c r="Y782" s="2">
        <v>2989691.2972893151</v>
      </c>
      <c r="Z782" s="2">
        <v>1016747.2927106855</v>
      </c>
      <c r="AA782" s="2">
        <f t="shared" si="280"/>
        <v>0</v>
      </c>
      <c r="AB782" s="2">
        <v>0</v>
      </c>
      <c r="AC782" s="2">
        <v>0</v>
      </c>
      <c r="AD782" s="16">
        <f t="shared" si="283"/>
        <v>25015011.999999996</v>
      </c>
      <c r="AE782" s="2">
        <v>0</v>
      </c>
      <c r="AF782" s="2">
        <f t="shared" si="281"/>
        <v>25015011.999999996</v>
      </c>
      <c r="AG782" s="38" t="s">
        <v>486</v>
      </c>
      <c r="AH782" s="29" t="s">
        <v>1970</v>
      </c>
      <c r="AI782" s="30">
        <f>3855719.79+323646.48+206724.77+676013.29+150344.07+353057.82+338497.46+399142.86+1052168.01+21579.05+1505737.13+23990.2+100884</f>
        <v>9007504.9299999997</v>
      </c>
      <c r="AJ782" s="30">
        <v>0</v>
      </c>
    </row>
    <row r="783" spans="1:36" s="179" customFormat="1" ht="161.25" customHeight="1" x14ac:dyDescent="0.25">
      <c r="A783" s="6">
        <v>780</v>
      </c>
      <c r="B783" s="31">
        <v>127403</v>
      </c>
      <c r="C783" s="31">
        <v>579</v>
      </c>
      <c r="D783" s="11" t="s">
        <v>143</v>
      </c>
      <c r="E783" s="24" t="s">
        <v>979</v>
      </c>
      <c r="F783" s="67" t="s">
        <v>980</v>
      </c>
      <c r="G783" s="27" t="s">
        <v>1352</v>
      </c>
      <c r="H783" s="8" t="s">
        <v>151</v>
      </c>
      <c r="I783" s="12" t="s">
        <v>2987</v>
      </c>
      <c r="J783" s="25">
        <v>43514</v>
      </c>
      <c r="K783" s="25">
        <v>45125</v>
      </c>
      <c r="L783" s="26">
        <f t="shared" si="273"/>
        <v>83.983863067164137</v>
      </c>
      <c r="M783" s="27" t="s">
        <v>136</v>
      </c>
      <c r="N783" s="11" t="s">
        <v>261</v>
      </c>
      <c r="O783" s="11" t="s">
        <v>261</v>
      </c>
      <c r="P783" s="15" t="s">
        <v>138</v>
      </c>
      <c r="Q783" s="27" t="s">
        <v>34</v>
      </c>
      <c r="R783" s="2">
        <f t="shared" ref="R783:R800" si="285">S783+T783</f>
        <v>5070433.51</v>
      </c>
      <c r="S783" s="2">
        <v>4088862.86</v>
      </c>
      <c r="T783" s="2">
        <v>981570.65</v>
      </c>
      <c r="U783" s="2">
        <f t="shared" si="282"/>
        <v>0</v>
      </c>
      <c r="V783" s="28">
        <v>0</v>
      </c>
      <c r="W783" s="28">
        <v>0</v>
      </c>
      <c r="X783" s="2">
        <f t="shared" si="284"/>
        <v>966956.68</v>
      </c>
      <c r="Y783" s="2">
        <v>721564.03</v>
      </c>
      <c r="Z783" s="2">
        <v>245392.65</v>
      </c>
      <c r="AA783" s="2">
        <f t="shared" si="280"/>
        <v>0</v>
      </c>
      <c r="AB783" s="2">
        <v>0</v>
      </c>
      <c r="AC783" s="2">
        <v>0</v>
      </c>
      <c r="AD783" s="16">
        <f t="shared" si="283"/>
        <v>6037390.1899999995</v>
      </c>
      <c r="AE783" s="37">
        <v>0</v>
      </c>
      <c r="AF783" s="2">
        <f t="shared" si="281"/>
        <v>6037390.1899999995</v>
      </c>
      <c r="AG783" s="38" t="s">
        <v>486</v>
      </c>
      <c r="AH783" s="29" t="s">
        <v>1971</v>
      </c>
      <c r="AI783" s="30">
        <f>24576.2+66456.97+20464.35+37833.89+35353.01+43044.25+57443.28+50103.09+84893.41+48852.57</f>
        <v>469021.01999999996</v>
      </c>
      <c r="AJ783" s="30">
        <v>0</v>
      </c>
    </row>
    <row r="784" spans="1:36" s="179" customFormat="1" ht="141.75" x14ac:dyDescent="0.25">
      <c r="A784" s="6">
        <v>781</v>
      </c>
      <c r="B784" s="31">
        <v>127820</v>
      </c>
      <c r="C784" s="31">
        <v>605</v>
      </c>
      <c r="D784" s="11" t="s">
        <v>143</v>
      </c>
      <c r="E784" s="24" t="s">
        <v>979</v>
      </c>
      <c r="F784" s="67" t="s">
        <v>998</v>
      </c>
      <c r="G784" s="11" t="s">
        <v>2146</v>
      </c>
      <c r="H784" s="8" t="s">
        <v>151</v>
      </c>
      <c r="I784" s="12" t="s">
        <v>2988</v>
      </c>
      <c r="J784" s="25">
        <v>43528</v>
      </c>
      <c r="K784" s="25">
        <v>44899</v>
      </c>
      <c r="L784" s="26">
        <f t="shared" si="273"/>
        <v>83.983863119750325</v>
      </c>
      <c r="M784" s="27" t="s">
        <v>136</v>
      </c>
      <c r="N784" s="11" t="s">
        <v>261</v>
      </c>
      <c r="O784" s="11" t="s">
        <v>261</v>
      </c>
      <c r="P784" s="15" t="s">
        <v>138</v>
      </c>
      <c r="Q784" s="27" t="s">
        <v>34</v>
      </c>
      <c r="R784" s="2">
        <f t="shared" si="285"/>
        <v>8804544.8800000008</v>
      </c>
      <c r="S784" s="2">
        <v>7100098.3400000008</v>
      </c>
      <c r="T784" s="2">
        <v>1704446.54</v>
      </c>
      <c r="U784" s="2">
        <f t="shared" si="282"/>
        <v>0</v>
      </c>
      <c r="V784" s="28">
        <v>0</v>
      </c>
      <c r="W784" s="28">
        <v>0</v>
      </c>
      <c r="X784" s="2">
        <f t="shared" si="284"/>
        <v>1679070.13</v>
      </c>
      <c r="Y784" s="2">
        <v>1252958.5123926841</v>
      </c>
      <c r="Z784" s="2">
        <v>426111.61760731583</v>
      </c>
      <c r="AA784" s="2">
        <f t="shared" si="280"/>
        <v>0</v>
      </c>
      <c r="AB784" s="2">
        <v>0</v>
      </c>
      <c r="AC784" s="2">
        <v>0</v>
      </c>
      <c r="AD784" s="16">
        <f t="shared" si="283"/>
        <v>10483615.010000002</v>
      </c>
      <c r="AE784" s="37">
        <v>0</v>
      </c>
      <c r="AF784" s="2">
        <f t="shared" si="281"/>
        <v>10483615.010000002</v>
      </c>
      <c r="AG784" s="38" t="s">
        <v>1412</v>
      </c>
      <c r="AH784" s="29" t="s">
        <v>2147</v>
      </c>
      <c r="AI784" s="30">
        <f>142773.41+459978.96+262581.43+430600.38+386148.56+275006+710932.99+402603.59+379948.85+570548.17+383601.33+340308.49</f>
        <v>4745032.16</v>
      </c>
      <c r="AJ784" s="30">
        <v>0</v>
      </c>
    </row>
    <row r="785" spans="1:36" s="179" customFormat="1" ht="283.5" customHeight="1" x14ac:dyDescent="0.25">
      <c r="A785" s="6">
        <v>782</v>
      </c>
      <c r="B785" s="31">
        <v>129157</v>
      </c>
      <c r="C785" s="31">
        <v>653</v>
      </c>
      <c r="D785" s="11" t="s">
        <v>143</v>
      </c>
      <c r="E785" s="32" t="s">
        <v>1056</v>
      </c>
      <c r="F785" s="67" t="s">
        <v>1057</v>
      </c>
      <c r="G785" s="11" t="s">
        <v>1353</v>
      </c>
      <c r="H785" s="11" t="s">
        <v>1058</v>
      </c>
      <c r="I785" s="12" t="s">
        <v>2989</v>
      </c>
      <c r="J785" s="25">
        <v>43595</v>
      </c>
      <c r="K785" s="25">
        <v>44145</v>
      </c>
      <c r="L785" s="26">
        <f t="shared" si="273"/>
        <v>83.983862046457801</v>
      </c>
      <c r="M785" s="27" t="s">
        <v>136</v>
      </c>
      <c r="N785" s="11" t="s">
        <v>261</v>
      </c>
      <c r="O785" s="11" t="s">
        <v>261</v>
      </c>
      <c r="P785" s="15" t="s">
        <v>138</v>
      </c>
      <c r="Q785" s="11" t="s">
        <v>34</v>
      </c>
      <c r="R785" s="2">
        <v>5246671.92</v>
      </c>
      <c r="S785" s="2">
        <v>4230983.82</v>
      </c>
      <c r="T785" s="2">
        <v>1015688.1</v>
      </c>
      <c r="U785" s="2">
        <v>397060.76</v>
      </c>
      <c r="V785" s="28">
        <v>293431.24</v>
      </c>
      <c r="W785" s="28">
        <v>103629.52</v>
      </c>
      <c r="X785" s="2">
        <v>603505.53</v>
      </c>
      <c r="Y785" s="2">
        <v>453212.97</v>
      </c>
      <c r="Z785" s="2">
        <v>150292.56</v>
      </c>
      <c r="AA785" s="2">
        <v>0</v>
      </c>
      <c r="AB785" s="2">
        <v>0</v>
      </c>
      <c r="AC785" s="2">
        <v>0</v>
      </c>
      <c r="AD785" s="16">
        <f t="shared" si="283"/>
        <v>6247238.21</v>
      </c>
      <c r="AE785" s="37">
        <v>0</v>
      </c>
      <c r="AF785" s="2">
        <v>6247238.21</v>
      </c>
      <c r="AG785" s="38" t="s">
        <v>857</v>
      </c>
      <c r="AH785" s="29" t="s">
        <v>1607</v>
      </c>
      <c r="AI785" s="30">
        <f>27634.05+1119190.49+181709.16+701126.29+552728.56+77727.08+197693.87</f>
        <v>2857809.5</v>
      </c>
      <c r="AJ785" s="30">
        <f>145846.01+27046.1+84892.7+61886.01+3864.1+5366.64</f>
        <v>328901.56</v>
      </c>
    </row>
    <row r="786" spans="1:36" s="179" customFormat="1" ht="226.5" customHeight="1" x14ac:dyDescent="0.25">
      <c r="A786" s="6">
        <v>783</v>
      </c>
      <c r="B786" s="31">
        <v>127557</v>
      </c>
      <c r="C786" s="31">
        <v>592</v>
      </c>
      <c r="D786" s="11" t="s">
        <v>143</v>
      </c>
      <c r="E786" s="24" t="s">
        <v>979</v>
      </c>
      <c r="F786" s="67" t="s">
        <v>1761</v>
      </c>
      <c r="G786" s="11" t="s">
        <v>1752</v>
      </c>
      <c r="H786" s="11" t="s">
        <v>1063</v>
      </c>
      <c r="I786" s="12" t="s">
        <v>2990</v>
      </c>
      <c r="J786" s="25">
        <v>43601</v>
      </c>
      <c r="K786" s="25">
        <v>45001</v>
      </c>
      <c r="L786" s="26">
        <f t="shared" si="273"/>
        <v>83.983862903167676</v>
      </c>
      <c r="M786" s="27" t="s">
        <v>136</v>
      </c>
      <c r="N786" s="11" t="s">
        <v>261</v>
      </c>
      <c r="O786" s="11" t="s">
        <v>261</v>
      </c>
      <c r="P786" s="15" t="s">
        <v>138</v>
      </c>
      <c r="Q786" s="11" t="s">
        <v>34</v>
      </c>
      <c r="R786" s="2">
        <f t="shared" si="285"/>
        <v>21869408.230000008</v>
      </c>
      <c r="S786" s="2">
        <v>17635772.340000007</v>
      </c>
      <c r="T786" s="2">
        <v>4233635.8900000006</v>
      </c>
      <c r="U786" s="2">
        <f t="shared" si="282"/>
        <v>2835302.4500000007</v>
      </c>
      <c r="V786" s="28">
        <v>2095312.3900000004</v>
      </c>
      <c r="W786" s="28">
        <v>739990.06000000017</v>
      </c>
      <c r="X786" s="2">
        <f t="shared" si="284"/>
        <v>1335301.6200000001</v>
      </c>
      <c r="Y786" s="2">
        <v>1016882.74</v>
      </c>
      <c r="Z786" s="2">
        <v>318418.88</v>
      </c>
      <c r="AA786" s="2">
        <f t="shared" si="280"/>
        <v>0</v>
      </c>
      <c r="AB786" s="2">
        <v>0</v>
      </c>
      <c r="AC786" s="2">
        <v>0</v>
      </c>
      <c r="AD786" s="16">
        <f t="shared" si="283"/>
        <v>26040012.300000008</v>
      </c>
      <c r="AE786" s="37">
        <v>0</v>
      </c>
      <c r="AF786" s="2">
        <f t="shared" si="281"/>
        <v>26040012.300000008</v>
      </c>
      <c r="AG786" s="38" t="s">
        <v>486</v>
      </c>
      <c r="AH786" s="29" t="s">
        <v>1784</v>
      </c>
      <c r="AI786" s="30">
        <f>2000000-199893.91+842707.08+2000000-206973.2+1447144.25+1042685.44-170393.68+1315690.57+1512447.46+1178535.32-163734.87+1442951.1+2129883.35+850732.12+1312699.79+1517111.37</f>
        <v>17851592.190000001</v>
      </c>
      <c r="AJ786" s="30">
        <f>213844.09+224889.04+206973.2+174014.68+188172.46+250323.39+191023.95+206373.48+203572.86+187744.72+180385.78</f>
        <v>2227317.65</v>
      </c>
    </row>
    <row r="787" spans="1:36" s="179" customFormat="1" ht="239.25" customHeight="1" x14ac:dyDescent="0.25">
      <c r="A787" s="6">
        <v>784</v>
      </c>
      <c r="B787" s="162">
        <v>127562</v>
      </c>
      <c r="C787" s="162">
        <v>606</v>
      </c>
      <c r="D787" s="163" t="s">
        <v>143</v>
      </c>
      <c r="E787" s="164" t="s">
        <v>979</v>
      </c>
      <c r="F787" s="165" t="s">
        <v>1074</v>
      </c>
      <c r="G787" s="27" t="s">
        <v>1717</v>
      </c>
      <c r="H787" s="163" t="s">
        <v>1075</v>
      </c>
      <c r="I787" s="166" t="s">
        <v>2991</v>
      </c>
      <c r="J787" s="167">
        <v>43608</v>
      </c>
      <c r="K787" s="167">
        <v>44980</v>
      </c>
      <c r="L787" s="26">
        <f t="shared" si="273"/>
        <v>83.983863366468114</v>
      </c>
      <c r="M787" s="168" t="s">
        <v>136</v>
      </c>
      <c r="N787" s="163" t="s">
        <v>261</v>
      </c>
      <c r="O787" s="163" t="s">
        <v>137</v>
      </c>
      <c r="P787" s="169" t="s">
        <v>138</v>
      </c>
      <c r="Q787" s="163" t="s">
        <v>34</v>
      </c>
      <c r="R787" s="103">
        <f t="shared" si="285"/>
        <v>8877559.8300000001</v>
      </c>
      <c r="S787" s="103">
        <v>7158978.5700000003</v>
      </c>
      <c r="T787" s="103">
        <v>1718581.26</v>
      </c>
      <c r="U787" s="103">
        <f t="shared" si="282"/>
        <v>156211.62</v>
      </c>
      <c r="V787" s="53">
        <v>115441.7</v>
      </c>
      <c r="W787" s="53">
        <v>40769.919999999998</v>
      </c>
      <c r="X787" s="103">
        <f t="shared" si="284"/>
        <v>1536782.7899999998</v>
      </c>
      <c r="Y787" s="103">
        <v>1147907.3799999999</v>
      </c>
      <c r="Z787" s="103">
        <v>388875.41</v>
      </c>
      <c r="AA787" s="103">
        <f t="shared" si="280"/>
        <v>0</v>
      </c>
      <c r="AB787" s="103">
        <v>0</v>
      </c>
      <c r="AC787" s="103">
        <v>0</v>
      </c>
      <c r="AD787" s="16">
        <f t="shared" si="283"/>
        <v>10570554.239999998</v>
      </c>
      <c r="AE787" s="170">
        <v>0</v>
      </c>
      <c r="AF787" s="103">
        <f t="shared" si="281"/>
        <v>10570554.239999998</v>
      </c>
      <c r="AG787" s="38" t="s">
        <v>486</v>
      </c>
      <c r="AH787" s="171" t="s">
        <v>3307</v>
      </c>
      <c r="AI787" s="114">
        <f>100000+43931.12+109486.41+2111676.42+175527.94+180671.57+100000+68073.24+1333861.53+2004317.29+18100.2+20914.5+18483.6+100000+15623.52+34340.16+24250.34-11567.51+80879.4+600665.05+26246.78+82320+947830.52</f>
        <v>8185632.0800000001</v>
      </c>
      <c r="AJ787" s="114">
        <f>12721.6+24511.71+28611.12+19252.57+19773.82+11567.51+11773.56</f>
        <v>128211.89</v>
      </c>
    </row>
    <row r="788" spans="1:36" s="179" customFormat="1" ht="315.75" customHeight="1" x14ac:dyDescent="0.25">
      <c r="A788" s="6">
        <v>785</v>
      </c>
      <c r="B788" s="11">
        <v>116178</v>
      </c>
      <c r="C788" s="11">
        <v>403</v>
      </c>
      <c r="D788" s="11" t="s">
        <v>143</v>
      </c>
      <c r="E788" s="24" t="s">
        <v>373</v>
      </c>
      <c r="F788" s="27" t="s">
        <v>1124</v>
      </c>
      <c r="G788" s="11" t="s">
        <v>55</v>
      </c>
      <c r="H788" s="8" t="s">
        <v>151</v>
      </c>
      <c r="I788" s="12" t="s">
        <v>2992</v>
      </c>
      <c r="J788" s="25">
        <v>43640</v>
      </c>
      <c r="K788" s="25">
        <v>45162</v>
      </c>
      <c r="L788" s="26">
        <f t="shared" si="273"/>
        <v>83.983862989767033</v>
      </c>
      <c r="M788" s="27" t="s">
        <v>136</v>
      </c>
      <c r="N788" s="11" t="s">
        <v>261</v>
      </c>
      <c r="O788" s="11" t="s">
        <v>137</v>
      </c>
      <c r="P788" s="15" t="s">
        <v>138</v>
      </c>
      <c r="Q788" s="11" t="s">
        <v>34</v>
      </c>
      <c r="R788" s="2">
        <f t="shared" si="285"/>
        <v>2394035.5999999996</v>
      </c>
      <c r="S788" s="2">
        <v>1930581.13</v>
      </c>
      <c r="T788" s="2">
        <v>463454.47</v>
      </c>
      <c r="U788" s="2">
        <f t="shared" si="282"/>
        <v>0</v>
      </c>
      <c r="V788" s="28">
        <v>0</v>
      </c>
      <c r="W788" s="28">
        <v>0</v>
      </c>
      <c r="X788" s="2">
        <f t="shared" si="284"/>
        <v>456554.4</v>
      </c>
      <c r="Y788" s="2">
        <v>340690.78</v>
      </c>
      <c r="Z788" s="2">
        <v>115863.62</v>
      </c>
      <c r="AA788" s="2"/>
      <c r="AB788" s="2">
        <v>0</v>
      </c>
      <c r="AC788" s="2">
        <v>0</v>
      </c>
      <c r="AD788" s="16">
        <f t="shared" si="283"/>
        <v>2850589.9999999995</v>
      </c>
      <c r="AE788" s="37">
        <v>0</v>
      </c>
      <c r="AF788" s="2">
        <f t="shared" si="281"/>
        <v>2850589.9999999995</v>
      </c>
      <c r="AG788" s="38" t="s">
        <v>486</v>
      </c>
      <c r="AH788" s="29" t="s">
        <v>1791</v>
      </c>
      <c r="AI788" s="30">
        <v>0</v>
      </c>
      <c r="AJ788" s="30">
        <v>0</v>
      </c>
    </row>
    <row r="789" spans="1:36" s="179" customFormat="1" ht="315.75" customHeight="1" x14ac:dyDescent="0.25">
      <c r="A789" s="6">
        <v>786</v>
      </c>
      <c r="B789" s="11">
        <v>126949</v>
      </c>
      <c r="C789" s="11">
        <v>625</v>
      </c>
      <c r="D789" s="11" t="s">
        <v>144</v>
      </c>
      <c r="E789" s="24" t="s">
        <v>1151</v>
      </c>
      <c r="F789" s="27" t="s">
        <v>1152</v>
      </c>
      <c r="G789" s="11" t="s">
        <v>104</v>
      </c>
      <c r="H789" s="11" t="s">
        <v>1362</v>
      </c>
      <c r="I789" s="32" t="s">
        <v>1154</v>
      </c>
      <c r="J789" s="25">
        <v>43656</v>
      </c>
      <c r="K789" s="25">
        <v>45270</v>
      </c>
      <c r="L789" s="26">
        <f t="shared" si="273"/>
        <v>83.983862833823082</v>
      </c>
      <c r="M789" s="27" t="s">
        <v>136</v>
      </c>
      <c r="N789" s="11" t="s">
        <v>261</v>
      </c>
      <c r="O789" s="11" t="s">
        <v>137</v>
      </c>
      <c r="P789" s="15" t="s">
        <v>138</v>
      </c>
      <c r="Q789" s="11" t="s">
        <v>34</v>
      </c>
      <c r="R789" s="2">
        <f t="shared" si="285"/>
        <v>82900494.250000015</v>
      </c>
      <c r="S789" s="2">
        <v>66852025.910000011</v>
      </c>
      <c r="T789" s="2">
        <v>16048468.340000004</v>
      </c>
      <c r="U789" s="2">
        <f t="shared" si="282"/>
        <v>325867.2</v>
      </c>
      <c r="V789" s="28">
        <v>240818.61000000002</v>
      </c>
      <c r="W789" s="28">
        <v>85048.59</v>
      </c>
      <c r="X789" s="2">
        <f t="shared" si="284"/>
        <v>15483666.23</v>
      </c>
      <c r="Y789" s="2">
        <v>11556597.710000001</v>
      </c>
      <c r="Z789" s="2">
        <v>3927068.52</v>
      </c>
      <c r="AA789" s="2">
        <f t="shared" ref="AA789:AA799" si="286">AB789+AC789</f>
        <v>0</v>
      </c>
      <c r="AB789" s="2">
        <v>0</v>
      </c>
      <c r="AC789" s="2">
        <v>0</v>
      </c>
      <c r="AD789" s="16">
        <f t="shared" si="283"/>
        <v>98710027.680000022</v>
      </c>
      <c r="AE789" s="37">
        <v>93474.39</v>
      </c>
      <c r="AF789" s="2">
        <f t="shared" si="281"/>
        <v>98803502.070000023</v>
      </c>
      <c r="AG789" s="38" t="s">
        <v>486</v>
      </c>
      <c r="AH789" s="29" t="s">
        <v>3170</v>
      </c>
      <c r="AI789" s="30">
        <f>6062646.43+1213960.56+10776298+1604453.75+3219083.32+9956448.42+3077.08</f>
        <v>32835967.560000002</v>
      </c>
      <c r="AJ789" s="30">
        <f>1813.69+1983.14+8177.86+893.39+2319.81</f>
        <v>15187.889999999998</v>
      </c>
    </row>
    <row r="790" spans="1:36" s="179" customFormat="1" ht="141.75" x14ac:dyDescent="0.25">
      <c r="A790" s="6">
        <v>787</v>
      </c>
      <c r="B790" s="11">
        <v>127610</v>
      </c>
      <c r="C790" s="11">
        <v>583</v>
      </c>
      <c r="D790" s="11" t="s">
        <v>143</v>
      </c>
      <c r="E790" s="24" t="s">
        <v>979</v>
      </c>
      <c r="F790" s="27" t="s">
        <v>1160</v>
      </c>
      <c r="G790" s="11" t="s">
        <v>1161</v>
      </c>
      <c r="H790" s="27" t="s">
        <v>1351</v>
      </c>
      <c r="I790" s="32" t="s">
        <v>2993</v>
      </c>
      <c r="J790" s="25">
        <v>43658</v>
      </c>
      <c r="K790" s="25">
        <v>45272</v>
      </c>
      <c r="L790" s="26">
        <f t="shared" si="273"/>
        <v>83.983862997027984</v>
      </c>
      <c r="M790" s="27" t="s">
        <v>136</v>
      </c>
      <c r="N790" s="11" t="s">
        <v>261</v>
      </c>
      <c r="O790" s="11" t="s">
        <v>137</v>
      </c>
      <c r="P790" s="15" t="s">
        <v>138</v>
      </c>
      <c r="Q790" s="11" t="s">
        <v>34</v>
      </c>
      <c r="R790" s="2">
        <f t="shared" si="285"/>
        <v>7876805.3499999996</v>
      </c>
      <c r="S790" s="2">
        <v>6351957.2399999993</v>
      </c>
      <c r="T790" s="2">
        <v>1524848.1099999999</v>
      </c>
      <c r="U790" s="2">
        <f t="shared" si="282"/>
        <v>1304201.51</v>
      </c>
      <c r="V790" s="28">
        <v>963815.87999999989</v>
      </c>
      <c r="W790" s="28">
        <v>340385.63000000006</v>
      </c>
      <c r="X790" s="2">
        <f t="shared" si="284"/>
        <v>197944.13</v>
      </c>
      <c r="Y790" s="2">
        <v>157117.74</v>
      </c>
      <c r="Z790" s="2">
        <v>40826.39</v>
      </c>
      <c r="AA790" s="2">
        <f t="shared" si="286"/>
        <v>0</v>
      </c>
      <c r="AB790" s="2">
        <v>0</v>
      </c>
      <c r="AC790" s="2">
        <v>0</v>
      </c>
      <c r="AD790" s="16">
        <f t="shared" si="283"/>
        <v>9378950.9900000002</v>
      </c>
      <c r="AE790" s="37">
        <v>0</v>
      </c>
      <c r="AF790" s="2">
        <f t="shared" si="281"/>
        <v>9378950.9900000002</v>
      </c>
      <c r="AG790" s="38" t="s">
        <v>486</v>
      </c>
      <c r="AH790" s="29" t="s">
        <v>3256</v>
      </c>
      <c r="AI790" s="30">
        <f>393577.05+357286.8+354740.03+553936.93+315710.18+383572.03+370302.01+1222029.37+1228222.47</f>
        <v>5179376.87</v>
      </c>
      <c r="AJ790" s="30">
        <f>65684.38+59627.88+57903.71+90282.23+52034.76+61939.89+61800.01+202836.81+204979.08</f>
        <v>857088.75</v>
      </c>
    </row>
    <row r="791" spans="1:36" s="179" customFormat="1" ht="204.75" x14ac:dyDescent="0.25">
      <c r="A791" s="6">
        <v>788</v>
      </c>
      <c r="B791" s="11">
        <v>127961</v>
      </c>
      <c r="C791" s="11">
        <v>609</v>
      </c>
      <c r="D791" s="11" t="s">
        <v>143</v>
      </c>
      <c r="E791" s="24" t="s">
        <v>979</v>
      </c>
      <c r="F791" s="27" t="s">
        <v>1162</v>
      </c>
      <c r="G791" s="11" t="s">
        <v>117</v>
      </c>
      <c r="H791" s="11" t="s">
        <v>1163</v>
      </c>
      <c r="I791" s="32" t="s">
        <v>1164</v>
      </c>
      <c r="J791" s="25">
        <v>43662</v>
      </c>
      <c r="K791" s="25">
        <v>44911</v>
      </c>
      <c r="L791" s="26">
        <f t="shared" si="273"/>
        <v>83.659541944831759</v>
      </c>
      <c r="M791" s="27" t="s">
        <v>136</v>
      </c>
      <c r="N791" s="11" t="s">
        <v>261</v>
      </c>
      <c r="O791" s="11" t="s">
        <v>137</v>
      </c>
      <c r="P791" s="15" t="s">
        <v>138</v>
      </c>
      <c r="Q791" s="11" t="s">
        <v>34</v>
      </c>
      <c r="R791" s="2">
        <f t="shared" si="285"/>
        <v>19839980.340000004</v>
      </c>
      <c r="S791" s="2">
        <v>15999215.570000004</v>
      </c>
      <c r="T791" s="2">
        <v>3840764.7699999996</v>
      </c>
      <c r="U791" s="2">
        <f t="shared" si="282"/>
        <v>1684738.4299999997</v>
      </c>
      <c r="V791" s="28">
        <v>1250220.1999999997</v>
      </c>
      <c r="W791" s="28">
        <v>434518.22999999986</v>
      </c>
      <c r="X791" s="2">
        <f t="shared" si="284"/>
        <v>2098843.63</v>
      </c>
      <c r="Y791" s="2">
        <v>1573170.7</v>
      </c>
      <c r="Z791" s="2">
        <v>525672.93000000005</v>
      </c>
      <c r="AA791" s="2">
        <f t="shared" si="286"/>
        <v>91581</v>
      </c>
      <c r="AB791" s="2">
        <v>72969.23</v>
      </c>
      <c r="AC791" s="2">
        <v>18611.77</v>
      </c>
      <c r="AD791" s="16">
        <f t="shared" si="283"/>
        <v>23715143.400000002</v>
      </c>
      <c r="AE791" s="37">
        <v>144456</v>
      </c>
      <c r="AF791" s="2">
        <f t="shared" si="281"/>
        <v>23859599.400000002</v>
      </c>
      <c r="AG791" s="38" t="s">
        <v>486</v>
      </c>
      <c r="AH791" s="29" t="s">
        <v>3277</v>
      </c>
      <c r="AI791" s="30">
        <f>3893336.98+600000+670747.21+1225083.24+1175586.01+1095417.62+478619.58+208703.31+92292.05+157820.77</f>
        <v>9597606.7700000014</v>
      </c>
      <c r="AJ791" s="30">
        <f>600505.24+218404.22+200005.37+195152.46+66047.42+78592.57+25176.13+7419.41+19047.18</f>
        <v>1410349.9999999998</v>
      </c>
    </row>
    <row r="792" spans="1:36" s="179" customFormat="1" ht="141.75" x14ac:dyDescent="0.25">
      <c r="A792" s="6">
        <v>789</v>
      </c>
      <c r="B792" s="11">
        <v>129745</v>
      </c>
      <c r="C792" s="11">
        <v>745</v>
      </c>
      <c r="D792" s="11" t="s">
        <v>146</v>
      </c>
      <c r="E792" s="24" t="s">
        <v>1168</v>
      </c>
      <c r="F792" s="27" t="s">
        <v>1170</v>
      </c>
      <c r="G792" s="11" t="s">
        <v>1169</v>
      </c>
      <c r="H792" s="8" t="s">
        <v>151</v>
      </c>
      <c r="I792" s="32" t="s">
        <v>1171</v>
      </c>
      <c r="J792" s="25">
        <v>43663</v>
      </c>
      <c r="K792" s="25">
        <v>44943</v>
      </c>
      <c r="L792" s="26">
        <f t="shared" si="273"/>
        <v>83.983862931897576</v>
      </c>
      <c r="M792" s="27" t="s">
        <v>136</v>
      </c>
      <c r="N792" s="11" t="s">
        <v>261</v>
      </c>
      <c r="O792" s="11" t="s">
        <v>137</v>
      </c>
      <c r="P792" s="15" t="s">
        <v>138</v>
      </c>
      <c r="Q792" s="11" t="s">
        <v>34</v>
      </c>
      <c r="R792" s="2">
        <f t="shared" si="285"/>
        <v>20432953.940000001</v>
      </c>
      <c r="S792" s="2">
        <v>16477397.160000002</v>
      </c>
      <c r="T792" s="2">
        <v>3955556.7800000007</v>
      </c>
      <c r="U792" s="2">
        <f t="shared" si="282"/>
        <v>0</v>
      </c>
      <c r="V792" s="28">
        <v>0</v>
      </c>
      <c r="W792" s="28">
        <v>0</v>
      </c>
      <c r="X792" s="2">
        <f t="shared" si="284"/>
        <v>3896665.14</v>
      </c>
      <c r="Y792" s="2">
        <v>2907775.91</v>
      </c>
      <c r="Z792" s="2">
        <v>988889.23</v>
      </c>
      <c r="AA792" s="2">
        <f t="shared" si="286"/>
        <v>0</v>
      </c>
      <c r="AB792" s="2">
        <v>0</v>
      </c>
      <c r="AC792" s="2">
        <v>0</v>
      </c>
      <c r="AD792" s="16">
        <f t="shared" si="283"/>
        <v>24329619.080000002</v>
      </c>
      <c r="AE792" s="37">
        <v>1520052.49</v>
      </c>
      <c r="AF792" s="2">
        <f t="shared" si="281"/>
        <v>25849671.57</v>
      </c>
      <c r="AG792" s="38" t="s">
        <v>486</v>
      </c>
      <c r="AH792" s="29" t="s">
        <v>2228</v>
      </c>
      <c r="AI792" s="30">
        <f>199741.38+44946.79+2168542.7+2942194.64+5111233.94+2463319.11</f>
        <v>12929978.559999999</v>
      </c>
      <c r="AJ792" s="30">
        <v>0</v>
      </c>
    </row>
    <row r="793" spans="1:36" s="179" customFormat="1" ht="141.75" x14ac:dyDescent="0.25">
      <c r="A793" s="6">
        <v>790</v>
      </c>
      <c r="B793" s="11">
        <v>127604</v>
      </c>
      <c r="C793" s="11">
        <v>587</v>
      </c>
      <c r="D793" s="11" t="s">
        <v>1172</v>
      </c>
      <c r="E793" s="56" t="s">
        <v>979</v>
      </c>
      <c r="F793" s="27" t="s">
        <v>1173</v>
      </c>
      <c r="G793" s="11" t="s">
        <v>1174</v>
      </c>
      <c r="H793" s="8" t="s">
        <v>151</v>
      </c>
      <c r="I793" s="32" t="s">
        <v>2994</v>
      </c>
      <c r="J793" s="25">
        <v>43663</v>
      </c>
      <c r="K793" s="25">
        <v>45124</v>
      </c>
      <c r="L793" s="26">
        <f t="shared" si="273"/>
        <v>83.983862948661653</v>
      </c>
      <c r="M793" s="27" t="s">
        <v>136</v>
      </c>
      <c r="N793" s="11" t="s">
        <v>261</v>
      </c>
      <c r="O793" s="11" t="s">
        <v>137</v>
      </c>
      <c r="P793" s="15" t="s">
        <v>138</v>
      </c>
      <c r="Q793" s="11" t="s">
        <v>34</v>
      </c>
      <c r="R793" s="2">
        <f t="shared" si="285"/>
        <v>8022963.2600000007</v>
      </c>
      <c r="S793" s="2">
        <v>6469820.9200000009</v>
      </c>
      <c r="T793" s="2">
        <v>1553142.3399999999</v>
      </c>
      <c r="U793" s="2">
        <f t="shared" si="282"/>
        <v>1338959.0399999996</v>
      </c>
      <c r="V793" s="28">
        <v>989501.9099999998</v>
      </c>
      <c r="W793" s="28">
        <v>349457.12999999989</v>
      </c>
      <c r="X793" s="2">
        <f t="shared" si="284"/>
        <v>191059.63999999998</v>
      </c>
      <c r="Y793" s="2">
        <v>152231.12</v>
      </c>
      <c r="Z793" s="2">
        <v>38828.519999999997</v>
      </c>
      <c r="AA793" s="2">
        <f t="shared" si="286"/>
        <v>0</v>
      </c>
      <c r="AB793" s="2">
        <v>0</v>
      </c>
      <c r="AC793" s="2">
        <v>0</v>
      </c>
      <c r="AD793" s="16">
        <f t="shared" si="283"/>
        <v>9552981.9400000013</v>
      </c>
      <c r="AE793" s="37">
        <v>0</v>
      </c>
      <c r="AF793" s="2">
        <f t="shared" si="281"/>
        <v>9552981.9400000013</v>
      </c>
      <c r="AG793" s="38" t="s">
        <v>486</v>
      </c>
      <c r="AH793" s="29" t="s">
        <v>3167</v>
      </c>
      <c r="AI793" s="30">
        <f>729184.89+95917.97+120762.01+115641.58+1026419.93+305742.66+206945.91+1054673.91+771038.97+866974.12</f>
        <v>5293301.95</v>
      </c>
      <c r="AJ793" s="30">
        <f>121694.28+16007.83+20154.08+19299.52+171300.07+51025.63+34537.39+176015.41+128679.33+144690.07</f>
        <v>883403.6100000001</v>
      </c>
    </row>
    <row r="794" spans="1:36" s="179" customFormat="1" ht="141.75" x14ac:dyDescent="0.25">
      <c r="A794" s="6">
        <v>791</v>
      </c>
      <c r="B794" s="11">
        <v>127638</v>
      </c>
      <c r="C794" s="11">
        <v>607</v>
      </c>
      <c r="D794" s="11" t="s">
        <v>1172</v>
      </c>
      <c r="E794" s="56" t="s">
        <v>979</v>
      </c>
      <c r="F794" s="27" t="s">
        <v>1178</v>
      </c>
      <c r="G794" s="27" t="s">
        <v>1346</v>
      </c>
      <c r="H794" s="11" t="s">
        <v>1224</v>
      </c>
      <c r="I794" s="32" t="s">
        <v>2995</v>
      </c>
      <c r="J794" s="25">
        <v>43670</v>
      </c>
      <c r="K794" s="25">
        <v>44766</v>
      </c>
      <c r="L794" s="26">
        <f t="shared" ref="L794:L846" si="287">R794/AD794*100</f>
        <v>83.983862864065983</v>
      </c>
      <c r="M794" s="27" t="s">
        <v>136</v>
      </c>
      <c r="N794" s="11" t="s">
        <v>261</v>
      </c>
      <c r="O794" s="11" t="s">
        <v>137</v>
      </c>
      <c r="P794" s="15" t="s">
        <v>138</v>
      </c>
      <c r="Q794" s="11" t="s">
        <v>34</v>
      </c>
      <c r="R794" s="2">
        <f t="shared" si="285"/>
        <v>17926249.02</v>
      </c>
      <c r="S794" s="2">
        <v>14455958</v>
      </c>
      <c r="T794" s="2">
        <v>3470291.02</v>
      </c>
      <c r="U794" s="2">
        <f t="shared" si="282"/>
        <v>1799975.77</v>
      </c>
      <c r="V794" s="28">
        <v>1330197.26</v>
      </c>
      <c r="W794" s="28">
        <v>469778.51</v>
      </c>
      <c r="X794" s="2">
        <f t="shared" si="284"/>
        <v>1618648.39</v>
      </c>
      <c r="Y794" s="2">
        <v>1220854.1599999999</v>
      </c>
      <c r="Z794" s="2">
        <v>397794.23</v>
      </c>
      <c r="AA794" s="2">
        <f t="shared" si="286"/>
        <v>0</v>
      </c>
      <c r="AB794" s="2">
        <v>0</v>
      </c>
      <c r="AC794" s="2">
        <v>0</v>
      </c>
      <c r="AD794" s="16">
        <f t="shared" si="283"/>
        <v>21344873.18</v>
      </c>
      <c r="AE794" s="37">
        <v>0</v>
      </c>
      <c r="AF794" s="2">
        <f t="shared" ref="AF794:AF799" si="288">AD794+AE794</f>
        <v>21344873.18</v>
      </c>
      <c r="AG794" s="38" t="s">
        <v>857</v>
      </c>
      <c r="AH794" s="29" t="s">
        <v>151</v>
      </c>
      <c r="AI794" s="30">
        <f>1253535.02+958175.23+986010.03+1413603.49+1541889.98+1203331.37+2085605.8+2041528.28+1082195.91+1042056.65+987179.85</f>
        <v>14595111.609999999</v>
      </c>
      <c r="AJ794" s="30">
        <f>16365.18+65426.77+64307.58+61461.32+88364.69+105947.71+83736.75+222388.59+257281.88+106996.1+102790.43+104379.69</f>
        <v>1279446.69</v>
      </c>
    </row>
    <row r="795" spans="1:36" s="179" customFormat="1" ht="154.5" customHeight="1" x14ac:dyDescent="0.25">
      <c r="A795" s="6">
        <v>792</v>
      </c>
      <c r="B795" s="11">
        <v>126229</v>
      </c>
      <c r="C795" s="11">
        <v>639</v>
      </c>
      <c r="D795" s="11" t="s">
        <v>145</v>
      </c>
      <c r="E795" s="56" t="s">
        <v>1179</v>
      </c>
      <c r="F795" s="27" t="s">
        <v>1180</v>
      </c>
      <c r="G795" s="11" t="s">
        <v>99</v>
      </c>
      <c r="H795" s="11" t="s">
        <v>1181</v>
      </c>
      <c r="I795" s="32" t="s">
        <v>1182</v>
      </c>
      <c r="J795" s="25">
        <v>43670</v>
      </c>
      <c r="K795" s="25">
        <v>45131</v>
      </c>
      <c r="L795" s="26">
        <f t="shared" si="287"/>
        <v>83.98386251323501</v>
      </c>
      <c r="M795" s="27" t="s">
        <v>136</v>
      </c>
      <c r="N795" s="11" t="s">
        <v>261</v>
      </c>
      <c r="O795" s="11" t="s">
        <v>137</v>
      </c>
      <c r="P795" s="15" t="s">
        <v>138</v>
      </c>
      <c r="Q795" s="11" t="s">
        <v>34</v>
      </c>
      <c r="R795" s="2">
        <f t="shared" si="285"/>
        <v>4825816.88</v>
      </c>
      <c r="S795" s="2">
        <v>3891600.89</v>
      </c>
      <c r="T795" s="2">
        <v>934215.99</v>
      </c>
      <c r="U795" s="2">
        <f t="shared" si="282"/>
        <v>0</v>
      </c>
      <c r="V795" s="28">
        <v>0</v>
      </c>
      <c r="W795" s="28">
        <v>0</v>
      </c>
      <c r="X795" s="2">
        <f t="shared" si="284"/>
        <v>920307.12</v>
      </c>
      <c r="Y795" s="2">
        <v>686753.08</v>
      </c>
      <c r="Z795" s="2">
        <v>233554.04</v>
      </c>
      <c r="AA795" s="2">
        <f t="shared" si="286"/>
        <v>0</v>
      </c>
      <c r="AB795" s="2">
        <v>0</v>
      </c>
      <c r="AC795" s="2">
        <v>0</v>
      </c>
      <c r="AD795" s="16">
        <f t="shared" si="283"/>
        <v>5746124</v>
      </c>
      <c r="AE795" s="37">
        <v>0</v>
      </c>
      <c r="AF795" s="37">
        <f t="shared" si="288"/>
        <v>5746124</v>
      </c>
      <c r="AG795" s="38" t="s">
        <v>486</v>
      </c>
      <c r="AH795" s="29" t="s">
        <v>2461</v>
      </c>
      <c r="AI795" s="172">
        <f>145280.83+37694.12+28968.97+15635.27+94474.87+29236.46+15273.3+12464.88+61117.57+28298.36+8035.58</f>
        <v>476480.20999999996</v>
      </c>
      <c r="AJ795" s="172">
        <v>0</v>
      </c>
    </row>
    <row r="796" spans="1:36" s="179" customFormat="1" ht="154.5" customHeight="1" x14ac:dyDescent="0.25">
      <c r="A796" s="6">
        <v>793</v>
      </c>
      <c r="B796" s="11">
        <v>127545</v>
      </c>
      <c r="C796" s="11">
        <v>613</v>
      </c>
      <c r="D796" s="11" t="s">
        <v>143</v>
      </c>
      <c r="E796" s="56" t="s">
        <v>979</v>
      </c>
      <c r="F796" s="27" t="s">
        <v>1190</v>
      </c>
      <c r="G796" s="27" t="s">
        <v>74</v>
      </c>
      <c r="H796" s="11" t="s">
        <v>1191</v>
      </c>
      <c r="I796" s="32" t="s">
        <v>2996</v>
      </c>
      <c r="J796" s="25">
        <v>43677</v>
      </c>
      <c r="K796" s="25">
        <v>45138</v>
      </c>
      <c r="L796" s="26">
        <f t="shared" si="287"/>
        <v>83.484031375794231</v>
      </c>
      <c r="M796" s="27" t="s">
        <v>136</v>
      </c>
      <c r="N796" s="11" t="s">
        <v>261</v>
      </c>
      <c r="O796" s="11" t="s">
        <v>137</v>
      </c>
      <c r="P796" s="15" t="s">
        <v>138</v>
      </c>
      <c r="Q796" s="11" t="s">
        <v>34</v>
      </c>
      <c r="R796" s="2">
        <f t="shared" si="285"/>
        <v>20871001.039999999</v>
      </c>
      <c r="S796" s="2">
        <v>16830644</v>
      </c>
      <c r="T796" s="2">
        <v>4040357.04</v>
      </c>
      <c r="U796" s="2">
        <f t="shared" si="282"/>
        <v>1167673.8599999999</v>
      </c>
      <c r="V796" s="28">
        <v>871343.51</v>
      </c>
      <c r="W796" s="28">
        <v>296330.34999999998</v>
      </c>
      <c r="X796" s="2">
        <f t="shared" si="284"/>
        <v>2812529.02</v>
      </c>
      <c r="Y796" s="2">
        <v>2098770.06</v>
      </c>
      <c r="Z796" s="2">
        <v>713758.96</v>
      </c>
      <c r="AA796" s="2">
        <f t="shared" si="286"/>
        <v>148787.93</v>
      </c>
      <c r="AB796" s="2">
        <v>118550.13</v>
      </c>
      <c r="AC796" s="2">
        <v>30237.8</v>
      </c>
      <c r="AD796" s="16">
        <f t="shared" si="283"/>
        <v>24999991.849999998</v>
      </c>
      <c r="AE796" s="37">
        <v>0</v>
      </c>
      <c r="AF796" s="37">
        <f t="shared" si="288"/>
        <v>24999991.849999998</v>
      </c>
      <c r="AG796" s="38" t="s">
        <v>486</v>
      </c>
      <c r="AH796" s="29" t="s">
        <v>1863</v>
      </c>
      <c r="AI796" s="30">
        <f>2441026.11+1058725.31+1022971.17+454217.09+657211.52-100086.86+1278335.91+1000077.5+633864.98+505124.39+446848.64-97241.55+2032691.16-97752.91+1364370.77+610340.08-77956.18+1305164.34</f>
        <v>14437931.469999999</v>
      </c>
      <c r="AJ796" s="30">
        <f>75306.49+85584.09+86633.56+94084.22+105259.9+100086.86+101520.68+71567.89+97241.55+97752.91+77956.18</f>
        <v>992994.33000000007</v>
      </c>
    </row>
    <row r="797" spans="1:36" s="179" customFormat="1" ht="154.5" customHeight="1" x14ac:dyDescent="0.25">
      <c r="A797" s="6">
        <v>794</v>
      </c>
      <c r="B797" s="31">
        <v>127380</v>
      </c>
      <c r="C797" s="31">
        <v>577</v>
      </c>
      <c r="D797" s="11" t="s">
        <v>143</v>
      </c>
      <c r="E797" s="56" t="s">
        <v>979</v>
      </c>
      <c r="F797" s="67" t="s">
        <v>1193</v>
      </c>
      <c r="G797" s="27" t="s">
        <v>1348</v>
      </c>
      <c r="H797" s="8" t="s">
        <v>151</v>
      </c>
      <c r="I797" s="32" t="s">
        <v>2997</v>
      </c>
      <c r="J797" s="25">
        <v>43679</v>
      </c>
      <c r="K797" s="25">
        <v>44836</v>
      </c>
      <c r="L797" s="26">
        <f t="shared" si="287"/>
        <v>83.983862948260466</v>
      </c>
      <c r="M797" s="27" t="s">
        <v>136</v>
      </c>
      <c r="N797" s="11" t="s">
        <v>261</v>
      </c>
      <c r="O797" s="11" t="s">
        <v>137</v>
      </c>
      <c r="P797" s="15" t="s">
        <v>138</v>
      </c>
      <c r="Q797" s="11" t="s">
        <v>34</v>
      </c>
      <c r="R797" s="2">
        <f t="shared" si="285"/>
        <v>7020649.5500000007</v>
      </c>
      <c r="S797" s="2">
        <v>5661542.1600000001</v>
      </c>
      <c r="T797" s="2">
        <v>1359107.3900000004</v>
      </c>
      <c r="U797" s="2">
        <f t="shared" si="282"/>
        <v>0</v>
      </c>
      <c r="V797" s="28">
        <v>0</v>
      </c>
      <c r="W797" s="28">
        <v>0</v>
      </c>
      <c r="X797" s="2">
        <f t="shared" si="284"/>
        <v>1338872.51</v>
      </c>
      <c r="Y797" s="2">
        <v>999095.7</v>
      </c>
      <c r="Z797" s="2">
        <v>339776.81</v>
      </c>
      <c r="AA797" s="2">
        <f t="shared" si="286"/>
        <v>0</v>
      </c>
      <c r="AB797" s="2">
        <v>0</v>
      </c>
      <c r="AC797" s="2">
        <v>0</v>
      </c>
      <c r="AD797" s="16">
        <f t="shared" si="283"/>
        <v>8359522.0600000005</v>
      </c>
      <c r="AE797" s="37">
        <v>0</v>
      </c>
      <c r="AF797" s="37">
        <f t="shared" si="288"/>
        <v>8359522.0600000005</v>
      </c>
      <c r="AG797" s="38" t="s">
        <v>857</v>
      </c>
      <c r="AH797" s="29" t="s">
        <v>2064</v>
      </c>
      <c r="AI797" s="173">
        <f>763188.96+122256.99+52534.43+742881.78+974677.25+895732.41+52534.43+813428.22+52534.43+773502.3</f>
        <v>5243271.2</v>
      </c>
      <c r="AJ797" s="173">
        <v>0</v>
      </c>
    </row>
    <row r="798" spans="1:36" s="179" customFormat="1" ht="154.5" customHeight="1" x14ac:dyDescent="0.25">
      <c r="A798" s="6">
        <v>795</v>
      </c>
      <c r="B798" s="31">
        <v>127401</v>
      </c>
      <c r="C798" s="31">
        <v>599</v>
      </c>
      <c r="D798" s="174" t="s">
        <v>143</v>
      </c>
      <c r="E798" s="174" t="s">
        <v>979</v>
      </c>
      <c r="F798" s="67" t="s">
        <v>1194</v>
      </c>
      <c r="G798" s="27" t="s">
        <v>2005</v>
      </c>
      <c r="H798" s="8" t="s">
        <v>151</v>
      </c>
      <c r="I798" s="32" t="s">
        <v>2998</v>
      </c>
      <c r="J798" s="25">
        <v>43677</v>
      </c>
      <c r="K798" s="25">
        <v>45291</v>
      </c>
      <c r="L798" s="26">
        <f t="shared" si="287"/>
        <v>83.983862769687562</v>
      </c>
      <c r="M798" s="27" t="s">
        <v>136</v>
      </c>
      <c r="N798" s="11" t="s">
        <v>261</v>
      </c>
      <c r="O798" s="11" t="s">
        <v>137</v>
      </c>
      <c r="P798" s="15" t="s">
        <v>138</v>
      </c>
      <c r="Q798" s="11" t="s">
        <v>34</v>
      </c>
      <c r="R798" s="2">
        <f t="shared" si="285"/>
        <v>3643193.6799999992</v>
      </c>
      <c r="S798" s="2">
        <v>2937918.2999999993</v>
      </c>
      <c r="T798" s="2">
        <v>705275.38</v>
      </c>
      <c r="U798" s="2">
        <f t="shared" si="282"/>
        <v>0</v>
      </c>
      <c r="V798" s="28">
        <v>0</v>
      </c>
      <c r="W798" s="28">
        <v>0</v>
      </c>
      <c r="X798" s="2">
        <f t="shared" si="284"/>
        <v>694775.02</v>
      </c>
      <c r="Y798" s="2">
        <v>518456.16</v>
      </c>
      <c r="Z798" s="2">
        <v>176318.86</v>
      </c>
      <c r="AA798" s="2">
        <f t="shared" si="286"/>
        <v>0</v>
      </c>
      <c r="AB798" s="2">
        <v>0</v>
      </c>
      <c r="AC798" s="2">
        <v>0</v>
      </c>
      <c r="AD798" s="16">
        <f t="shared" si="283"/>
        <v>4337968.6999999993</v>
      </c>
      <c r="AE798" s="37">
        <v>0</v>
      </c>
      <c r="AF798" s="37">
        <f t="shared" si="288"/>
        <v>4337968.6999999993</v>
      </c>
      <c r="AG798" s="38" t="s">
        <v>486</v>
      </c>
      <c r="AH798" s="29" t="s">
        <v>2054</v>
      </c>
      <c r="AI798" s="173">
        <f>69137.6+3347.53+168654.25</f>
        <v>241139.38</v>
      </c>
      <c r="AJ798" s="173">
        <v>0</v>
      </c>
    </row>
    <row r="799" spans="1:36" s="179" customFormat="1" ht="267.75" x14ac:dyDescent="0.25">
      <c r="A799" s="6">
        <v>796</v>
      </c>
      <c r="B799" s="31">
        <v>126656</v>
      </c>
      <c r="C799" s="31">
        <v>588</v>
      </c>
      <c r="D799" s="11" t="s">
        <v>143</v>
      </c>
      <c r="E799" s="174" t="s">
        <v>979</v>
      </c>
      <c r="F799" s="67" t="s">
        <v>1198</v>
      </c>
      <c r="G799" s="11" t="s">
        <v>1397</v>
      </c>
      <c r="H799" s="11" t="s">
        <v>1199</v>
      </c>
      <c r="I799" s="32" t="s">
        <v>2999</v>
      </c>
      <c r="J799" s="25">
        <v>43679</v>
      </c>
      <c r="K799" s="25">
        <v>44897</v>
      </c>
      <c r="L799" s="26">
        <f t="shared" si="287"/>
        <v>83.983863236326329</v>
      </c>
      <c r="M799" s="27" t="s">
        <v>136</v>
      </c>
      <c r="N799" s="11" t="s">
        <v>261</v>
      </c>
      <c r="O799" s="11" t="s">
        <v>137</v>
      </c>
      <c r="P799" s="15" t="s">
        <v>138</v>
      </c>
      <c r="Q799" s="11" t="s">
        <v>34</v>
      </c>
      <c r="R799" s="2">
        <f t="shared" si="285"/>
        <v>15554651.309999999</v>
      </c>
      <c r="S799" s="2">
        <v>12543471.059999999</v>
      </c>
      <c r="T799" s="2">
        <v>3011180.2500000009</v>
      </c>
      <c r="U799" s="2">
        <f t="shared" si="282"/>
        <v>350403.41000000003</v>
      </c>
      <c r="V799" s="28">
        <v>258951.08000000002</v>
      </c>
      <c r="W799" s="28">
        <v>91452.33</v>
      </c>
      <c r="X799" s="2">
        <f t="shared" si="284"/>
        <v>2615945.2800000003</v>
      </c>
      <c r="Y799" s="2">
        <v>1954602.59</v>
      </c>
      <c r="Z799" s="2">
        <v>661342.68999999994</v>
      </c>
      <c r="AA799" s="2">
        <f t="shared" si="286"/>
        <v>0</v>
      </c>
      <c r="AB799" s="2">
        <v>0</v>
      </c>
      <c r="AC799" s="2">
        <v>0</v>
      </c>
      <c r="AD799" s="16">
        <f t="shared" si="283"/>
        <v>18521000</v>
      </c>
      <c r="AE799" s="37">
        <v>0</v>
      </c>
      <c r="AF799" s="37">
        <f t="shared" si="288"/>
        <v>18521000</v>
      </c>
      <c r="AG799" s="38" t="s">
        <v>486</v>
      </c>
      <c r="AH799" s="175" t="s">
        <v>2462</v>
      </c>
      <c r="AI799" s="176">
        <f>2878878.12+420598.37+575376.98+8321784.61+46957.9+206199.7+301714.27</f>
        <v>12751509.949999999</v>
      </c>
      <c r="AJ799" s="176">
        <f>23069.09+56020.34+56397.11+34412.84+50353.34</f>
        <v>220252.71999999997</v>
      </c>
    </row>
    <row r="800" spans="1:36" s="179" customFormat="1" ht="141.75" x14ac:dyDescent="0.25">
      <c r="A800" s="6">
        <v>797</v>
      </c>
      <c r="B800" s="31">
        <v>127529</v>
      </c>
      <c r="C800" s="31">
        <v>618</v>
      </c>
      <c r="D800" s="11" t="s">
        <v>143</v>
      </c>
      <c r="E800" s="174" t="s">
        <v>979</v>
      </c>
      <c r="F800" s="67" t="s">
        <v>1209</v>
      </c>
      <c r="G800" s="27" t="s">
        <v>1348</v>
      </c>
      <c r="H800" s="8" t="s">
        <v>151</v>
      </c>
      <c r="I800" s="32" t="s">
        <v>1210</v>
      </c>
      <c r="J800" s="25">
        <v>43683</v>
      </c>
      <c r="K800" s="25">
        <v>45022</v>
      </c>
      <c r="L800" s="26">
        <f t="shared" si="287"/>
        <v>83.983862894119284</v>
      </c>
      <c r="M800" s="27" t="s">
        <v>136</v>
      </c>
      <c r="N800" s="11" t="s">
        <v>261</v>
      </c>
      <c r="O800" s="11" t="s">
        <v>137</v>
      </c>
      <c r="P800" s="15" t="s">
        <v>138</v>
      </c>
      <c r="Q800" s="11" t="s">
        <v>34</v>
      </c>
      <c r="R800" s="2">
        <f t="shared" si="285"/>
        <v>12609023.470000001</v>
      </c>
      <c r="S800" s="2">
        <v>10168078.890000001</v>
      </c>
      <c r="T800" s="2">
        <v>2440944.58</v>
      </c>
      <c r="U800" s="2">
        <v>0</v>
      </c>
      <c r="V800" s="28">
        <v>0</v>
      </c>
      <c r="W800" s="28">
        <v>0</v>
      </c>
      <c r="X800" s="2">
        <f t="shared" si="284"/>
        <v>2404603</v>
      </c>
      <c r="Y800" s="2">
        <v>1794366.83</v>
      </c>
      <c r="Z800" s="2">
        <v>610236.17000000004</v>
      </c>
      <c r="AA800" s="2">
        <v>0</v>
      </c>
      <c r="AB800" s="2">
        <v>0</v>
      </c>
      <c r="AC800" s="2">
        <v>0</v>
      </c>
      <c r="AD800" s="16">
        <f t="shared" si="283"/>
        <v>15013626.470000001</v>
      </c>
      <c r="AE800" s="37">
        <v>0</v>
      </c>
      <c r="AF800" s="37">
        <v>15013626.470000001</v>
      </c>
      <c r="AG800" s="38" t="s">
        <v>486</v>
      </c>
      <c r="AH800" s="175" t="s">
        <v>1954</v>
      </c>
      <c r="AI800" s="173">
        <f>1290323.25+62422.68+65015.25+128450.8+49284.26+52463.06+552743.17+1588802.51+52675.52+52450.46</f>
        <v>3894630.9600000004</v>
      </c>
      <c r="AJ800" s="173">
        <v>0</v>
      </c>
    </row>
    <row r="801" spans="1:36" s="179" customFormat="1" ht="162" customHeight="1" x14ac:dyDescent="0.25">
      <c r="A801" s="6">
        <v>798</v>
      </c>
      <c r="B801" s="31">
        <v>127558</v>
      </c>
      <c r="C801" s="31">
        <v>617</v>
      </c>
      <c r="D801" s="11" t="s">
        <v>143</v>
      </c>
      <c r="E801" s="174" t="s">
        <v>979</v>
      </c>
      <c r="F801" s="67" t="s">
        <v>1216</v>
      </c>
      <c r="G801" s="27" t="s">
        <v>1153</v>
      </c>
      <c r="H801" s="11" t="s">
        <v>1217</v>
      </c>
      <c r="I801" s="32" t="s">
        <v>3000</v>
      </c>
      <c r="J801" s="25">
        <v>43690</v>
      </c>
      <c r="K801" s="25">
        <v>44970</v>
      </c>
      <c r="L801" s="26">
        <f t="shared" si="287"/>
        <v>83.983863362709897</v>
      </c>
      <c r="M801" s="27" t="s">
        <v>136</v>
      </c>
      <c r="N801" s="11" t="s">
        <v>261</v>
      </c>
      <c r="O801" s="11" t="s">
        <v>137</v>
      </c>
      <c r="P801" s="15" t="s">
        <v>138</v>
      </c>
      <c r="Q801" s="11" t="s">
        <v>34</v>
      </c>
      <c r="R801" s="2">
        <f t="shared" ref="R801:R846" si="289">S801+T801</f>
        <v>5192279.45</v>
      </c>
      <c r="S801" s="2">
        <v>4187120.98</v>
      </c>
      <c r="T801" s="2">
        <v>1005158.4699999999</v>
      </c>
      <c r="U801" s="2">
        <f t="shared" ref="U801:U846" si="290">V801+W801</f>
        <v>582523.55999999994</v>
      </c>
      <c r="V801" s="28">
        <v>430489.84999999992</v>
      </c>
      <c r="W801" s="28">
        <v>152033.71</v>
      </c>
      <c r="X801" s="2">
        <f t="shared" ref="X801:X846" si="291">Y801+Z801</f>
        <v>407669.72000000003</v>
      </c>
      <c r="Y801" s="2">
        <v>308413.84000000003</v>
      </c>
      <c r="Z801" s="2">
        <v>99255.88</v>
      </c>
      <c r="AA801" s="2">
        <f t="shared" ref="AA801:AA836" si="292">AB801+AC801</f>
        <v>0</v>
      </c>
      <c r="AB801" s="2">
        <v>0</v>
      </c>
      <c r="AC801" s="2">
        <v>0</v>
      </c>
      <c r="AD801" s="16">
        <f t="shared" si="283"/>
        <v>6182472.7299999995</v>
      </c>
      <c r="AE801" s="37">
        <v>0</v>
      </c>
      <c r="AF801" s="37">
        <f t="shared" ref="AF801:AF846" si="293">AD801+AE801</f>
        <v>6182472.7299999995</v>
      </c>
      <c r="AG801" s="38" t="s">
        <v>486</v>
      </c>
      <c r="AH801" s="175" t="s">
        <v>2374</v>
      </c>
      <c r="AI801" s="30">
        <f>188227.39+57274.01+67960.59-9998.28+9998.28+301092.15+71242.01+126125.29+1594439.52</f>
        <v>2406360.96</v>
      </c>
      <c r="AJ801" s="30">
        <f>3394.43+5680.37+5952.09+43552.5+4161.57+11329.8+199477.23</f>
        <v>273547.99</v>
      </c>
    </row>
    <row r="802" spans="1:36" s="179" customFormat="1" ht="236.25" x14ac:dyDescent="0.25">
      <c r="A802" s="6">
        <v>799</v>
      </c>
      <c r="B802" s="31">
        <v>125764</v>
      </c>
      <c r="C802" s="31">
        <v>586</v>
      </c>
      <c r="D802" s="11" t="s">
        <v>143</v>
      </c>
      <c r="E802" s="174" t="s">
        <v>979</v>
      </c>
      <c r="F802" s="67" t="s">
        <v>1218</v>
      </c>
      <c r="G802" s="27" t="s">
        <v>1353</v>
      </c>
      <c r="H802" s="8" t="s">
        <v>151</v>
      </c>
      <c r="I802" s="32" t="s">
        <v>3001</v>
      </c>
      <c r="J802" s="25">
        <v>43690</v>
      </c>
      <c r="K802" s="25">
        <v>45212</v>
      </c>
      <c r="L802" s="26">
        <f t="shared" si="287"/>
        <v>83.983863083303191</v>
      </c>
      <c r="M802" s="27" t="s">
        <v>136</v>
      </c>
      <c r="N802" s="11" t="s">
        <v>261</v>
      </c>
      <c r="O802" s="11" t="s">
        <v>137</v>
      </c>
      <c r="P802" s="15" t="s">
        <v>138</v>
      </c>
      <c r="Q802" s="11" t="s">
        <v>34</v>
      </c>
      <c r="R802" s="2">
        <f t="shared" si="289"/>
        <v>13100178.379999995</v>
      </c>
      <c r="S802" s="2">
        <v>10564152.539999997</v>
      </c>
      <c r="T802" s="2">
        <v>2536025.8399999989</v>
      </c>
      <c r="U802" s="2">
        <f t="shared" si="290"/>
        <v>0</v>
      </c>
      <c r="V802" s="28">
        <v>0</v>
      </c>
      <c r="W802" s="28">
        <v>0</v>
      </c>
      <c r="X802" s="2">
        <f t="shared" si="291"/>
        <v>2498268.63</v>
      </c>
      <c r="Y802" s="2">
        <v>1864262.14</v>
      </c>
      <c r="Z802" s="2">
        <v>634006.49</v>
      </c>
      <c r="AA802" s="2">
        <f t="shared" si="292"/>
        <v>0</v>
      </c>
      <c r="AB802" s="2">
        <v>0</v>
      </c>
      <c r="AC802" s="2">
        <v>0</v>
      </c>
      <c r="AD802" s="16">
        <f t="shared" si="283"/>
        <v>15598447.009999994</v>
      </c>
      <c r="AE802" s="37">
        <v>0</v>
      </c>
      <c r="AF802" s="37">
        <f t="shared" si="293"/>
        <v>15598447.009999994</v>
      </c>
      <c r="AG802" s="38" t="s">
        <v>486</v>
      </c>
      <c r="AH802" s="175" t="s">
        <v>3301</v>
      </c>
      <c r="AI802" s="30">
        <f>407379.82+60533.9+49990.55+46307.86+30894.3+41391.45+52715.83+137747.67+32200.26+1142343.96</f>
        <v>2001505.6</v>
      </c>
      <c r="AJ802" s="30">
        <v>0</v>
      </c>
    </row>
    <row r="803" spans="1:36" s="179" customFormat="1" ht="173.25" x14ac:dyDescent="0.25">
      <c r="A803" s="6">
        <v>800</v>
      </c>
      <c r="B803" s="31">
        <v>127462</v>
      </c>
      <c r="C803" s="31">
        <v>581</v>
      </c>
      <c r="D803" s="11" t="s">
        <v>143</v>
      </c>
      <c r="E803" s="174" t="s">
        <v>979</v>
      </c>
      <c r="F803" s="67" t="s">
        <v>1219</v>
      </c>
      <c r="G803" s="27" t="s">
        <v>1220</v>
      </c>
      <c r="H803" s="11" t="s">
        <v>1221</v>
      </c>
      <c r="I803" s="32" t="s">
        <v>3002</v>
      </c>
      <c r="J803" s="25">
        <v>43690</v>
      </c>
      <c r="K803" s="25">
        <v>44908</v>
      </c>
      <c r="L803" s="26">
        <f t="shared" si="287"/>
        <v>83.81974496254557</v>
      </c>
      <c r="M803" s="27" t="s">
        <v>136</v>
      </c>
      <c r="N803" s="11" t="s">
        <v>261</v>
      </c>
      <c r="O803" s="11" t="s">
        <v>137</v>
      </c>
      <c r="P803" s="15" t="s">
        <v>138</v>
      </c>
      <c r="Q803" s="11" t="s">
        <v>34</v>
      </c>
      <c r="R803" s="2">
        <f t="shared" si="289"/>
        <v>16722840.989999998</v>
      </c>
      <c r="S803" s="2">
        <v>13485514.289999999</v>
      </c>
      <c r="T803" s="2">
        <v>3237326.7</v>
      </c>
      <c r="U803" s="2">
        <f t="shared" si="290"/>
        <v>2829096.54</v>
      </c>
      <c r="V803" s="28">
        <v>2092933.21</v>
      </c>
      <c r="W803" s="28">
        <v>736163.33</v>
      </c>
      <c r="X803" s="2">
        <f t="shared" si="291"/>
        <v>360031.77</v>
      </c>
      <c r="Y803" s="2">
        <v>286863.42</v>
      </c>
      <c r="Z803" s="2">
        <v>73168.350000000006</v>
      </c>
      <c r="AA803" s="2">
        <f t="shared" si="292"/>
        <v>38987.360000000001</v>
      </c>
      <c r="AB803" s="2">
        <v>31064.05</v>
      </c>
      <c r="AC803" s="2">
        <v>7923.31</v>
      </c>
      <c r="AD803" s="16">
        <f t="shared" si="283"/>
        <v>19950956.659999996</v>
      </c>
      <c r="AE803" s="37">
        <v>0</v>
      </c>
      <c r="AF803" s="37">
        <f t="shared" si="293"/>
        <v>19950956.659999996</v>
      </c>
      <c r="AG803" s="38" t="s">
        <v>486</v>
      </c>
      <c r="AH803" s="175" t="s">
        <v>2305</v>
      </c>
      <c r="AI803" s="30">
        <f>645008.07+192434.46+27134.16+264408.25-23366.2+347653.73+109053.81+1470378.13-8332.91+27357.74+12742.03+1108124.28+487120.33+725203.81+1365051.86+84120.76+1223637.22+176630+14907.14+41860.16+439070.31+54522.99+1900124.08</f>
        <v>10684844.209999999</v>
      </c>
      <c r="AJ803" s="30">
        <f>101913.04+12417.88+42350.03+11594.15+23366.2+33672.25+44388.96+222006.36+8332.91+4565.76+2126.53+213660.41+67560.12+121029.87+227814.65+33717.36+204213.84+30323.06+2487.86+6986.08+73276.82+9099.39+317113.3</f>
        <v>1814016.8300000003</v>
      </c>
    </row>
    <row r="804" spans="1:36" s="179" customFormat="1" ht="189" x14ac:dyDescent="0.25">
      <c r="A804" s="6">
        <v>801</v>
      </c>
      <c r="B804" s="11">
        <v>129502</v>
      </c>
      <c r="C804" s="11">
        <v>746</v>
      </c>
      <c r="D804" s="32" t="s">
        <v>146</v>
      </c>
      <c r="E804" s="24" t="s">
        <v>1168</v>
      </c>
      <c r="F804" s="11" t="s">
        <v>1234</v>
      </c>
      <c r="G804" s="11" t="s">
        <v>1233</v>
      </c>
      <c r="H804" s="11" t="s">
        <v>1232</v>
      </c>
      <c r="I804" s="12" t="s">
        <v>1231</v>
      </c>
      <c r="J804" s="25">
        <v>43697</v>
      </c>
      <c r="K804" s="25">
        <v>45219</v>
      </c>
      <c r="L804" s="26">
        <f t="shared" si="287"/>
        <v>83.983862795774542</v>
      </c>
      <c r="M804" s="27" t="s">
        <v>136</v>
      </c>
      <c r="N804" s="11" t="s">
        <v>261</v>
      </c>
      <c r="O804" s="11" t="s">
        <v>137</v>
      </c>
      <c r="P804" s="15" t="s">
        <v>138</v>
      </c>
      <c r="Q804" s="11" t="s">
        <v>34</v>
      </c>
      <c r="R804" s="1">
        <f t="shared" si="289"/>
        <v>16341565.460000003</v>
      </c>
      <c r="S804" s="2">
        <v>13178048.740000002</v>
      </c>
      <c r="T804" s="2">
        <v>3163516.7200000011</v>
      </c>
      <c r="U804" s="1">
        <f t="shared" si="290"/>
        <v>612798.06999999983</v>
      </c>
      <c r="V804" s="28">
        <v>452862.94999999984</v>
      </c>
      <c r="W804" s="28">
        <v>159935.11999999994</v>
      </c>
      <c r="X804" s="1">
        <f t="shared" si="291"/>
        <v>2503619.13</v>
      </c>
      <c r="Y804" s="2">
        <v>1872675.12</v>
      </c>
      <c r="Z804" s="2">
        <v>630944.01</v>
      </c>
      <c r="AA804" s="2">
        <f t="shared" si="292"/>
        <v>0</v>
      </c>
      <c r="AB804" s="2">
        <v>0</v>
      </c>
      <c r="AC804" s="2">
        <v>0</v>
      </c>
      <c r="AD804" s="16">
        <f t="shared" si="283"/>
        <v>19457982.66</v>
      </c>
      <c r="AE804" s="2">
        <v>0</v>
      </c>
      <c r="AF804" s="2">
        <f t="shared" si="293"/>
        <v>19457982.66</v>
      </c>
      <c r="AG804" s="38" t="s">
        <v>486</v>
      </c>
      <c r="AH804" s="29" t="s">
        <v>1983</v>
      </c>
      <c r="AI804" s="30">
        <f>238670.27+559386.55+364853.32+124488.29+243919.75+161861.05+344034.22+790470.77-2972.65+184320+582190.52+350831.72+657299.71</f>
        <v>4599353.5200000005</v>
      </c>
      <c r="AJ804" s="30">
        <f>2450.84+7846.76+45505.93+412.07+9977.53+11413.05+2096.82+74080.04+2844.14+52901.11+20493.69+29552.18</f>
        <v>259574.16000000003</v>
      </c>
    </row>
    <row r="805" spans="1:36" s="179" customFormat="1" ht="189" x14ac:dyDescent="0.25">
      <c r="A805" s="6">
        <v>802</v>
      </c>
      <c r="B805" s="11">
        <v>129865</v>
      </c>
      <c r="C805" s="11">
        <v>747</v>
      </c>
      <c r="D805" s="32" t="s">
        <v>146</v>
      </c>
      <c r="E805" s="24" t="s">
        <v>1168</v>
      </c>
      <c r="F805" s="11" t="s">
        <v>1230</v>
      </c>
      <c r="G805" s="11" t="s">
        <v>1229</v>
      </c>
      <c r="H805" s="11" t="s">
        <v>1228</v>
      </c>
      <c r="I805" s="12" t="s">
        <v>1227</v>
      </c>
      <c r="J805" s="25">
        <v>43697</v>
      </c>
      <c r="K805" s="25">
        <v>45158</v>
      </c>
      <c r="L805" s="26">
        <f t="shared" si="287"/>
        <v>83.98386275999998</v>
      </c>
      <c r="M805" s="27" t="s">
        <v>136</v>
      </c>
      <c r="N805" s="11" t="s">
        <v>261</v>
      </c>
      <c r="O805" s="11" t="s">
        <v>137</v>
      </c>
      <c r="P805" s="15" t="s">
        <v>138</v>
      </c>
      <c r="Q805" s="11" t="s">
        <v>34</v>
      </c>
      <c r="R805" s="1">
        <f t="shared" si="289"/>
        <v>20995965.689999994</v>
      </c>
      <c r="S805" s="2">
        <v>16931417.079999994</v>
      </c>
      <c r="T805" s="2">
        <v>4064548.61</v>
      </c>
      <c r="U805" s="1">
        <f t="shared" si="290"/>
        <v>321491.37</v>
      </c>
      <c r="V805" s="28">
        <v>237584.8</v>
      </c>
      <c r="W805" s="28">
        <v>83906.57</v>
      </c>
      <c r="X805" s="1">
        <f t="shared" si="291"/>
        <v>3682542.94</v>
      </c>
      <c r="Y805" s="2">
        <v>2750312.32</v>
      </c>
      <c r="Z805" s="2">
        <v>932230.62</v>
      </c>
      <c r="AA805" s="2">
        <f t="shared" si="292"/>
        <v>0</v>
      </c>
      <c r="AB805" s="2">
        <v>0</v>
      </c>
      <c r="AC805" s="2">
        <v>0</v>
      </c>
      <c r="AD805" s="16">
        <f t="shared" si="283"/>
        <v>24999999.999999996</v>
      </c>
      <c r="AE805" s="2">
        <v>4000</v>
      </c>
      <c r="AF805" s="2">
        <f t="shared" si="293"/>
        <v>25003999.999999996</v>
      </c>
      <c r="AG805" s="38" t="s">
        <v>486</v>
      </c>
      <c r="AH805" s="29" t="s">
        <v>3296</v>
      </c>
      <c r="AI805" s="30">
        <f>1811209.04+268056.34+1451454.88+60000+554008.73-2145.79+464628.89+299999.99+1795362.04+287907.95+2433016.77+1304783.92+1119205.34</f>
        <v>11847488.1</v>
      </c>
      <c r="AJ805" s="30">
        <f>65104.21+2145.79+25930.46+34480.26+16235.2+24201.1+28505.74</f>
        <v>196602.76</v>
      </c>
    </row>
    <row r="806" spans="1:36" s="179" customFormat="1" ht="147" customHeight="1" x14ac:dyDescent="0.25">
      <c r="A806" s="6">
        <v>803</v>
      </c>
      <c r="B806" s="31">
        <v>127554</v>
      </c>
      <c r="C806" s="31">
        <v>596</v>
      </c>
      <c r="D806" s="177" t="s">
        <v>1172</v>
      </c>
      <c r="E806" s="82" t="s">
        <v>979</v>
      </c>
      <c r="F806" s="31" t="s">
        <v>1241</v>
      </c>
      <c r="G806" s="11" t="s">
        <v>1397</v>
      </c>
      <c r="H806" s="11" t="s">
        <v>1242</v>
      </c>
      <c r="I806" s="12" t="s">
        <v>3003</v>
      </c>
      <c r="J806" s="25">
        <v>43698</v>
      </c>
      <c r="K806" s="25">
        <v>45220</v>
      </c>
      <c r="L806" s="26">
        <f t="shared" si="287"/>
        <v>83.98386258328982</v>
      </c>
      <c r="M806" s="11" t="s">
        <v>136</v>
      </c>
      <c r="N806" s="11" t="s">
        <v>261</v>
      </c>
      <c r="O806" s="11" t="str">
        <f t="shared" ref="O806:Q808" si="294">O805</f>
        <v>Bucuresti</v>
      </c>
      <c r="P806" s="27" t="str">
        <f t="shared" si="294"/>
        <v>APC</v>
      </c>
      <c r="Q806" s="11" t="str">
        <f t="shared" si="294"/>
        <v>119 - Investiții în capacitatea instituțională și în eficiența administrațiilor și a serviciilor publice la nivel național, regional și local, în perspectiva realizării de reforme, a unei mai bune legiferări și a bunei guvernanțe</v>
      </c>
      <c r="R806" s="1">
        <f t="shared" si="289"/>
        <v>12098670.219999999</v>
      </c>
      <c r="S806" s="2">
        <v>9756523.4399999976</v>
      </c>
      <c r="T806" s="2">
        <v>2342146.7800000003</v>
      </c>
      <c r="U806" s="1">
        <f t="shared" si="290"/>
        <v>0</v>
      </c>
      <c r="V806" s="28">
        <v>0</v>
      </c>
      <c r="W806" s="28">
        <v>0</v>
      </c>
      <c r="X806" s="1">
        <f t="shared" si="291"/>
        <v>2307276.1700000004</v>
      </c>
      <c r="Y806" s="2">
        <v>1721739.4581900353</v>
      </c>
      <c r="Z806" s="2">
        <v>585536.71180996508</v>
      </c>
      <c r="AA806" s="2">
        <f t="shared" si="292"/>
        <v>0</v>
      </c>
      <c r="AB806" s="2">
        <v>0</v>
      </c>
      <c r="AC806" s="2">
        <v>0</v>
      </c>
      <c r="AD806" s="16">
        <f t="shared" si="283"/>
        <v>14405946.389999999</v>
      </c>
      <c r="AE806" s="2">
        <v>1695594.64</v>
      </c>
      <c r="AF806" s="2">
        <f t="shared" si="293"/>
        <v>16101541.029999999</v>
      </c>
      <c r="AG806" s="38" t="s">
        <v>486</v>
      </c>
      <c r="AH806" s="29" t="s">
        <v>2149</v>
      </c>
      <c r="AI806" s="30">
        <f>80134.03+50027.51+67034.24+81022.59+61634.92+75486.38+69076.73+1549860.73+77485.19+2317952.91+1477810.91</f>
        <v>5907526.1400000006</v>
      </c>
      <c r="AJ806" s="30">
        <v>0</v>
      </c>
    </row>
    <row r="807" spans="1:36" s="179" customFormat="1" ht="225.75" customHeight="1" x14ac:dyDescent="0.25">
      <c r="A807" s="6">
        <v>804</v>
      </c>
      <c r="B807" s="31">
        <v>127585</v>
      </c>
      <c r="C807" s="31">
        <v>622</v>
      </c>
      <c r="D807" s="177" t="s">
        <v>1172</v>
      </c>
      <c r="E807" s="82" t="s">
        <v>979</v>
      </c>
      <c r="F807" s="31" t="s">
        <v>1246</v>
      </c>
      <c r="G807" s="11" t="s">
        <v>74</v>
      </c>
      <c r="H807" s="11" t="s">
        <v>1244</v>
      </c>
      <c r="I807" s="12" t="s">
        <v>3004</v>
      </c>
      <c r="J807" s="25">
        <v>43703</v>
      </c>
      <c r="K807" s="25">
        <v>45072</v>
      </c>
      <c r="L807" s="26">
        <f t="shared" si="287"/>
        <v>83.983863237881479</v>
      </c>
      <c r="M807" s="11" t="s">
        <v>136</v>
      </c>
      <c r="N807" s="11" t="s">
        <v>261</v>
      </c>
      <c r="O807" s="11" t="str">
        <f t="shared" si="294"/>
        <v>Bucuresti</v>
      </c>
      <c r="P807" s="27" t="str">
        <f t="shared" si="294"/>
        <v>APC</v>
      </c>
      <c r="Q807" s="11" t="str">
        <f t="shared" si="294"/>
        <v>119 - Investiții în capacitatea instituțională și în eficiența administrațiilor și a serviciilor publice la nivel național, regional și local, în perspectiva realizării de reforme, a unei mai bune legiferări și a bunei guvernanțe</v>
      </c>
      <c r="R807" s="1">
        <f t="shared" si="289"/>
        <v>8398187.4499999993</v>
      </c>
      <c r="S807" s="2">
        <v>6772406.5</v>
      </c>
      <c r="T807" s="2">
        <v>1625780.95</v>
      </c>
      <c r="U807" s="1">
        <f t="shared" si="290"/>
        <v>0</v>
      </c>
      <c r="V807" s="28">
        <v>0</v>
      </c>
      <c r="W807" s="28">
        <v>0</v>
      </c>
      <c r="X807" s="1">
        <f t="shared" si="291"/>
        <v>1601575.75</v>
      </c>
      <c r="Y807" s="2">
        <v>1195130.5</v>
      </c>
      <c r="Z807" s="2">
        <v>406445.25</v>
      </c>
      <c r="AA807" s="2">
        <f t="shared" si="292"/>
        <v>0</v>
      </c>
      <c r="AB807" s="2">
        <v>0</v>
      </c>
      <c r="AC807" s="2">
        <v>0</v>
      </c>
      <c r="AD807" s="16">
        <f t="shared" si="283"/>
        <v>9999763.1999999993</v>
      </c>
      <c r="AE807" s="2">
        <v>0</v>
      </c>
      <c r="AF807" s="2">
        <f t="shared" si="293"/>
        <v>9999763.1999999993</v>
      </c>
      <c r="AG807" s="38" t="s">
        <v>486</v>
      </c>
      <c r="AH807" s="29" t="s">
        <v>2218</v>
      </c>
      <c r="AI807" s="30">
        <f>843418.72+99611.58+70896.66+1618000.34+94625.46+120042.33+1345989.2+158992.5</f>
        <v>4351576.79</v>
      </c>
      <c r="AJ807" s="30">
        <v>0</v>
      </c>
    </row>
    <row r="808" spans="1:36" s="179" customFormat="1" ht="125.25" customHeight="1" x14ac:dyDescent="0.25">
      <c r="A808" s="6">
        <v>805</v>
      </c>
      <c r="B808" s="31">
        <v>127829</v>
      </c>
      <c r="C808" s="31">
        <v>623</v>
      </c>
      <c r="D808" s="177" t="s">
        <v>1172</v>
      </c>
      <c r="E808" s="82" t="s">
        <v>979</v>
      </c>
      <c r="F808" s="31" t="s">
        <v>1245</v>
      </c>
      <c r="G808" s="11" t="s">
        <v>74</v>
      </c>
      <c r="H808" s="11" t="s">
        <v>1244</v>
      </c>
      <c r="I808" s="12" t="s">
        <v>3005</v>
      </c>
      <c r="J808" s="25">
        <v>43703</v>
      </c>
      <c r="K808" s="25">
        <v>45103</v>
      </c>
      <c r="L808" s="26">
        <f t="shared" si="287"/>
        <v>83.983862817782423</v>
      </c>
      <c r="M808" s="11" t="s">
        <v>136</v>
      </c>
      <c r="N808" s="11" t="s">
        <v>261</v>
      </c>
      <c r="O808" s="11" t="str">
        <f t="shared" si="294"/>
        <v>Bucuresti</v>
      </c>
      <c r="P808" s="27" t="str">
        <f t="shared" si="294"/>
        <v>APC</v>
      </c>
      <c r="Q808" s="11" t="str">
        <f t="shared" si="294"/>
        <v>119 - Investiții în capacitatea instituțională și în eficiența administrațiilor și a serviciilor publice la nivel național, regional și local, în perspectiva realizării de reforme, a unei mai bune legiferări și a bunei guvernanțe</v>
      </c>
      <c r="R808" s="1">
        <f t="shared" si="289"/>
        <v>8466572.7799999993</v>
      </c>
      <c r="S808" s="2">
        <v>6827553.2899999991</v>
      </c>
      <c r="T808" s="2">
        <v>1639019.49</v>
      </c>
      <c r="U808" s="1">
        <f t="shared" si="290"/>
        <v>0</v>
      </c>
      <c r="V808" s="28">
        <v>0</v>
      </c>
      <c r="W808" s="28">
        <v>0</v>
      </c>
      <c r="X808" s="1">
        <f t="shared" si="291"/>
        <v>1614617.2200000002</v>
      </c>
      <c r="Y808" s="2">
        <v>1204862.3500000001</v>
      </c>
      <c r="Z808" s="2">
        <v>409754.87</v>
      </c>
      <c r="AA808" s="2">
        <f t="shared" si="292"/>
        <v>0</v>
      </c>
      <c r="AB808" s="2">
        <v>0</v>
      </c>
      <c r="AC808" s="2">
        <v>0</v>
      </c>
      <c r="AD808" s="16">
        <f t="shared" si="283"/>
        <v>10081190</v>
      </c>
      <c r="AE808" s="2">
        <v>0</v>
      </c>
      <c r="AF808" s="2">
        <f t="shared" si="293"/>
        <v>10081190</v>
      </c>
      <c r="AG808" s="38" t="s">
        <v>486</v>
      </c>
      <c r="AH808" s="29" t="s">
        <v>2306</v>
      </c>
      <c r="AI808" s="30">
        <f>896890.75+82117.73+78530.79+85882.74+82790.45+74742.28+71123.41+1136625.84+63109.67+57900.15</f>
        <v>2629713.81</v>
      </c>
      <c r="AJ808" s="30">
        <v>0</v>
      </c>
    </row>
    <row r="809" spans="1:36" s="179" customFormat="1" ht="199.5" customHeight="1" x14ac:dyDescent="0.25">
      <c r="A809" s="6">
        <v>806</v>
      </c>
      <c r="B809" s="31">
        <v>127591</v>
      </c>
      <c r="C809" s="31">
        <v>603</v>
      </c>
      <c r="D809" s="177" t="s">
        <v>1172</v>
      </c>
      <c r="E809" s="82" t="s">
        <v>979</v>
      </c>
      <c r="F809" s="31" t="s">
        <v>1247</v>
      </c>
      <c r="G809" s="11" t="s">
        <v>74</v>
      </c>
      <c r="H809" s="11" t="s">
        <v>1244</v>
      </c>
      <c r="I809" s="74" t="s">
        <v>3006</v>
      </c>
      <c r="J809" s="25">
        <v>43704</v>
      </c>
      <c r="K809" s="25">
        <v>45104</v>
      </c>
      <c r="L809" s="26">
        <f t="shared" si="287"/>
        <v>83.983862567441435</v>
      </c>
      <c r="M809" s="11" t="str">
        <f>$M$806</f>
        <v xml:space="preserve"> Proiect cu acoperire națională</v>
      </c>
      <c r="N809" s="11" t="str">
        <f>N808</f>
        <v>București</v>
      </c>
      <c r="O809" s="11" t="s">
        <v>261</v>
      </c>
      <c r="P809" s="27" t="s">
        <v>138</v>
      </c>
      <c r="Q809" s="11" t="str">
        <f>Q808</f>
        <v>119 - Investiții în capacitatea instituțională și în eficiența administrațiilor și a serviciilor publice la nivel național, regional și local, în perspectiva realizării de reforme, a unei mai bune legiferări și a bunei guvernanțe</v>
      </c>
      <c r="R809" s="1">
        <f t="shared" si="289"/>
        <v>10242987.91</v>
      </c>
      <c r="S809" s="2">
        <v>8260077.3700000001</v>
      </c>
      <c r="T809" s="2">
        <v>1982910.54</v>
      </c>
      <c r="U809" s="1">
        <f t="shared" si="290"/>
        <v>0</v>
      </c>
      <c r="V809" s="28">
        <v>0</v>
      </c>
      <c r="W809" s="28">
        <v>0</v>
      </c>
      <c r="X809" s="1">
        <f t="shared" si="291"/>
        <v>1953388.39</v>
      </c>
      <c r="Y809" s="2">
        <v>1457660.69</v>
      </c>
      <c r="Z809" s="2">
        <v>495727.7</v>
      </c>
      <c r="AA809" s="2">
        <f t="shared" si="292"/>
        <v>0</v>
      </c>
      <c r="AB809" s="2">
        <v>0</v>
      </c>
      <c r="AC809" s="2">
        <v>0</v>
      </c>
      <c r="AD809" s="16">
        <f t="shared" si="283"/>
        <v>12196376.300000001</v>
      </c>
      <c r="AE809" s="2">
        <v>0</v>
      </c>
      <c r="AF809" s="2">
        <f t="shared" si="293"/>
        <v>12196376.300000001</v>
      </c>
      <c r="AG809" s="38" t="s">
        <v>486</v>
      </c>
      <c r="AH809" s="29" t="s">
        <v>1959</v>
      </c>
      <c r="AI809" s="30">
        <f>957032.98+163115.37+97608.31+132760.34+84328.34+73699.45+89390.33+85807.41+104934.01+770382.45</f>
        <v>2559058.9900000002</v>
      </c>
      <c r="AJ809" s="30">
        <v>0</v>
      </c>
    </row>
    <row r="810" spans="1:36" s="179" customFormat="1" ht="283.5" x14ac:dyDescent="0.25">
      <c r="A810" s="6">
        <v>807</v>
      </c>
      <c r="B810" s="11">
        <v>130133</v>
      </c>
      <c r="C810" s="11">
        <v>749</v>
      </c>
      <c r="D810" s="32" t="s">
        <v>146</v>
      </c>
      <c r="E810" s="24" t="s">
        <v>1168</v>
      </c>
      <c r="F810" s="11" t="s">
        <v>1248</v>
      </c>
      <c r="G810" s="11" t="s">
        <v>1720</v>
      </c>
      <c r="H810" s="8" t="s">
        <v>151</v>
      </c>
      <c r="I810" s="12" t="s">
        <v>1249</v>
      </c>
      <c r="J810" s="25">
        <v>43706</v>
      </c>
      <c r="K810" s="25">
        <v>45289</v>
      </c>
      <c r="L810" s="26">
        <f t="shared" si="287"/>
        <v>83.983862860370238</v>
      </c>
      <c r="M810" s="11" t="str">
        <f>$M$806</f>
        <v xml:space="preserve"> Proiect cu acoperire națională</v>
      </c>
      <c r="N810" s="11" t="str">
        <f>N809</f>
        <v>București</v>
      </c>
      <c r="O810" s="11" t="s">
        <v>261</v>
      </c>
      <c r="P810" s="27" t="s">
        <v>138</v>
      </c>
      <c r="Q810" s="11" t="s">
        <v>34</v>
      </c>
      <c r="R810" s="1">
        <f t="shared" si="289"/>
        <v>14452256.49</v>
      </c>
      <c r="S810" s="2">
        <v>11654485.75</v>
      </c>
      <c r="T810" s="2">
        <v>2797770.7399999998</v>
      </c>
      <c r="U810" s="1">
        <f t="shared" si="290"/>
        <v>0</v>
      </c>
      <c r="V810" s="28">
        <v>0</v>
      </c>
      <c r="W810" s="28">
        <v>0</v>
      </c>
      <c r="X810" s="1">
        <f t="shared" si="291"/>
        <v>2756116.6399999997</v>
      </c>
      <c r="Y810" s="2">
        <v>2056673.9</v>
      </c>
      <c r="Z810" s="2">
        <v>699442.74</v>
      </c>
      <c r="AA810" s="2">
        <f t="shared" si="292"/>
        <v>0</v>
      </c>
      <c r="AB810" s="2">
        <v>0</v>
      </c>
      <c r="AC810" s="2">
        <v>0</v>
      </c>
      <c r="AD810" s="16">
        <f t="shared" si="283"/>
        <v>17208373.129999999</v>
      </c>
      <c r="AE810" s="2">
        <v>0</v>
      </c>
      <c r="AF810" s="2">
        <f t="shared" si="293"/>
        <v>17208373.129999999</v>
      </c>
      <c r="AG810" s="38" t="s">
        <v>486</v>
      </c>
      <c r="AH810" s="29" t="s">
        <v>2487</v>
      </c>
      <c r="AI810" s="30">
        <f>37986.75+105892.72+115179.78+20592+17345.19+35012.87+1016292.08</f>
        <v>1348301.39</v>
      </c>
      <c r="AJ810" s="30">
        <v>0</v>
      </c>
    </row>
    <row r="811" spans="1:36" s="179" customFormat="1" ht="141.75" x14ac:dyDescent="0.25">
      <c r="A811" s="6">
        <v>808</v>
      </c>
      <c r="B811" s="11">
        <v>127338</v>
      </c>
      <c r="C811" s="11">
        <v>612</v>
      </c>
      <c r="D811" s="177" t="s">
        <v>1172</v>
      </c>
      <c r="E811" s="24" t="s">
        <v>979</v>
      </c>
      <c r="F811" s="11" t="s">
        <v>1261</v>
      </c>
      <c r="G811" s="11" t="s">
        <v>74</v>
      </c>
      <c r="H811" s="11" t="s">
        <v>1262</v>
      </c>
      <c r="I811" s="12" t="s">
        <v>3007</v>
      </c>
      <c r="J811" s="25">
        <v>43713</v>
      </c>
      <c r="K811" s="25">
        <v>44900</v>
      </c>
      <c r="L811" s="26">
        <f t="shared" si="287"/>
        <v>83.983864644186056</v>
      </c>
      <c r="M811" s="11" t="str">
        <f>$M$806</f>
        <v xml:space="preserve"> Proiect cu acoperire națională</v>
      </c>
      <c r="N811" s="11" t="s">
        <v>1226</v>
      </c>
      <c r="O811" s="11" t="s">
        <v>261</v>
      </c>
      <c r="P811" s="27" t="s">
        <v>138</v>
      </c>
      <c r="Q811" s="11" t="str">
        <f t="shared" ref="Q811:Q816" si="295">Q810</f>
        <v>119 - Investiții în capacitatea instituțională și în eficiența administrațiilor și a serviciilor publice la nivel național, regional și local, în perspectiva realizării de reforme, a unei mai bune legiferări și a bunei guvernanțe</v>
      </c>
      <c r="R811" s="1">
        <f t="shared" si="289"/>
        <v>12284259.010000002</v>
      </c>
      <c r="S811" s="2">
        <v>9906184.6600000001</v>
      </c>
      <c r="T811" s="2">
        <v>2378074.350000001</v>
      </c>
      <c r="U811" s="1">
        <f t="shared" si="290"/>
        <v>0</v>
      </c>
      <c r="V811" s="28">
        <v>0</v>
      </c>
      <c r="W811" s="28">
        <v>0</v>
      </c>
      <c r="X811" s="1">
        <f t="shared" si="291"/>
        <v>2342668.5099999998</v>
      </c>
      <c r="Y811" s="2">
        <v>1748149.94</v>
      </c>
      <c r="Z811" s="2">
        <v>594518.56999999995</v>
      </c>
      <c r="AA811" s="2">
        <f t="shared" si="292"/>
        <v>0</v>
      </c>
      <c r="AB811" s="2">
        <v>0</v>
      </c>
      <c r="AC811" s="2">
        <v>0</v>
      </c>
      <c r="AD811" s="16">
        <f t="shared" si="283"/>
        <v>14626927.520000001</v>
      </c>
      <c r="AE811" s="2">
        <v>21875.91</v>
      </c>
      <c r="AF811" s="2">
        <f t="shared" si="293"/>
        <v>14648803.430000002</v>
      </c>
      <c r="AG811" s="38" t="s">
        <v>486</v>
      </c>
      <c r="AH811" s="29" t="s">
        <v>1993</v>
      </c>
      <c r="AI811" s="30">
        <f>1028311.33+949836.08+860711.02+870883.46+943630.7+1231127.96+694760.56+276496.74+2783338.05</f>
        <v>9639095.8999999985</v>
      </c>
      <c r="AJ811" s="30">
        <v>0</v>
      </c>
    </row>
    <row r="812" spans="1:36" s="179" customFormat="1" ht="199.5" customHeight="1" x14ac:dyDescent="0.25">
      <c r="A812" s="6">
        <v>809</v>
      </c>
      <c r="B812" s="31">
        <v>129692</v>
      </c>
      <c r="C812" s="31">
        <v>744</v>
      </c>
      <c r="D812" s="32" t="str">
        <f>D811</f>
        <v xml:space="preserve">AP1/11i /1.1 </v>
      </c>
      <c r="E812" s="56" t="s">
        <v>1056</v>
      </c>
      <c r="F812" s="31" t="s">
        <v>1270</v>
      </c>
      <c r="G812" s="11" t="s">
        <v>1268</v>
      </c>
      <c r="H812" s="8" t="s">
        <v>151</v>
      </c>
      <c r="I812" s="74" t="s">
        <v>3008</v>
      </c>
      <c r="J812" s="25">
        <v>43717</v>
      </c>
      <c r="K812" s="25">
        <v>45178</v>
      </c>
      <c r="L812" s="26">
        <f t="shared" si="287"/>
        <v>83.983862991493012</v>
      </c>
      <c r="M812" s="11" t="str">
        <f>$M$806</f>
        <v xml:space="preserve"> Proiect cu acoperire națională</v>
      </c>
      <c r="N812" s="11" t="str">
        <f>N811</f>
        <v>Național</v>
      </c>
      <c r="O812" s="11" t="str">
        <f>O811</f>
        <v>București</v>
      </c>
      <c r="P812" s="27" t="str">
        <f>P811</f>
        <v>APC</v>
      </c>
      <c r="Q812" s="11" t="str">
        <f t="shared" si="295"/>
        <v>119 - Investiții în capacitatea instituțională și în eficiența administrațiilor și a serviciilor publice la nivel național, regional și local, în perspectiva realizării de reforme, a unei mai bune legiferări și a bunei guvernanțe</v>
      </c>
      <c r="R812" s="1">
        <f t="shared" si="289"/>
        <v>25123266.25</v>
      </c>
      <c r="S812" s="2">
        <v>20259725.329999998</v>
      </c>
      <c r="T812" s="2">
        <v>4863540.92</v>
      </c>
      <c r="U812" s="1">
        <f t="shared" si="290"/>
        <v>0</v>
      </c>
      <c r="V812" s="28">
        <v>0</v>
      </c>
      <c r="W812" s="28">
        <v>0</v>
      </c>
      <c r="X812" s="1">
        <f t="shared" si="291"/>
        <v>4791130.82</v>
      </c>
      <c r="Y812" s="2">
        <v>3575245.64</v>
      </c>
      <c r="Z812" s="2">
        <v>1215885.18</v>
      </c>
      <c r="AA812" s="2">
        <f t="shared" si="292"/>
        <v>0</v>
      </c>
      <c r="AB812" s="2">
        <v>0</v>
      </c>
      <c r="AC812" s="2">
        <v>0</v>
      </c>
      <c r="AD812" s="16">
        <f t="shared" si="283"/>
        <v>29914397.07</v>
      </c>
      <c r="AE812" s="2">
        <v>0</v>
      </c>
      <c r="AF812" s="2">
        <f t="shared" si="293"/>
        <v>29914397.07</v>
      </c>
      <c r="AG812" s="38" t="s">
        <v>486</v>
      </c>
      <c r="AH812" s="29" t="s">
        <v>1773</v>
      </c>
      <c r="AI812" s="30">
        <f>325855.8+122978.47+248682.94+393955.11+295791.58+258150.44+1461160.49+1088779.79+977969.43</f>
        <v>5173324.05</v>
      </c>
      <c r="AJ812" s="30">
        <v>0</v>
      </c>
    </row>
    <row r="813" spans="1:36" s="179" customFormat="1" ht="141.75" x14ac:dyDescent="0.25">
      <c r="A813" s="6">
        <v>810</v>
      </c>
      <c r="B813" s="11">
        <v>127589</v>
      </c>
      <c r="C813" s="11">
        <v>616</v>
      </c>
      <c r="D813" s="177" t="s">
        <v>1172</v>
      </c>
      <c r="E813" s="24" t="s">
        <v>979</v>
      </c>
      <c r="F813" s="11" t="s">
        <v>1272</v>
      </c>
      <c r="G813" s="11" t="s">
        <v>74</v>
      </c>
      <c r="H813" s="11" t="s">
        <v>1363</v>
      </c>
      <c r="I813" s="12" t="s">
        <v>1273</v>
      </c>
      <c r="J813" s="25">
        <v>43718</v>
      </c>
      <c r="K813" s="25">
        <v>45240</v>
      </c>
      <c r="L813" s="26">
        <f t="shared" si="287"/>
        <v>83.401732277714686</v>
      </c>
      <c r="M813" s="11" t="s">
        <v>136</v>
      </c>
      <c r="N813" s="11" t="s">
        <v>261</v>
      </c>
      <c r="O813" s="11" t="s">
        <v>261</v>
      </c>
      <c r="P813" s="27" t="s">
        <v>138</v>
      </c>
      <c r="Q813" s="11" t="str">
        <f t="shared" si="295"/>
        <v>119 - Investiții în capacitatea instituțională și în eficiența administrațiilor și a serviciilor publice la nivel național, regional și local, în perspectiva realizării de reforme, a unei mai bune legiferări și a bunei guvernanțe</v>
      </c>
      <c r="R813" s="1">
        <f t="shared" si="289"/>
        <v>23893894.079999994</v>
      </c>
      <c r="S813" s="2">
        <v>19268343.719999995</v>
      </c>
      <c r="T813" s="2">
        <v>4625550.3599999994</v>
      </c>
      <c r="U813" s="1">
        <f t="shared" si="290"/>
        <v>1558441.7799999998</v>
      </c>
      <c r="V813" s="28">
        <v>1162942.9799999995</v>
      </c>
      <c r="W813" s="28">
        <v>395498.80000000016</v>
      </c>
      <c r="X813" s="1">
        <f t="shared" si="291"/>
        <v>2998241.61</v>
      </c>
      <c r="Y813" s="2">
        <v>2237352.88</v>
      </c>
      <c r="Z813" s="2">
        <v>760888.73</v>
      </c>
      <c r="AA813" s="2">
        <f t="shared" si="292"/>
        <v>198580.56</v>
      </c>
      <c r="AB813" s="2">
        <v>158223.64000000001</v>
      </c>
      <c r="AC813" s="2">
        <v>40356.92</v>
      </c>
      <c r="AD813" s="16">
        <f t="shared" si="283"/>
        <v>28649158.029999994</v>
      </c>
      <c r="AE813" s="2">
        <v>0</v>
      </c>
      <c r="AF813" s="2">
        <f t="shared" si="293"/>
        <v>28649158.029999994</v>
      </c>
      <c r="AG813" s="38" t="s">
        <v>486</v>
      </c>
      <c r="AH813" s="29" t="s">
        <v>2055</v>
      </c>
      <c r="AI813" s="30">
        <f>2152401.31+483787.51+353759.62+893871.24+50810.75+755211.17+44698.53+53299.38+709727.23+52393.71+46175.45-93720.91+424014.59+106929.83-8668.64+94767.14+195327.48</f>
        <v>6314785.3900000006</v>
      </c>
      <c r="AJ813" s="30">
        <f>236264.83+60776.2+75412.76+115828.22+72195.19+74114.75+54873.1+45967.95+24151.87+8668.64+12040.91+9294.66</f>
        <v>789589.08</v>
      </c>
    </row>
    <row r="814" spans="1:36" s="179" customFormat="1" ht="165.75" customHeight="1" x14ac:dyDescent="0.25">
      <c r="A814" s="6">
        <v>811</v>
      </c>
      <c r="B814" s="31">
        <v>127012</v>
      </c>
      <c r="C814" s="31">
        <v>578</v>
      </c>
      <c r="D814" s="177" t="s">
        <v>1172</v>
      </c>
      <c r="E814" s="24" t="s">
        <v>979</v>
      </c>
      <c r="F814" s="31" t="s">
        <v>1275</v>
      </c>
      <c r="G814" s="11" t="s">
        <v>1721</v>
      </c>
      <c r="H814" s="8" t="s">
        <v>151</v>
      </c>
      <c r="I814" s="12" t="s">
        <v>3009</v>
      </c>
      <c r="J814" s="25">
        <v>43721</v>
      </c>
      <c r="K814" s="25">
        <v>45212</v>
      </c>
      <c r="L814" s="26">
        <f t="shared" si="287"/>
        <v>83.983862941143158</v>
      </c>
      <c r="M814" s="11" t="s">
        <v>136</v>
      </c>
      <c r="N814" s="11" t="s">
        <v>261</v>
      </c>
      <c r="O814" s="11" t="s">
        <v>261</v>
      </c>
      <c r="P814" s="27" t="s">
        <v>138</v>
      </c>
      <c r="Q814" s="11" t="str">
        <f t="shared" si="295"/>
        <v>119 - Investiții în capacitatea instituțională și în eficiența administrațiilor și a serviciilor publice la nivel național, regional și local, în perspectiva realizării de reforme, a unei mai bune legiferări și a bunei guvernanțe</v>
      </c>
      <c r="R814" s="1">
        <f t="shared" si="289"/>
        <v>20491271.690000005</v>
      </c>
      <c r="S814" s="2">
        <v>16524425.330000004</v>
      </c>
      <c r="T814" s="2">
        <v>3966846.3600000017</v>
      </c>
      <c r="U814" s="1">
        <f t="shared" si="290"/>
        <v>0</v>
      </c>
      <c r="V814" s="28">
        <v>0</v>
      </c>
      <c r="W814" s="28">
        <v>0</v>
      </c>
      <c r="X814" s="1">
        <f t="shared" si="291"/>
        <v>3907786.6199999996</v>
      </c>
      <c r="Y814" s="2">
        <v>2916075.01</v>
      </c>
      <c r="Z814" s="2">
        <v>991711.61</v>
      </c>
      <c r="AA814" s="2">
        <f t="shared" si="292"/>
        <v>0</v>
      </c>
      <c r="AB814" s="2">
        <v>0</v>
      </c>
      <c r="AC814" s="2">
        <v>0</v>
      </c>
      <c r="AD814" s="16">
        <f t="shared" si="283"/>
        <v>24399058.310000006</v>
      </c>
      <c r="AE814" s="2">
        <v>0</v>
      </c>
      <c r="AF814" s="2">
        <f t="shared" si="293"/>
        <v>24399058.310000006</v>
      </c>
      <c r="AG814" s="38" t="s">
        <v>486</v>
      </c>
      <c r="AH814" s="29" t="s">
        <v>1809</v>
      </c>
      <c r="AI814" s="30">
        <f>83445.38+49015.23+231678.74+181337.75+178679+229588.02+193488.99+134446.28</f>
        <v>1281679.3899999999</v>
      </c>
      <c r="AJ814" s="30">
        <v>0</v>
      </c>
    </row>
    <row r="815" spans="1:36" s="179" customFormat="1" ht="220.5" x14ac:dyDescent="0.25">
      <c r="A815" s="6">
        <v>812</v>
      </c>
      <c r="B815" s="31">
        <v>126983</v>
      </c>
      <c r="C815" s="31">
        <v>589</v>
      </c>
      <c r="D815" s="177" t="s">
        <v>1172</v>
      </c>
      <c r="E815" s="24" t="s">
        <v>979</v>
      </c>
      <c r="F815" s="31" t="s">
        <v>1276</v>
      </c>
      <c r="G815" s="11" t="s">
        <v>1721</v>
      </c>
      <c r="H815" s="8" t="s">
        <v>151</v>
      </c>
      <c r="I815" s="12" t="s">
        <v>3010</v>
      </c>
      <c r="J815" s="25">
        <v>43721</v>
      </c>
      <c r="K815" s="25">
        <v>45273</v>
      </c>
      <c r="L815" s="26">
        <f t="shared" si="287"/>
        <v>83.98386291043002</v>
      </c>
      <c r="M815" s="11" t="s">
        <v>136</v>
      </c>
      <c r="N815" s="11" t="s">
        <v>261</v>
      </c>
      <c r="O815" s="11" t="s">
        <v>261</v>
      </c>
      <c r="P815" s="27" t="s">
        <v>138</v>
      </c>
      <c r="Q815" s="11" t="str">
        <f t="shared" si="295"/>
        <v>119 - Investiții în capacitatea instituțională și în eficiența administrațiilor și a serviciilor publice la nivel național, regional și local, în perspectiva realizării de reforme, a unei mai bune legiferări și a bunei guvernanțe</v>
      </c>
      <c r="R815" s="1">
        <f t="shared" si="289"/>
        <v>23507069.850000001</v>
      </c>
      <c r="S815" s="2">
        <v>18956403.780000001</v>
      </c>
      <c r="T815" s="2">
        <v>4550666.07</v>
      </c>
      <c r="U815" s="1">
        <f t="shared" si="290"/>
        <v>0</v>
      </c>
      <c r="V815" s="28">
        <v>0</v>
      </c>
      <c r="W815" s="28">
        <v>0</v>
      </c>
      <c r="X815" s="1">
        <f t="shared" si="291"/>
        <v>4482914.2200000007</v>
      </c>
      <c r="Y815" s="2">
        <v>3345247.7</v>
      </c>
      <c r="Z815" s="2">
        <v>1137666.52</v>
      </c>
      <c r="AA815" s="2">
        <f t="shared" si="292"/>
        <v>0</v>
      </c>
      <c r="AB815" s="2">
        <v>0</v>
      </c>
      <c r="AC815" s="2">
        <v>0</v>
      </c>
      <c r="AD815" s="16">
        <f t="shared" si="283"/>
        <v>27989984.07</v>
      </c>
      <c r="AE815" s="2">
        <v>0</v>
      </c>
      <c r="AF815" s="2">
        <f t="shared" si="293"/>
        <v>27989984.07</v>
      </c>
      <c r="AG815" s="38" t="s">
        <v>486</v>
      </c>
      <c r="AH815" s="29" t="s">
        <v>3233</v>
      </c>
      <c r="AI815" s="30">
        <f>97834.07+41661.72+181197.51+74487.22+125076.44+181886.92+206065.32+283886.9+258726.7+470859.71+243498.04</f>
        <v>2165180.5499999998</v>
      </c>
      <c r="AJ815" s="30">
        <v>0</v>
      </c>
    </row>
    <row r="816" spans="1:36" s="179" customFormat="1" ht="267.75" x14ac:dyDescent="0.25">
      <c r="A816" s="6">
        <v>813</v>
      </c>
      <c r="B816" s="31">
        <v>127577</v>
      </c>
      <c r="C816" s="31">
        <v>598</v>
      </c>
      <c r="D816" s="177" t="s">
        <v>1172</v>
      </c>
      <c r="E816" s="24" t="s">
        <v>979</v>
      </c>
      <c r="F816" s="31" t="s">
        <v>1283</v>
      </c>
      <c r="G816" s="11" t="s">
        <v>1408</v>
      </c>
      <c r="H816" s="11" t="s">
        <v>1781</v>
      </c>
      <c r="I816" s="12" t="s">
        <v>3011</v>
      </c>
      <c r="J816" s="25">
        <v>43725</v>
      </c>
      <c r="K816" s="25">
        <v>45002</v>
      </c>
      <c r="L816" s="26">
        <f t="shared" si="287"/>
        <v>83.983862550080687</v>
      </c>
      <c r="M816" s="11" t="s">
        <v>136</v>
      </c>
      <c r="N816" s="11" t="s">
        <v>261</v>
      </c>
      <c r="O816" s="11" t="s">
        <v>261</v>
      </c>
      <c r="P816" s="27" t="s">
        <v>138</v>
      </c>
      <c r="Q816" s="11" t="str">
        <f t="shared" si="295"/>
        <v>119 - Investiții în capacitatea instituțională și în eficiența administrațiilor și a serviciilor publice la nivel național, regional și local, în perspectiva realizării de reforme, a unei mai bune legiferări și a bunei guvernanțe</v>
      </c>
      <c r="R816" s="1">
        <f t="shared" si="289"/>
        <v>23213481.23</v>
      </c>
      <c r="S816" s="2">
        <v>18719650.120000001</v>
      </c>
      <c r="T816" s="2">
        <v>4493831.1100000003</v>
      </c>
      <c r="U816" s="1">
        <f t="shared" si="290"/>
        <v>1733.94</v>
      </c>
      <c r="V816" s="28">
        <v>1281.4000000000001</v>
      </c>
      <c r="W816" s="28">
        <v>452.54</v>
      </c>
      <c r="X816" s="1">
        <f t="shared" si="291"/>
        <v>4425191.5999999996</v>
      </c>
      <c r="Y816" s="2">
        <v>3302186.36</v>
      </c>
      <c r="Z816" s="2">
        <v>1123005.24</v>
      </c>
      <c r="AA816" s="2">
        <f t="shared" si="292"/>
        <v>0</v>
      </c>
      <c r="AB816" s="2">
        <v>0</v>
      </c>
      <c r="AC816" s="2">
        <v>0</v>
      </c>
      <c r="AD816" s="16">
        <f t="shared" si="283"/>
        <v>27640406.770000003</v>
      </c>
      <c r="AE816" s="2">
        <v>0</v>
      </c>
      <c r="AF816" s="2">
        <f t="shared" si="293"/>
        <v>27640406.770000003</v>
      </c>
      <c r="AG816" s="38" t="s">
        <v>486</v>
      </c>
      <c r="AH816" s="29" t="s">
        <v>1780</v>
      </c>
      <c r="AI816" s="30">
        <f>1727422.58+344989.77+329947.4+388845.27+1830766.08+207011.77+1398634.92+988731.07+1848077.04+544836.2+1345045.71+2268173.85</f>
        <v>13222481.659999998</v>
      </c>
      <c r="AJ816" s="30">
        <f>203.79+970.06+560.08</f>
        <v>1733.9299999999998</v>
      </c>
    </row>
    <row r="817" spans="1:36" s="179" customFormat="1" ht="154.5" customHeight="1" x14ac:dyDescent="0.25">
      <c r="A817" s="6">
        <v>814</v>
      </c>
      <c r="B817" s="31">
        <v>130074</v>
      </c>
      <c r="C817" s="31">
        <v>714</v>
      </c>
      <c r="D817" s="177" t="s">
        <v>143</v>
      </c>
      <c r="E817" s="82" t="s">
        <v>1056</v>
      </c>
      <c r="F817" s="31" t="s">
        <v>1289</v>
      </c>
      <c r="G817" s="11" t="s">
        <v>1288</v>
      </c>
      <c r="H817" s="8" t="s">
        <v>151</v>
      </c>
      <c r="I817" s="12" t="s">
        <v>1290</v>
      </c>
      <c r="J817" s="25">
        <v>43734</v>
      </c>
      <c r="K817" s="25">
        <v>44891</v>
      </c>
      <c r="L817" s="26">
        <f t="shared" si="287"/>
        <v>83.983862788054537</v>
      </c>
      <c r="M817" s="11" t="s">
        <v>136</v>
      </c>
      <c r="N817" s="11" t="s">
        <v>261</v>
      </c>
      <c r="O817" s="11" t="s">
        <v>261</v>
      </c>
      <c r="P817" s="27" t="s">
        <v>138</v>
      </c>
      <c r="Q817" s="11" t="s">
        <v>34</v>
      </c>
      <c r="R817" s="1">
        <f t="shared" si="289"/>
        <v>12261622.399999999</v>
      </c>
      <c r="S817" s="2">
        <v>9887930.1899999995</v>
      </c>
      <c r="T817" s="2">
        <v>2373692.21</v>
      </c>
      <c r="U817" s="1">
        <f t="shared" si="290"/>
        <v>0</v>
      </c>
      <c r="V817" s="28">
        <v>0</v>
      </c>
      <c r="W817" s="28">
        <v>0</v>
      </c>
      <c r="X817" s="1">
        <f t="shared" si="291"/>
        <v>2338351.92</v>
      </c>
      <c r="Y817" s="2">
        <v>1744928.84</v>
      </c>
      <c r="Z817" s="2">
        <v>593423.07999999996</v>
      </c>
      <c r="AA817" s="2">
        <f t="shared" si="292"/>
        <v>0</v>
      </c>
      <c r="AB817" s="2">
        <v>0</v>
      </c>
      <c r="AC817" s="2">
        <v>0</v>
      </c>
      <c r="AD817" s="16">
        <f t="shared" si="283"/>
        <v>14599974.319999998</v>
      </c>
      <c r="AE817" s="2">
        <v>0</v>
      </c>
      <c r="AF817" s="2">
        <f t="shared" si="293"/>
        <v>14599974.319999998</v>
      </c>
      <c r="AG817" s="38" t="s">
        <v>486</v>
      </c>
      <c r="AH817" s="29" t="s">
        <v>1778</v>
      </c>
      <c r="AI817" s="30">
        <f>129003.07+125869.89+139505.98+45662.87+89628.42+46385.45+5847342.87+738052.2</f>
        <v>7161450.75</v>
      </c>
      <c r="AJ817" s="30">
        <v>0</v>
      </c>
    </row>
    <row r="818" spans="1:36" s="179" customFormat="1" ht="199.5" customHeight="1" x14ac:dyDescent="0.25">
      <c r="A818" s="6">
        <v>815</v>
      </c>
      <c r="B818" s="31">
        <v>129720</v>
      </c>
      <c r="C818" s="31">
        <v>711</v>
      </c>
      <c r="D818" s="177" t="s">
        <v>143</v>
      </c>
      <c r="E818" s="82" t="s">
        <v>1056</v>
      </c>
      <c r="F818" s="31" t="s">
        <v>1293</v>
      </c>
      <c r="G818" s="27" t="s">
        <v>1717</v>
      </c>
      <c r="H818" s="8" t="s">
        <v>151</v>
      </c>
      <c r="I818" s="74" t="s">
        <v>3012</v>
      </c>
      <c r="J818" s="25">
        <v>43735</v>
      </c>
      <c r="K818" s="25">
        <v>44466</v>
      </c>
      <c r="L818" s="26">
        <f t="shared" si="287"/>
        <v>83.983862799999997</v>
      </c>
      <c r="M818" s="11" t="s">
        <v>136</v>
      </c>
      <c r="N818" s="11" t="s">
        <v>261</v>
      </c>
      <c r="O818" s="11" t="s">
        <v>261</v>
      </c>
      <c r="P818" s="27" t="s">
        <v>138</v>
      </c>
      <c r="Q818" s="11" t="s">
        <v>34</v>
      </c>
      <c r="R818" s="1">
        <f t="shared" si="289"/>
        <v>16796772.560000002</v>
      </c>
      <c r="S818" s="2">
        <v>13545133.640000001</v>
      </c>
      <c r="T818" s="2">
        <v>3251638.92</v>
      </c>
      <c r="U818" s="1">
        <f t="shared" si="290"/>
        <v>0</v>
      </c>
      <c r="V818" s="28">
        <v>0</v>
      </c>
      <c r="W818" s="28">
        <v>0</v>
      </c>
      <c r="X818" s="1">
        <f t="shared" si="291"/>
        <v>3203227.4400000004</v>
      </c>
      <c r="Y818" s="2">
        <v>2390317.7200000002</v>
      </c>
      <c r="Z818" s="2">
        <v>812909.72</v>
      </c>
      <c r="AA818" s="2">
        <f t="shared" si="292"/>
        <v>0</v>
      </c>
      <c r="AB818" s="2">
        <v>0</v>
      </c>
      <c r="AC818" s="2">
        <v>0</v>
      </c>
      <c r="AD818" s="16">
        <f t="shared" si="283"/>
        <v>20000000.000000004</v>
      </c>
      <c r="AE818" s="2">
        <v>3531910</v>
      </c>
      <c r="AF818" s="2">
        <f t="shared" si="293"/>
        <v>23531910.000000004</v>
      </c>
      <c r="AG818" s="38" t="s">
        <v>857</v>
      </c>
      <c r="AH818" s="29">
        <v>43818</v>
      </c>
      <c r="AI818" s="30">
        <f>1613109.94+68979.3+76801.57+2714837.16+50659.91+3563538.61+7956506.3</f>
        <v>16044432.789999999</v>
      </c>
      <c r="AJ818" s="30">
        <v>0</v>
      </c>
    </row>
    <row r="819" spans="1:36" s="179" customFormat="1" ht="199.5" customHeight="1" x14ac:dyDescent="0.25">
      <c r="A819" s="6">
        <v>816</v>
      </c>
      <c r="B819" s="31">
        <v>129934</v>
      </c>
      <c r="C819" s="31">
        <v>717</v>
      </c>
      <c r="D819" s="177" t="s">
        <v>143</v>
      </c>
      <c r="E819" s="82" t="s">
        <v>1056</v>
      </c>
      <c r="F819" s="31" t="s">
        <v>1294</v>
      </c>
      <c r="G819" s="11" t="s">
        <v>1718</v>
      </c>
      <c r="H819" s="8" t="s">
        <v>151</v>
      </c>
      <c r="I819" s="74" t="s">
        <v>3013</v>
      </c>
      <c r="J819" s="25">
        <v>43735</v>
      </c>
      <c r="K819" s="25">
        <v>45287</v>
      </c>
      <c r="L819" s="26">
        <f t="shared" si="287"/>
        <v>83.98386317938558</v>
      </c>
      <c r="M819" s="11" t="s">
        <v>136</v>
      </c>
      <c r="N819" s="11" t="s">
        <v>261</v>
      </c>
      <c r="O819" s="11" t="s">
        <v>261</v>
      </c>
      <c r="P819" s="27" t="s">
        <v>138</v>
      </c>
      <c r="Q819" s="11" t="s">
        <v>34</v>
      </c>
      <c r="R819" s="1">
        <f t="shared" si="289"/>
        <v>11458830.090000002</v>
      </c>
      <c r="S819" s="2">
        <v>9240548.1100000013</v>
      </c>
      <c r="T819" s="2">
        <v>2218281.98</v>
      </c>
      <c r="U819" s="1">
        <f t="shared" si="290"/>
        <v>0</v>
      </c>
      <c r="V819" s="28">
        <v>0</v>
      </c>
      <c r="W819" s="28">
        <v>0</v>
      </c>
      <c r="X819" s="1">
        <f t="shared" si="291"/>
        <v>2185255.4</v>
      </c>
      <c r="Y819" s="2">
        <v>1630684.92</v>
      </c>
      <c r="Z819" s="2">
        <v>554570.48</v>
      </c>
      <c r="AA819" s="2">
        <f t="shared" si="292"/>
        <v>0</v>
      </c>
      <c r="AB819" s="2">
        <v>0</v>
      </c>
      <c r="AC819" s="2">
        <v>0</v>
      </c>
      <c r="AD819" s="16">
        <f t="shared" si="283"/>
        <v>13644085.490000002</v>
      </c>
      <c r="AE819" s="2">
        <v>0</v>
      </c>
      <c r="AF819" s="2">
        <f t="shared" si="293"/>
        <v>13644085.490000002</v>
      </c>
      <c r="AG819" s="38" t="s">
        <v>486</v>
      </c>
      <c r="AH819" s="29" t="s">
        <v>2376</v>
      </c>
      <c r="AI819" s="30">
        <f>141791.63+434317.17+736075.72</f>
        <v>1312184.52</v>
      </c>
      <c r="AJ819" s="30">
        <v>0</v>
      </c>
    </row>
    <row r="820" spans="1:36" s="179" customFormat="1" ht="199.5" customHeight="1" x14ac:dyDescent="0.25">
      <c r="A820" s="6">
        <v>817</v>
      </c>
      <c r="B820" s="31">
        <v>129864</v>
      </c>
      <c r="C820" s="31">
        <v>712</v>
      </c>
      <c r="D820" s="177" t="s">
        <v>143</v>
      </c>
      <c r="E820" s="82" t="s">
        <v>1056</v>
      </c>
      <c r="F820" s="31" t="s">
        <v>1295</v>
      </c>
      <c r="G820" s="11" t="s">
        <v>703</v>
      </c>
      <c r="H820" s="8" t="s">
        <v>151</v>
      </c>
      <c r="I820" s="74" t="s">
        <v>3014</v>
      </c>
      <c r="J820" s="25">
        <v>43739</v>
      </c>
      <c r="K820" s="25">
        <v>44835</v>
      </c>
      <c r="L820" s="26">
        <f t="shared" si="287"/>
        <v>83.983862937437522</v>
      </c>
      <c r="M820" s="11" t="s">
        <v>136</v>
      </c>
      <c r="N820" s="11" t="s">
        <v>261</v>
      </c>
      <c r="O820" s="11" t="s">
        <v>261</v>
      </c>
      <c r="P820" s="27" t="s">
        <v>138</v>
      </c>
      <c r="Q820" s="11" t="s">
        <v>34</v>
      </c>
      <c r="R820" s="1">
        <f t="shared" si="289"/>
        <v>12555454</v>
      </c>
      <c r="S820" s="2">
        <v>10124879.76</v>
      </c>
      <c r="T820" s="2">
        <v>2430574.2399999998</v>
      </c>
      <c r="U820" s="1">
        <f t="shared" si="290"/>
        <v>0</v>
      </c>
      <c r="V820" s="28">
        <v>0</v>
      </c>
      <c r="W820" s="28">
        <v>0</v>
      </c>
      <c r="X820" s="1">
        <f t="shared" si="291"/>
        <v>2394387.0300000003</v>
      </c>
      <c r="Y820" s="2">
        <v>1786743.47</v>
      </c>
      <c r="Z820" s="2">
        <v>607643.56000000006</v>
      </c>
      <c r="AA820" s="2">
        <f t="shared" si="292"/>
        <v>0</v>
      </c>
      <c r="AB820" s="2">
        <v>0</v>
      </c>
      <c r="AC820" s="2">
        <v>0</v>
      </c>
      <c r="AD820" s="16">
        <f t="shared" si="283"/>
        <v>14949841.030000001</v>
      </c>
      <c r="AE820" s="2">
        <v>0</v>
      </c>
      <c r="AF820" s="2">
        <f t="shared" si="293"/>
        <v>14949841.030000001</v>
      </c>
      <c r="AG820" s="38" t="s">
        <v>857</v>
      </c>
      <c r="AH820" s="29" t="s">
        <v>2543</v>
      </c>
      <c r="AI820" s="30">
        <f>211446.04+244710.21+134219.36+266917.51+171701.65+6233688.03+2111792.04</f>
        <v>9374474.8399999999</v>
      </c>
      <c r="AJ820" s="30">
        <v>0</v>
      </c>
    </row>
    <row r="821" spans="1:36" s="179" customFormat="1" ht="199.5" customHeight="1" x14ac:dyDescent="0.25">
      <c r="A821" s="6">
        <v>818</v>
      </c>
      <c r="B821" s="31">
        <v>129721</v>
      </c>
      <c r="C821" s="31">
        <v>708</v>
      </c>
      <c r="D821" s="177" t="s">
        <v>143</v>
      </c>
      <c r="E821" s="82" t="s">
        <v>1056</v>
      </c>
      <c r="F821" s="31" t="s">
        <v>1298</v>
      </c>
      <c r="G821" s="11" t="s">
        <v>55</v>
      </c>
      <c r="H821" s="8" t="s">
        <v>151</v>
      </c>
      <c r="I821" s="74" t="s">
        <v>1299</v>
      </c>
      <c r="J821" s="25">
        <v>43739</v>
      </c>
      <c r="K821" s="25">
        <v>45261</v>
      </c>
      <c r="L821" s="26">
        <f t="shared" si="287"/>
        <v>83.983862959609539</v>
      </c>
      <c r="M821" s="11" t="s">
        <v>136</v>
      </c>
      <c r="N821" s="11" t="s">
        <v>261</v>
      </c>
      <c r="O821" s="11" t="s">
        <v>261</v>
      </c>
      <c r="P821" s="27" t="s">
        <v>138</v>
      </c>
      <c r="Q821" s="11" t="s">
        <v>34</v>
      </c>
      <c r="R821" s="1">
        <f t="shared" si="289"/>
        <v>18405842.140000001</v>
      </c>
      <c r="S821" s="2">
        <v>14842708.060000001</v>
      </c>
      <c r="T821" s="2">
        <v>3563134.0799999996</v>
      </c>
      <c r="U821" s="1">
        <f t="shared" si="290"/>
        <v>0</v>
      </c>
      <c r="V821" s="28">
        <v>0</v>
      </c>
      <c r="W821" s="28">
        <v>0</v>
      </c>
      <c r="X821" s="1">
        <f t="shared" si="291"/>
        <v>3510084.91</v>
      </c>
      <c r="Y821" s="2">
        <v>2619301.41</v>
      </c>
      <c r="Z821" s="2">
        <v>890783.5</v>
      </c>
      <c r="AA821" s="2">
        <f t="shared" si="292"/>
        <v>0</v>
      </c>
      <c r="AB821" s="2">
        <v>0</v>
      </c>
      <c r="AC821" s="2">
        <v>0</v>
      </c>
      <c r="AD821" s="16">
        <f t="shared" si="283"/>
        <v>21915927.050000001</v>
      </c>
      <c r="AE821" s="2">
        <v>0</v>
      </c>
      <c r="AF821" s="2">
        <f t="shared" si="293"/>
        <v>21915927.050000001</v>
      </c>
      <c r="AG821" s="38" t="s">
        <v>486</v>
      </c>
      <c r="AH821" s="29" t="s">
        <v>3095</v>
      </c>
      <c r="AI821" s="30">
        <f>113724.23+176713.8</f>
        <v>290438.02999999997</v>
      </c>
      <c r="AJ821" s="30">
        <v>0</v>
      </c>
    </row>
    <row r="822" spans="1:36" s="179" customFormat="1" ht="199.5" customHeight="1" x14ac:dyDescent="0.25">
      <c r="A822" s="6">
        <v>819</v>
      </c>
      <c r="B822" s="31">
        <v>129513</v>
      </c>
      <c r="C822" s="31">
        <v>751</v>
      </c>
      <c r="D822" s="177" t="s">
        <v>145</v>
      </c>
      <c r="E822" s="82" t="s">
        <v>1179</v>
      </c>
      <c r="F822" s="31" t="s">
        <v>1300</v>
      </c>
      <c r="G822" s="11" t="s">
        <v>810</v>
      </c>
      <c r="H822" s="8" t="s">
        <v>151</v>
      </c>
      <c r="I822" s="74" t="s">
        <v>3015</v>
      </c>
      <c r="J822" s="25">
        <v>43740</v>
      </c>
      <c r="K822" s="25">
        <v>45201</v>
      </c>
      <c r="L822" s="26">
        <f t="shared" si="287"/>
        <v>83.983862829875051</v>
      </c>
      <c r="M822" s="11" t="s">
        <v>136</v>
      </c>
      <c r="N822" s="11" t="s">
        <v>261</v>
      </c>
      <c r="O822" s="11" t="s">
        <v>261</v>
      </c>
      <c r="P822" s="27" t="s">
        <v>138</v>
      </c>
      <c r="Q822" s="11" t="s">
        <v>34</v>
      </c>
      <c r="R822" s="1">
        <f t="shared" si="289"/>
        <v>55026079.820000015</v>
      </c>
      <c r="S822" s="2">
        <v>44373739.230000012</v>
      </c>
      <c r="T822" s="2">
        <v>10652340.590000002</v>
      </c>
      <c r="U822" s="1">
        <f t="shared" si="290"/>
        <v>0</v>
      </c>
      <c r="V822" s="28">
        <v>0</v>
      </c>
      <c r="W822" s="28">
        <v>0</v>
      </c>
      <c r="X822" s="1">
        <f t="shared" si="291"/>
        <v>10493745.02</v>
      </c>
      <c r="Y822" s="2">
        <v>7830659.8600000003</v>
      </c>
      <c r="Z822" s="2">
        <v>2663085.16</v>
      </c>
      <c r="AA822" s="2">
        <f t="shared" si="292"/>
        <v>0</v>
      </c>
      <c r="AB822" s="2">
        <v>0</v>
      </c>
      <c r="AC822" s="2">
        <v>0</v>
      </c>
      <c r="AD822" s="16">
        <f t="shared" si="283"/>
        <v>65519824.840000018</v>
      </c>
      <c r="AE822" s="2">
        <v>0</v>
      </c>
      <c r="AF822" s="2">
        <f t="shared" si="293"/>
        <v>65519824.840000018</v>
      </c>
      <c r="AG822" s="38" t="s">
        <v>486</v>
      </c>
      <c r="AH822" s="29" t="s">
        <v>3288</v>
      </c>
      <c r="AI822" s="30">
        <f>281049.48+685757.66+516714.08+428470.56+486322+3637845.48+5033286.39+4929615.14+3320463.26+5873682.78+5090111.22</f>
        <v>30283318.049999997</v>
      </c>
      <c r="AJ822" s="30">
        <v>0</v>
      </c>
    </row>
    <row r="823" spans="1:36" s="179" customFormat="1" ht="199.5" customHeight="1" x14ac:dyDescent="0.25">
      <c r="A823" s="6">
        <v>820</v>
      </c>
      <c r="B823" s="31">
        <v>127623</v>
      </c>
      <c r="C823" s="31">
        <v>595</v>
      </c>
      <c r="D823" s="11" t="s">
        <v>143</v>
      </c>
      <c r="E823" s="24" t="s">
        <v>979</v>
      </c>
      <c r="F823" s="31" t="s">
        <v>1310</v>
      </c>
      <c r="G823" s="27" t="s">
        <v>2113</v>
      </c>
      <c r="H823" s="8" t="s">
        <v>151</v>
      </c>
      <c r="I823" s="74" t="s">
        <v>1311</v>
      </c>
      <c r="J823" s="25">
        <v>43747</v>
      </c>
      <c r="K823" s="25">
        <v>45208</v>
      </c>
      <c r="L823" s="26">
        <f t="shared" si="287"/>
        <v>83.983862788509896</v>
      </c>
      <c r="M823" s="11" t="s">
        <v>136</v>
      </c>
      <c r="N823" s="11" t="s">
        <v>261</v>
      </c>
      <c r="O823" s="11" t="s">
        <v>261</v>
      </c>
      <c r="P823" s="27" t="s">
        <v>138</v>
      </c>
      <c r="Q823" s="11" t="s">
        <v>34</v>
      </c>
      <c r="R823" s="1">
        <f t="shared" si="289"/>
        <v>9906922.4199999999</v>
      </c>
      <c r="S823" s="2">
        <v>7989069.8000000007</v>
      </c>
      <c r="T823" s="2">
        <v>1917852.6199999999</v>
      </c>
      <c r="U823" s="1">
        <f t="shared" si="290"/>
        <v>0</v>
      </c>
      <c r="V823" s="28">
        <v>0</v>
      </c>
      <c r="W823" s="28">
        <v>0</v>
      </c>
      <c r="X823" s="1">
        <f t="shared" si="291"/>
        <v>1889299.01</v>
      </c>
      <c r="Y823" s="2">
        <v>1409835.84</v>
      </c>
      <c r="Z823" s="2">
        <v>479463.17</v>
      </c>
      <c r="AA823" s="2">
        <f t="shared" si="292"/>
        <v>0</v>
      </c>
      <c r="AB823" s="2">
        <v>0</v>
      </c>
      <c r="AC823" s="2">
        <v>0</v>
      </c>
      <c r="AD823" s="16">
        <f t="shared" si="283"/>
        <v>11796221.43</v>
      </c>
      <c r="AE823" s="2">
        <v>0</v>
      </c>
      <c r="AF823" s="2">
        <f t="shared" si="293"/>
        <v>11796221.43</v>
      </c>
      <c r="AG823" s="38" t="s">
        <v>486</v>
      </c>
      <c r="AH823" s="29" t="s">
        <v>2304</v>
      </c>
      <c r="AI823" s="30">
        <f>132598.52+77491.92+74960.64+115335.69</f>
        <v>400386.77</v>
      </c>
      <c r="AJ823" s="30">
        <v>0</v>
      </c>
    </row>
    <row r="824" spans="1:36" s="179" customFormat="1" ht="199.5" customHeight="1" x14ac:dyDescent="0.25">
      <c r="A824" s="6">
        <v>821</v>
      </c>
      <c r="B824" s="31">
        <v>127598</v>
      </c>
      <c r="C824" s="31">
        <v>608</v>
      </c>
      <c r="D824" s="11" t="s">
        <v>143</v>
      </c>
      <c r="E824" s="24" t="s">
        <v>979</v>
      </c>
      <c r="F824" s="31" t="s">
        <v>1312</v>
      </c>
      <c r="G824" s="11" t="s">
        <v>1397</v>
      </c>
      <c r="H824" s="11" t="s">
        <v>1313</v>
      </c>
      <c r="I824" s="74" t="s">
        <v>3016</v>
      </c>
      <c r="J824" s="25">
        <v>43749</v>
      </c>
      <c r="K824" s="25">
        <v>45241</v>
      </c>
      <c r="L824" s="26">
        <f t="shared" si="287"/>
        <v>83.983863222222226</v>
      </c>
      <c r="M824" s="11" t="s">
        <v>136</v>
      </c>
      <c r="N824" s="11" t="s">
        <v>261</v>
      </c>
      <c r="O824" s="11" t="s">
        <v>261</v>
      </c>
      <c r="P824" s="27" t="s">
        <v>138</v>
      </c>
      <c r="Q824" s="11" t="s">
        <v>34</v>
      </c>
      <c r="R824" s="1">
        <f t="shared" si="289"/>
        <v>15117095.379999999</v>
      </c>
      <c r="S824" s="2">
        <v>12190620.34</v>
      </c>
      <c r="T824" s="2">
        <v>2926475.04</v>
      </c>
      <c r="U824" s="1">
        <f t="shared" si="290"/>
        <v>1618328.4200000002</v>
      </c>
      <c r="V824" s="28">
        <v>1195958.3700000001</v>
      </c>
      <c r="W824" s="28">
        <v>422370.05</v>
      </c>
      <c r="X824" s="1">
        <f t="shared" si="291"/>
        <v>1264576.2</v>
      </c>
      <c r="Y824" s="2">
        <v>955327.51</v>
      </c>
      <c r="Z824" s="2">
        <v>309248.69</v>
      </c>
      <c r="AA824" s="2">
        <f t="shared" si="292"/>
        <v>0</v>
      </c>
      <c r="AB824" s="2">
        <v>0</v>
      </c>
      <c r="AC824" s="2">
        <v>0</v>
      </c>
      <c r="AD824" s="16">
        <f t="shared" si="283"/>
        <v>18000000</v>
      </c>
      <c r="AE824" s="2">
        <v>0</v>
      </c>
      <c r="AF824" s="2">
        <f t="shared" si="293"/>
        <v>18000000</v>
      </c>
      <c r="AG824" s="38" t="s">
        <v>486</v>
      </c>
      <c r="AH824" s="29" t="s">
        <v>3267</v>
      </c>
      <c r="AI824" s="30">
        <f>1256566.16-2065.82+1022736.42+817563.47+1120183.68+760620.34-64262.61+317482.39+993219.65+272717.19+603869.98-114434.97+876836.06</f>
        <v>7861031.9399999995</v>
      </c>
      <c r="AJ824" s="30">
        <f>52183.12+2065.82+111341.07+136443.83+163573.7+116215.72+199320.79+27655.69+100780.39+124033.82</f>
        <v>1033613.95</v>
      </c>
    </row>
    <row r="825" spans="1:36" s="179" customFormat="1" ht="271.5" customHeight="1" x14ac:dyDescent="0.25">
      <c r="A825" s="6">
        <v>822</v>
      </c>
      <c r="B825" s="31">
        <v>129427</v>
      </c>
      <c r="C825" s="31">
        <v>702</v>
      </c>
      <c r="D825" s="177" t="s">
        <v>143</v>
      </c>
      <c r="E825" s="82" t="s">
        <v>1056</v>
      </c>
      <c r="F825" s="11" t="s">
        <v>1314</v>
      </c>
      <c r="G825" s="11" t="s">
        <v>1719</v>
      </c>
      <c r="H825" s="8" t="s">
        <v>151</v>
      </c>
      <c r="I825" s="46" t="s">
        <v>1315</v>
      </c>
      <c r="J825" s="25">
        <v>43749</v>
      </c>
      <c r="K825" s="25">
        <v>45027</v>
      </c>
      <c r="L825" s="26">
        <f t="shared" si="287"/>
        <v>83.983863368336614</v>
      </c>
      <c r="M825" s="11" t="s">
        <v>136</v>
      </c>
      <c r="N825" s="11" t="s">
        <v>261</v>
      </c>
      <c r="O825" s="11" t="s">
        <v>261</v>
      </c>
      <c r="P825" s="27" t="s">
        <v>138</v>
      </c>
      <c r="Q825" s="11" t="s">
        <v>34</v>
      </c>
      <c r="R825" s="1">
        <f t="shared" si="289"/>
        <v>5463727.5500000007</v>
      </c>
      <c r="S825" s="2">
        <v>4406020.2300000004</v>
      </c>
      <c r="T825" s="2">
        <v>1057707.32</v>
      </c>
      <c r="U825" s="1">
        <f t="shared" si="290"/>
        <v>0</v>
      </c>
      <c r="V825" s="28">
        <v>0</v>
      </c>
      <c r="W825" s="28">
        <v>0</v>
      </c>
      <c r="X825" s="1">
        <f t="shared" si="291"/>
        <v>1041959.77</v>
      </c>
      <c r="Y825" s="2">
        <v>777532.96</v>
      </c>
      <c r="Z825" s="2">
        <v>264426.81</v>
      </c>
      <c r="AA825" s="2">
        <f t="shared" si="292"/>
        <v>0</v>
      </c>
      <c r="AB825" s="2">
        <v>0</v>
      </c>
      <c r="AC825" s="2">
        <v>0</v>
      </c>
      <c r="AD825" s="16">
        <f t="shared" si="283"/>
        <v>6505687.3200000003</v>
      </c>
      <c r="AE825" s="2">
        <v>0</v>
      </c>
      <c r="AF825" s="2">
        <f t="shared" si="293"/>
        <v>6505687.3200000003</v>
      </c>
      <c r="AG825" s="38" t="s">
        <v>486</v>
      </c>
      <c r="AH825" s="29" t="s">
        <v>1792</v>
      </c>
      <c r="AI825" s="30">
        <f>19662.36+1815.43+321662.32</f>
        <v>343140.11</v>
      </c>
      <c r="AJ825" s="30">
        <v>0</v>
      </c>
    </row>
    <row r="826" spans="1:36" s="179" customFormat="1" ht="271.5" customHeight="1" x14ac:dyDescent="0.25">
      <c r="A826" s="6">
        <v>823</v>
      </c>
      <c r="B826" s="31">
        <v>129900</v>
      </c>
      <c r="C826" s="31">
        <v>731</v>
      </c>
      <c r="D826" s="177" t="s">
        <v>143</v>
      </c>
      <c r="E826" s="82" t="s">
        <v>1056</v>
      </c>
      <c r="F826" s="31" t="s">
        <v>1317</v>
      </c>
      <c r="G826" s="27" t="s">
        <v>1717</v>
      </c>
      <c r="H826" s="8" t="s">
        <v>151</v>
      </c>
      <c r="I826" s="46" t="s">
        <v>3017</v>
      </c>
      <c r="J826" s="25">
        <v>43752</v>
      </c>
      <c r="K826" s="25">
        <v>45121</v>
      </c>
      <c r="L826" s="26">
        <f t="shared" si="287"/>
        <v>83.983863141574176</v>
      </c>
      <c r="M826" s="11" t="s">
        <v>136</v>
      </c>
      <c r="N826" s="11" t="s">
        <v>261</v>
      </c>
      <c r="O826" s="11" t="s">
        <v>261</v>
      </c>
      <c r="P826" s="27" t="s">
        <v>138</v>
      </c>
      <c r="Q826" s="11" t="s">
        <v>34</v>
      </c>
      <c r="R826" s="1">
        <f t="shared" si="289"/>
        <v>10447061.779999999</v>
      </c>
      <c r="S826" s="2">
        <v>8424645.129999999</v>
      </c>
      <c r="T826" s="2">
        <v>2022416.6500000001</v>
      </c>
      <c r="U826" s="1">
        <f t="shared" si="290"/>
        <v>0</v>
      </c>
      <c r="V826" s="28">
        <v>0</v>
      </c>
      <c r="W826" s="28">
        <v>0</v>
      </c>
      <c r="X826" s="1">
        <f t="shared" si="291"/>
        <v>1992306.2</v>
      </c>
      <c r="Y826" s="2">
        <v>1486702.04</v>
      </c>
      <c r="Z826" s="2">
        <v>505604.16</v>
      </c>
      <c r="AA826" s="2">
        <f t="shared" si="292"/>
        <v>0</v>
      </c>
      <c r="AB826" s="2">
        <v>0</v>
      </c>
      <c r="AC826" s="2">
        <v>0</v>
      </c>
      <c r="AD826" s="16">
        <f t="shared" si="283"/>
        <v>12439367.979999999</v>
      </c>
      <c r="AE826" s="2">
        <v>0</v>
      </c>
      <c r="AF826" s="2">
        <f t="shared" si="293"/>
        <v>12439367.979999999</v>
      </c>
      <c r="AG826" s="38" t="s">
        <v>486</v>
      </c>
      <c r="AH826" s="29" t="s">
        <v>2062</v>
      </c>
      <c r="AI826" s="30">
        <f>8494.97+9887.42+40165.97+12018.09+10946.46+19789.11+12442.21+46830.42+25790.6+25882.15+10140.21+11095.95+1153293.28+345857.12</f>
        <v>1732633.96</v>
      </c>
      <c r="AJ826" s="30">
        <v>0</v>
      </c>
    </row>
    <row r="827" spans="1:36" s="179" customFormat="1" ht="271.5" customHeight="1" x14ac:dyDescent="0.25">
      <c r="A827" s="6">
        <v>824</v>
      </c>
      <c r="B827" s="31">
        <v>129165</v>
      </c>
      <c r="C827" s="31">
        <v>728</v>
      </c>
      <c r="D827" s="177" t="s">
        <v>143</v>
      </c>
      <c r="E827" s="82" t="s">
        <v>1056</v>
      </c>
      <c r="F827" s="31" t="s">
        <v>1318</v>
      </c>
      <c r="G827" s="11" t="s">
        <v>55</v>
      </c>
      <c r="H827" s="8" t="s">
        <v>151</v>
      </c>
      <c r="I827" s="46" t="s">
        <v>3018</v>
      </c>
      <c r="J827" s="25">
        <v>43754</v>
      </c>
      <c r="K827" s="25">
        <v>45246</v>
      </c>
      <c r="L827" s="26">
        <f t="shared" si="287"/>
        <v>83.983862955554315</v>
      </c>
      <c r="M827" s="11" t="s">
        <v>136</v>
      </c>
      <c r="N827" s="11" t="s">
        <v>261</v>
      </c>
      <c r="O827" s="11" t="s">
        <v>261</v>
      </c>
      <c r="P827" s="27" t="s">
        <v>138</v>
      </c>
      <c r="Q827" s="11" t="s">
        <v>34</v>
      </c>
      <c r="R827" s="1">
        <f t="shared" si="289"/>
        <v>11750422.249999996</v>
      </c>
      <c r="S827" s="2">
        <v>9475691.7799999975</v>
      </c>
      <c r="T827" s="2">
        <v>2274730.4699999997</v>
      </c>
      <c r="U827" s="1">
        <f t="shared" si="290"/>
        <v>0</v>
      </c>
      <c r="V827" s="28">
        <v>0</v>
      </c>
      <c r="W827" s="28">
        <v>0</v>
      </c>
      <c r="X827" s="1">
        <f t="shared" si="291"/>
        <v>2240863.5</v>
      </c>
      <c r="Y827" s="2">
        <v>1672180.9</v>
      </c>
      <c r="Z827" s="2">
        <v>568682.6</v>
      </c>
      <c r="AA827" s="2">
        <f t="shared" si="292"/>
        <v>0</v>
      </c>
      <c r="AB827" s="2">
        <v>0</v>
      </c>
      <c r="AC827" s="2">
        <v>0</v>
      </c>
      <c r="AD827" s="16">
        <f t="shared" si="283"/>
        <v>13991285.749999996</v>
      </c>
      <c r="AE827" s="2">
        <v>0</v>
      </c>
      <c r="AF827" s="2">
        <f t="shared" si="293"/>
        <v>13991285.749999996</v>
      </c>
      <c r="AG827" s="38" t="s">
        <v>486</v>
      </c>
      <c r="AH827" s="29" t="s">
        <v>2227</v>
      </c>
      <c r="AI827" s="30">
        <f>83522.79+351800.22+129034.08+323672.9+406338.08+645463.19</f>
        <v>1939831.26</v>
      </c>
      <c r="AJ827" s="30">
        <v>0</v>
      </c>
    </row>
    <row r="828" spans="1:36" s="179" customFormat="1" ht="271.5" customHeight="1" x14ac:dyDescent="0.25">
      <c r="A828" s="6">
        <v>825</v>
      </c>
      <c r="B828" s="31">
        <v>130070</v>
      </c>
      <c r="C828" s="31">
        <v>730</v>
      </c>
      <c r="D828" s="177" t="s">
        <v>143</v>
      </c>
      <c r="E828" s="82" t="s">
        <v>1056</v>
      </c>
      <c r="F828" s="31" t="s">
        <v>1319</v>
      </c>
      <c r="G828" s="11" t="s">
        <v>1354</v>
      </c>
      <c r="H828" s="8" t="s">
        <v>151</v>
      </c>
      <c r="I828" s="32" t="s">
        <v>1326</v>
      </c>
      <c r="J828" s="25">
        <v>43755</v>
      </c>
      <c r="K828" s="25">
        <v>45124</v>
      </c>
      <c r="L828" s="26">
        <f t="shared" si="287"/>
        <v>83.98386390777695</v>
      </c>
      <c r="M828" s="11" t="s">
        <v>136</v>
      </c>
      <c r="N828" s="11" t="s">
        <v>261</v>
      </c>
      <c r="O828" s="11" t="s">
        <v>261</v>
      </c>
      <c r="P828" s="27" t="s">
        <v>138</v>
      </c>
      <c r="Q828" s="11" t="s">
        <v>34</v>
      </c>
      <c r="R828" s="1">
        <f t="shared" si="289"/>
        <v>3788406.34</v>
      </c>
      <c r="S828" s="2">
        <v>3055019.6199999996</v>
      </c>
      <c r="T828" s="2">
        <v>733386.72</v>
      </c>
      <c r="U828" s="1">
        <f t="shared" si="290"/>
        <v>0</v>
      </c>
      <c r="V828" s="28">
        <v>0</v>
      </c>
      <c r="W828" s="28">
        <v>0</v>
      </c>
      <c r="X828" s="1">
        <f t="shared" si="291"/>
        <v>722467.73</v>
      </c>
      <c r="Y828" s="2">
        <v>539121.1</v>
      </c>
      <c r="Z828" s="2">
        <v>183346.63</v>
      </c>
      <c r="AA828" s="2">
        <f t="shared" si="292"/>
        <v>0</v>
      </c>
      <c r="AB828" s="2">
        <v>0</v>
      </c>
      <c r="AC828" s="2">
        <v>0</v>
      </c>
      <c r="AD828" s="16">
        <f t="shared" si="283"/>
        <v>4510874.07</v>
      </c>
      <c r="AE828" s="2">
        <v>0</v>
      </c>
      <c r="AF828" s="2">
        <f t="shared" si="293"/>
        <v>4510874.07</v>
      </c>
      <c r="AG828" s="38" t="s">
        <v>486</v>
      </c>
      <c r="AH828" s="29" t="s">
        <v>2285</v>
      </c>
      <c r="AI828" s="30">
        <f>15001.2+67145.65+55185.8+64431.59+132395.32+65406.63+164733.91</f>
        <v>564300.1</v>
      </c>
      <c r="AJ828" s="30">
        <v>0</v>
      </c>
    </row>
    <row r="829" spans="1:36" s="179" customFormat="1" ht="271.5" customHeight="1" x14ac:dyDescent="0.25">
      <c r="A829" s="6">
        <v>826</v>
      </c>
      <c r="B829" s="31">
        <v>129717</v>
      </c>
      <c r="C829" s="31">
        <v>713</v>
      </c>
      <c r="D829" s="177" t="s">
        <v>143</v>
      </c>
      <c r="E829" s="82" t="s">
        <v>1056</v>
      </c>
      <c r="F829" s="31" t="s">
        <v>1321</v>
      </c>
      <c r="G829" s="27" t="s">
        <v>1717</v>
      </c>
      <c r="H829" s="8" t="s">
        <v>151</v>
      </c>
      <c r="I829" s="46" t="s">
        <v>1322</v>
      </c>
      <c r="J829" s="25">
        <v>43755</v>
      </c>
      <c r="K829" s="25">
        <v>45094</v>
      </c>
      <c r="L829" s="26">
        <f t="shared" si="287"/>
        <v>83.983862667405546</v>
      </c>
      <c r="M829" s="11" t="s">
        <v>136</v>
      </c>
      <c r="N829" s="11" t="s">
        <v>261</v>
      </c>
      <c r="O829" s="11" t="s">
        <v>261</v>
      </c>
      <c r="P829" s="27" t="s">
        <v>138</v>
      </c>
      <c r="Q829" s="11" t="s">
        <v>34</v>
      </c>
      <c r="R829" s="1">
        <f t="shared" si="289"/>
        <v>5038501.1500000004</v>
      </c>
      <c r="S829" s="2">
        <v>4063112.22</v>
      </c>
      <c r="T829" s="2">
        <v>975388.93</v>
      </c>
      <c r="U829" s="1">
        <f t="shared" si="290"/>
        <v>0</v>
      </c>
      <c r="V829" s="28">
        <v>0</v>
      </c>
      <c r="W829" s="28">
        <v>0</v>
      </c>
      <c r="X829" s="1">
        <f t="shared" si="291"/>
        <v>960867.05</v>
      </c>
      <c r="Y829" s="2">
        <v>717019.79</v>
      </c>
      <c r="Z829" s="2">
        <v>243847.26</v>
      </c>
      <c r="AA829" s="2">
        <f t="shared" si="292"/>
        <v>0</v>
      </c>
      <c r="AB829" s="2">
        <v>0</v>
      </c>
      <c r="AC829" s="2">
        <v>0</v>
      </c>
      <c r="AD829" s="16">
        <f t="shared" si="283"/>
        <v>5999368.2000000002</v>
      </c>
      <c r="AE829" s="2">
        <v>0</v>
      </c>
      <c r="AF829" s="2">
        <f t="shared" si="293"/>
        <v>5999368.2000000002</v>
      </c>
      <c r="AG829" s="38" t="s">
        <v>486</v>
      </c>
      <c r="AH829" s="29" t="s">
        <v>1969</v>
      </c>
      <c r="AI829" s="30">
        <f>129503.12+13186.83+9573.32+351744.57+9168.52+211955.38+17232.65</f>
        <v>742364.39</v>
      </c>
      <c r="AJ829" s="30">
        <v>0</v>
      </c>
    </row>
    <row r="830" spans="1:36" s="179" customFormat="1" ht="409.5" customHeight="1" x14ac:dyDescent="0.25">
      <c r="A830" s="6">
        <v>827</v>
      </c>
      <c r="B830" s="31">
        <v>130033</v>
      </c>
      <c r="C830" s="31">
        <v>734</v>
      </c>
      <c r="D830" s="177" t="s">
        <v>143</v>
      </c>
      <c r="E830" s="82" t="s">
        <v>1056</v>
      </c>
      <c r="F830" s="31" t="s">
        <v>1324</v>
      </c>
      <c r="G830" s="11" t="s">
        <v>1397</v>
      </c>
      <c r="H830" s="11" t="s">
        <v>1325</v>
      </c>
      <c r="I830" s="46" t="s">
        <v>1327</v>
      </c>
      <c r="J830" s="25">
        <v>43755</v>
      </c>
      <c r="K830" s="25">
        <v>45216</v>
      </c>
      <c r="L830" s="26">
        <f t="shared" si="287"/>
        <v>83.983862824652149</v>
      </c>
      <c r="M830" s="11" t="s">
        <v>136</v>
      </c>
      <c r="N830" s="11" t="s">
        <v>261</v>
      </c>
      <c r="O830" s="11" t="s">
        <v>261</v>
      </c>
      <c r="P830" s="27" t="s">
        <v>138</v>
      </c>
      <c r="Q830" s="11" t="s">
        <v>34</v>
      </c>
      <c r="R830" s="1">
        <f t="shared" si="289"/>
        <v>117574048.60000001</v>
      </c>
      <c r="S830" s="2">
        <v>94813226.560000002</v>
      </c>
      <c r="T830" s="2">
        <v>22760822.040000007</v>
      </c>
      <c r="U830" s="1">
        <f t="shared" si="290"/>
        <v>974280.55999999994</v>
      </c>
      <c r="V830" s="28">
        <v>720001.54999999993</v>
      </c>
      <c r="W830" s="28">
        <v>254279.01</v>
      </c>
      <c r="X830" s="1">
        <f t="shared" si="291"/>
        <v>21447670.84</v>
      </c>
      <c r="Y830" s="2">
        <v>16011744.310000001</v>
      </c>
      <c r="Z830" s="2">
        <v>5435926.5300000003</v>
      </c>
      <c r="AA830" s="2">
        <f t="shared" si="292"/>
        <v>0</v>
      </c>
      <c r="AB830" s="2">
        <v>0</v>
      </c>
      <c r="AC830" s="2">
        <v>0</v>
      </c>
      <c r="AD830" s="16">
        <f t="shared" si="283"/>
        <v>139996000</v>
      </c>
      <c r="AE830" s="2">
        <v>0</v>
      </c>
      <c r="AF830" s="2">
        <f t="shared" si="293"/>
        <v>139996000</v>
      </c>
      <c r="AG830" s="38" t="s">
        <v>486</v>
      </c>
      <c r="AH830" s="29" t="s">
        <v>1759</v>
      </c>
      <c r="AI830" s="30">
        <f>10931339.59+1052162.42+3541052.81+1696.47+7201895.04+674660.74</f>
        <v>23402807.07</v>
      </c>
      <c r="AJ830" s="30">
        <f>165728.5+234828.34+283.13+242679.46+96341.89</f>
        <v>739861.32</v>
      </c>
    </row>
    <row r="831" spans="1:36" s="179" customFormat="1" ht="409.5" customHeight="1" x14ac:dyDescent="0.25">
      <c r="A831" s="6">
        <v>828</v>
      </c>
      <c r="B831" s="31">
        <v>129914</v>
      </c>
      <c r="C831" s="31">
        <v>752</v>
      </c>
      <c r="D831" s="177" t="s">
        <v>145</v>
      </c>
      <c r="E831" s="82" t="s">
        <v>1179</v>
      </c>
      <c r="F831" s="31" t="s">
        <v>1328</v>
      </c>
      <c r="G831" s="11" t="s">
        <v>1329</v>
      </c>
      <c r="H831" s="11" t="s">
        <v>525</v>
      </c>
      <c r="I831" s="46" t="s">
        <v>1330</v>
      </c>
      <c r="J831" s="25">
        <v>43755</v>
      </c>
      <c r="K831" s="25">
        <v>44912</v>
      </c>
      <c r="L831" s="26">
        <f t="shared" si="287"/>
        <v>83.983863158851392</v>
      </c>
      <c r="M831" s="11" t="s">
        <v>136</v>
      </c>
      <c r="N831" s="11" t="s">
        <v>261</v>
      </c>
      <c r="O831" s="11" t="s">
        <v>261</v>
      </c>
      <c r="P831" s="27" t="s">
        <v>138</v>
      </c>
      <c r="Q831" s="11" t="s">
        <v>34</v>
      </c>
      <c r="R831" s="1">
        <f t="shared" si="289"/>
        <v>8584841.4100000001</v>
      </c>
      <c r="S831" s="2">
        <v>6922926.6300000008</v>
      </c>
      <c r="T831" s="2">
        <v>1661914.7799999998</v>
      </c>
      <c r="U831" s="1">
        <f t="shared" si="290"/>
        <v>0</v>
      </c>
      <c r="V831" s="28">
        <v>0</v>
      </c>
      <c r="W831" s="28">
        <v>0</v>
      </c>
      <c r="X831" s="1">
        <f t="shared" si="291"/>
        <v>1637171.5899999999</v>
      </c>
      <c r="Y831" s="2">
        <v>1221692.92</v>
      </c>
      <c r="Z831" s="2">
        <v>415478.67</v>
      </c>
      <c r="AA831" s="2">
        <f t="shared" si="292"/>
        <v>0</v>
      </c>
      <c r="AB831" s="2">
        <v>0</v>
      </c>
      <c r="AC831" s="2">
        <v>0</v>
      </c>
      <c r="AD831" s="16">
        <f t="shared" si="283"/>
        <v>10222013</v>
      </c>
      <c r="AE831" s="2">
        <v>0</v>
      </c>
      <c r="AF831" s="2">
        <f t="shared" si="293"/>
        <v>10222013</v>
      </c>
      <c r="AG831" s="38" t="s">
        <v>486</v>
      </c>
      <c r="AH831" s="29" t="s">
        <v>3117</v>
      </c>
      <c r="AI831" s="30">
        <f>121921.89+165239.27+154753.7+261297.32+406055.9+1063553+1309979.41+985033.92+393858.93+504303.91+410791.6+249327.97</f>
        <v>6026116.8199999994</v>
      </c>
      <c r="AJ831" s="30">
        <v>0</v>
      </c>
    </row>
    <row r="832" spans="1:36" s="179" customFormat="1" ht="279" customHeight="1" x14ac:dyDescent="0.25">
      <c r="A832" s="6">
        <v>829</v>
      </c>
      <c r="B832" s="31">
        <v>129605</v>
      </c>
      <c r="C832" s="31">
        <v>723</v>
      </c>
      <c r="D832" s="177" t="s">
        <v>143</v>
      </c>
      <c r="E832" s="82" t="s">
        <v>1056</v>
      </c>
      <c r="F832" s="31" t="s">
        <v>1337</v>
      </c>
      <c r="G832" s="11" t="s">
        <v>55</v>
      </c>
      <c r="H832" s="8" t="s">
        <v>151</v>
      </c>
      <c r="I832" s="177" t="s">
        <v>1338</v>
      </c>
      <c r="J832" s="25">
        <v>43767</v>
      </c>
      <c r="K832" s="25">
        <v>45289</v>
      </c>
      <c r="L832" s="26">
        <f t="shared" si="287"/>
        <v>83.983862776024722</v>
      </c>
      <c r="M832" s="11" t="s">
        <v>136</v>
      </c>
      <c r="N832" s="11" t="s">
        <v>261</v>
      </c>
      <c r="O832" s="11" t="s">
        <v>261</v>
      </c>
      <c r="P832" s="27" t="s">
        <v>138</v>
      </c>
      <c r="Q832" s="11" t="s">
        <v>34</v>
      </c>
      <c r="R832" s="1">
        <f t="shared" si="289"/>
        <v>17794139.579999998</v>
      </c>
      <c r="S832" s="2">
        <v>14349423.26</v>
      </c>
      <c r="T832" s="2">
        <v>3444716.32</v>
      </c>
      <c r="U832" s="1">
        <f t="shared" si="290"/>
        <v>0</v>
      </c>
      <c r="V832" s="28">
        <v>0</v>
      </c>
      <c r="W832" s="28">
        <v>0</v>
      </c>
      <c r="X832" s="1">
        <f t="shared" si="291"/>
        <v>3393430.26</v>
      </c>
      <c r="Y832" s="2">
        <v>2532251.17</v>
      </c>
      <c r="Z832" s="2">
        <v>861179.09</v>
      </c>
      <c r="AA832" s="2">
        <f t="shared" si="292"/>
        <v>0</v>
      </c>
      <c r="AB832" s="2">
        <v>0</v>
      </c>
      <c r="AC832" s="2">
        <v>0</v>
      </c>
      <c r="AD832" s="16">
        <f t="shared" si="283"/>
        <v>21187569.839999996</v>
      </c>
      <c r="AE832" s="2">
        <v>0</v>
      </c>
      <c r="AF832" s="2">
        <f t="shared" si="293"/>
        <v>21187569.839999996</v>
      </c>
      <c r="AG832" s="38" t="s">
        <v>486</v>
      </c>
      <c r="AH832" s="29" t="s">
        <v>2241</v>
      </c>
      <c r="AI832" s="30">
        <f>22757.11+128885.93+61500.78+164886.35+53261.71+46141.57</f>
        <v>477433.45</v>
      </c>
      <c r="AJ832" s="30">
        <v>0</v>
      </c>
    </row>
    <row r="833" spans="1:36" s="179" customFormat="1" ht="279" customHeight="1" x14ac:dyDescent="0.25">
      <c r="A833" s="6">
        <v>830</v>
      </c>
      <c r="B833" s="31">
        <v>129988</v>
      </c>
      <c r="C833" s="31">
        <v>722</v>
      </c>
      <c r="D833" s="177" t="s">
        <v>143</v>
      </c>
      <c r="E833" s="82" t="s">
        <v>1056</v>
      </c>
      <c r="F833" s="31" t="s">
        <v>1339</v>
      </c>
      <c r="G833" s="27" t="s">
        <v>1717</v>
      </c>
      <c r="H833" s="11" t="s">
        <v>1364</v>
      </c>
      <c r="I833" s="177" t="s">
        <v>3019</v>
      </c>
      <c r="J833" s="25">
        <v>43769</v>
      </c>
      <c r="K833" s="25">
        <v>44592</v>
      </c>
      <c r="L833" s="26">
        <f t="shared" si="287"/>
        <v>83.983861380083297</v>
      </c>
      <c r="M833" s="11" t="s">
        <v>136</v>
      </c>
      <c r="N833" s="11" t="s">
        <v>261</v>
      </c>
      <c r="O833" s="11" t="s">
        <v>261</v>
      </c>
      <c r="P833" s="27" t="s">
        <v>138</v>
      </c>
      <c r="Q833" s="11" t="s">
        <v>34</v>
      </c>
      <c r="R833" s="1">
        <f t="shared" si="289"/>
        <v>2316470.8900000006</v>
      </c>
      <c r="S833" s="2">
        <v>1868031.9900000007</v>
      </c>
      <c r="T833" s="2">
        <v>448438.89999999997</v>
      </c>
      <c r="U833" s="1">
        <f t="shared" si="290"/>
        <v>24320.799999999999</v>
      </c>
      <c r="V833" s="28">
        <v>17973.28</v>
      </c>
      <c r="W833" s="28">
        <v>6347.52</v>
      </c>
      <c r="X833" s="1">
        <f t="shared" si="291"/>
        <v>417441.68</v>
      </c>
      <c r="Y833" s="2">
        <v>311679.42</v>
      </c>
      <c r="Z833" s="2">
        <v>105762.26</v>
      </c>
      <c r="AA833" s="2">
        <f t="shared" si="292"/>
        <v>0</v>
      </c>
      <c r="AB833" s="2">
        <v>0</v>
      </c>
      <c r="AC833" s="2">
        <v>0</v>
      </c>
      <c r="AD833" s="16">
        <f t="shared" si="283"/>
        <v>2758233.3700000006</v>
      </c>
      <c r="AE833" s="2">
        <v>0</v>
      </c>
      <c r="AF833" s="2">
        <f t="shared" si="293"/>
        <v>2758233.3700000006</v>
      </c>
      <c r="AG833" s="38" t="s">
        <v>857</v>
      </c>
      <c r="AH833" s="29" t="s">
        <v>1774</v>
      </c>
      <c r="AI833" s="30">
        <f>10251.91+105966.94+132739.32+625530.07+949083.51</f>
        <v>1823571.75</v>
      </c>
      <c r="AJ833" s="30">
        <f>339.33+931.37+9785.36</f>
        <v>11056.060000000001</v>
      </c>
    </row>
    <row r="834" spans="1:36" s="179" customFormat="1" ht="279" customHeight="1" x14ac:dyDescent="0.25">
      <c r="A834" s="6">
        <v>831</v>
      </c>
      <c r="B834" s="31">
        <v>126131</v>
      </c>
      <c r="C834" s="31">
        <v>575</v>
      </c>
      <c r="D834" s="177" t="s">
        <v>143</v>
      </c>
      <c r="E834" s="82" t="s">
        <v>979</v>
      </c>
      <c r="F834" s="31" t="s">
        <v>1341</v>
      </c>
      <c r="G834" s="11" t="s">
        <v>1350</v>
      </c>
      <c r="H834" s="8" t="s">
        <v>151</v>
      </c>
      <c r="I834" s="177" t="s">
        <v>1342</v>
      </c>
      <c r="J834" s="25">
        <v>43770</v>
      </c>
      <c r="K834" s="25">
        <v>44562</v>
      </c>
      <c r="L834" s="26">
        <f t="shared" si="287"/>
        <v>83.983862526260836</v>
      </c>
      <c r="M834" s="11" t="s">
        <v>1343</v>
      </c>
      <c r="N834" s="11" t="s">
        <v>261</v>
      </c>
      <c r="O834" s="11" t="s">
        <v>137</v>
      </c>
      <c r="P834" s="27" t="s">
        <v>138</v>
      </c>
      <c r="Q834" s="11" t="s">
        <v>1344</v>
      </c>
      <c r="R834" s="1">
        <f t="shared" si="289"/>
        <v>5226214.8500000024</v>
      </c>
      <c r="S834" s="2">
        <v>4214486.950000002</v>
      </c>
      <c r="T834" s="2">
        <v>1011727.9</v>
      </c>
      <c r="U834" s="1">
        <f t="shared" si="290"/>
        <v>0</v>
      </c>
      <c r="V834" s="28">
        <v>0</v>
      </c>
      <c r="W834" s="28">
        <v>0</v>
      </c>
      <c r="X834" s="1">
        <f t="shared" si="291"/>
        <v>996664.99</v>
      </c>
      <c r="Y834" s="2">
        <v>743733</v>
      </c>
      <c r="Z834" s="2">
        <v>252931.99</v>
      </c>
      <c r="AA834" s="2">
        <f t="shared" si="292"/>
        <v>0</v>
      </c>
      <c r="AB834" s="2">
        <v>0</v>
      </c>
      <c r="AC834" s="2">
        <v>0</v>
      </c>
      <c r="AD834" s="16">
        <f t="shared" si="283"/>
        <v>6222879.8400000026</v>
      </c>
      <c r="AE834" s="2">
        <v>0</v>
      </c>
      <c r="AF834" s="2">
        <f t="shared" si="293"/>
        <v>6222879.8400000026</v>
      </c>
      <c r="AG834" s="38" t="s">
        <v>857</v>
      </c>
      <c r="AH834" s="29" t="s">
        <v>1799</v>
      </c>
      <c r="AI834" s="30">
        <f>241884.65+99070.84+219197.39+126966.07+108092.98+760161.03+737630.16+2030856.71</f>
        <v>4323859.83</v>
      </c>
      <c r="AJ834" s="30">
        <v>0</v>
      </c>
    </row>
    <row r="835" spans="1:36" s="179" customFormat="1" ht="279" customHeight="1" x14ac:dyDescent="0.25">
      <c r="A835" s="6">
        <v>832</v>
      </c>
      <c r="B835" s="31">
        <v>127024</v>
      </c>
      <c r="C835" s="31">
        <v>597</v>
      </c>
      <c r="D835" s="177" t="s">
        <v>143</v>
      </c>
      <c r="E835" s="82" t="s">
        <v>979</v>
      </c>
      <c r="F835" s="31" t="s">
        <v>1371</v>
      </c>
      <c r="G835" s="11" t="s">
        <v>1372</v>
      </c>
      <c r="H835" s="8" t="s">
        <v>151</v>
      </c>
      <c r="I835" s="33" t="s">
        <v>1373</v>
      </c>
      <c r="J835" s="25">
        <v>43780</v>
      </c>
      <c r="K835" s="25">
        <v>45241</v>
      </c>
      <c r="L835" s="26">
        <f t="shared" si="287"/>
        <v>83.983863448962865</v>
      </c>
      <c r="M835" s="11" t="s">
        <v>1343</v>
      </c>
      <c r="N835" s="11" t="s">
        <v>261</v>
      </c>
      <c r="O835" s="11" t="s">
        <v>137</v>
      </c>
      <c r="P835" s="27" t="s">
        <v>138</v>
      </c>
      <c r="Q835" s="11" t="s">
        <v>1344</v>
      </c>
      <c r="R835" s="1">
        <f t="shared" si="289"/>
        <v>7226660.4299999997</v>
      </c>
      <c r="S835" s="2">
        <v>5827672.0199999996</v>
      </c>
      <c r="T835" s="2">
        <v>1398988.41</v>
      </c>
      <c r="U835" s="1">
        <f t="shared" si="290"/>
        <v>0</v>
      </c>
      <c r="V835" s="28">
        <v>0</v>
      </c>
      <c r="W835" s="28">
        <v>0</v>
      </c>
      <c r="X835" s="1">
        <f t="shared" si="291"/>
        <v>1378159.75</v>
      </c>
      <c r="Y835" s="2">
        <v>1028412.65</v>
      </c>
      <c r="Z835" s="2">
        <v>349747.1</v>
      </c>
      <c r="AA835" s="2">
        <f t="shared" si="292"/>
        <v>0</v>
      </c>
      <c r="AB835" s="2">
        <v>0</v>
      </c>
      <c r="AC835" s="2">
        <v>0</v>
      </c>
      <c r="AD835" s="16">
        <f t="shared" si="283"/>
        <v>8604820.1799999997</v>
      </c>
      <c r="AE835" s="2">
        <v>1800000</v>
      </c>
      <c r="AF835" s="2">
        <f t="shared" si="293"/>
        <v>10404820.18</v>
      </c>
      <c r="AG835" s="38" t="s">
        <v>486</v>
      </c>
      <c r="AH835" s="29" t="s">
        <v>2240</v>
      </c>
      <c r="AI835" s="30">
        <f>15455.18+11690.56+20309.88+70213.23+31079.07+47971.58+31844.17+315923.77+812331.49</f>
        <v>1356818.93</v>
      </c>
      <c r="AJ835" s="30">
        <v>0</v>
      </c>
    </row>
    <row r="836" spans="1:36" s="179" customFormat="1" ht="279" customHeight="1" x14ac:dyDescent="0.25">
      <c r="A836" s="6">
        <v>833</v>
      </c>
      <c r="B836" s="31">
        <v>129872</v>
      </c>
      <c r="C836" s="31">
        <v>715</v>
      </c>
      <c r="D836" s="177" t="s">
        <v>143</v>
      </c>
      <c r="E836" s="82" t="s">
        <v>1056</v>
      </c>
      <c r="F836" s="31" t="s">
        <v>1413</v>
      </c>
      <c r="G836" s="11" t="s">
        <v>1414</v>
      </c>
      <c r="H836" s="11" t="s">
        <v>1415</v>
      </c>
      <c r="I836" s="178" t="s">
        <v>1416</v>
      </c>
      <c r="J836" s="25">
        <v>43838</v>
      </c>
      <c r="K836" s="25">
        <v>45115</v>
      </c>
      <c r="L836" s="26">
        <f t="shared" si="287"/>
        <v>83.983862810067436</v>
      </c>
      <c r="M836" s="11" t="s">
        <v>1343</v>
      </c>
      <c r="N836" s="11" t="s">
        <v>261</v>
      </c>
      <c r="O836" s="11" t="s">
        <v>137</v>
      </c>
      <c r="P836" s="27" t="s">
        <v>138</v>
      </c>
      <c r="Q836" s="11" t="s">
        <v>1344</v>
      </c>
      <c r="R836" s="1">
        <f t="shared" si="289"/>
        <v>14298114.280000001</v>
      </c>
      <c r="S836" s="2">
        <v>11530183.430000002</v>
      </c>
      <c r="T836" s="2">
        <v>2767930.8499999996</v>
      </c>
      <c r="U836" s="1">
        <f t="shared" si="290"/>
        <v>2244176.9700000002</v>
      </c>
      <c r="V836" s="28">
        <v>1658464.5599999998</v>
      </c>
      <c r="W836" s="28">
        <v>585712.41000000027</v>
      </c>
      <c r="X836" s="1">
        <f t="shared" si="291"/>
        <v>482544</v>
      </c>
      <c r="Y836" s="2">
        <v>376273.71</v>
      </c>
      <c r="Z836" s="2">
        <v>106270.29</v>
      </c>
      <c r="AA836" s="2">
        <f t="shared" si="292"/>
        <v>0</v>
      </c>
      <c r="AB836" s="2">
        <v>0</v>
      </c>
      <c r="AC836" s="2">
        <v>0</v>
      </c>
      <c r="AD836" s="16">
        <f t="shared" si="283"/>
        <v>17024835.25</v>
      </c>
      <c r="AE836" s="2">
        <v>0</v>
      </c>
      <c r="AF836" s="2">
        <f t="shared" si="293"/>
        <v>17024835.25</v>
      </c>
      <c r="AG836" s="38" t="s">
        <v>486</v>
      </c>
      <c r="AH836" s="29" t="s">
        <v>3258</v>
      </c>
      <c r="AI836" s="30">
        <f>189152.64+1300000+1101373.25-51185.13+1344978.07-115334.83+971163.05-64039.15+2081656.78+756491.49+1297720.36</f>
        <v>8811976.5299999993</v>
      </c>
      <c r="AJ836" s="30">
        <f>31040.01+128850.4+121426.66+78498.26+138897.34+78482.69+253575.96+124994.97+214426.49</f>
        <v>1170192.78</v>
      </c>
    </row>
    <row r="837" spans="1:36" s="179" customFormat="1" ht="279" customHeight="1" x14ac:dyDescent="0.25">
      <c r="A837" s="6">
        <v>834</v>
      </c>
      <c r="B837" s="31">
        <v>129752</v>
      </c>
      <c r="C837" s="31">
        <v>707</v>
      </c>
      <c r="D837" s="177" t="s">
        <v>143</v>
      </c>
      <c r="E837" s="82" t="s">
        <v>1056</v>
      </c>
      <c r="F837" s="31" t="s">
        <v>1378</v>
      </c>
      <c r="G837" s="11" t="s">
        <v>1962</v>
      </c>
      <c r="H837" s="8" t="s">
        <v>151</v>
      </c>
      <c r="I837" s="177" t="s">
        <v>3020</v>
      </c>
      <c r="J837" s="25">
        <v>43791</v>
      </c>
      <c r="K837" s="25">
        <v>44795</v>
      </c>
      <c r="L837" s="26">
        <f t="shared" si="287"/>
        <v>83.983863478914273</v>
      </c>
      <c r="M837" s="11" t="s">
        <v>1343</v>
      </c>
      <c r="N837" s="11" t="s">
        <v>261</v>
      </c>
      <c r="O837" s="11" t="s">
        <v>137</v>
      </c>
      <c r="P837" s="27" t="s">
        <v>138</v>
      </c>
      <c r="Q837" s="11" t="s">
        <v>1344</v>
      </c>
      <c r="R837" s="1">
        <f t="shared" si="289"/>
        <v>5269881.79</v>
      </c>
      <c r="S837" s="2">
        <v>4249700.58</v>
      </c>
      <c r="T837" s="2">
        <v>1020181.21</v>
      </c>
      <c r="U837" s="1">
        <f t="shared" si="290"/>
        <v>0</v>
      </c>
      <c r="V837" s="28">
        <v>0</v>
      </c>
      <c r="W837" s="28">
        <v>0</v>
      </c>
      <c r="X837" s="1">
        <f t="shared" si="291"/>
        <v>1004992.42</v>
      </c>
      <c r="Y837" s="2">
        <v>749947.06</v>
      </c>
      <c r="Z837" s="2">
        <v>255045.36</v>
      </c>
      <c r="AA837" s="2">
        <v>0</v>
      </c>
      <c r="AB837" s="2">
        <v>0</v>
      </c>
      <c r="AC837" s="2">
        <v>0</v>
      </c>
      <c r="AD837" s="16">
        <f t="shared" ref="AD837:AD893" si="296">R837+U837+X837+AA837</f>
        <v>6274874.21</v>
      </c>
      <c r="AE837" s="2">
        <v>0</v>
      </c>
      <c r="AF837" s="2">
        <f t="shared" si="293"/>
        <v>6274874.21</v>
      </c>
      <c r="AG837" s="38" t="s">
        <v>857</v>
      </c>
      <c r="AH837" s="29" t="s">
        <v>2132</v>
      </c>
      <c r="AI837" s="30">
        <f>544225.81+67302.99+86586.53+103080.13+136816.43+315882.22+326425.03+516651.61+390266.77+409.44+216994.81</f>
        <v>2704641.77</v>
      </c>
      <c r="AJ837" s="30">
        <v>0</v>
      </c>
    </row>
    <row r="838" spans="1:36" s="179" customFormat="1" ht="279" customHeight="1" x14ac:dyDescent="0.25">
      <c r="A838" s="6">
        <v>835</v>
      </c>
      <c r="B838" s="31">
        <v>129166</v>
      </c>
      <c r="C838" s="31">
        <v>696</v>
      </c>
      <c r="D838" s="177" t="s">
        <v>143</v>
      </c>
      <c r="E838" s="82" t="s">
        <v>1056</v>
      </c>
      <c r="F838" s="31" t="s">
        <v>1383</v>
      </c>
      <c r="G838" s="11" t="s">
        <v>55</v>
      </c>
      <c r="H838" s="8" t="s">
        <v>151</v>
      </c>
      <c r="I838" s="177" t="s">
        <v>3021</v>
      </c>
      <c r="J838" s="25">
        <v>43797</v>
      </c>
      <c r="K838" s="25">
        <v>45258</v>
      </c>
      <c r="L838" s="26">
        <f t="shared" si="287"/>
        <v>83.983862904469049</v>
      </c>
      <c r="M838" s="11" t="s">
        <v>1343</v>
      </c>
      <c r="N838" s="11" t="s">
        <v>261</v>
      </c>
      <c r="O838" s="11" t="s">
        <v>137</v>
      </c>
      <c r="P838" s="27" t="s">
        <v>138</v>
      </c>
      <c r="Q838" s="11" t="s">
        <v>1344</v>
      </c>
      <c r="R838" s="1">
        <f t="shared" si="289"/>
        <v>11173608.710000001</v>
      </c>
      <c r="S838" s="2">
        <v>9010541.9300000016</v>
      </c>
      <c r="T838" s="2">
        <v>2163066.7799999998</v>
      </c>
      <c r="U838" s="1">
        <f t="shared" si="290"/>
        <v>0</v>
      </c>
      <c r="V838" s="28">
        <v>0</v>
      </c>
      <c r="W838" s="28">
        <v>0</v>
      </c>
      <c r="X838" s="1">
        <f t="shared" si="291"/>
        <v>2130862.3200000003</v>
      </c>
      <c r="Y838" s="2">
        <v>1590095.62</v>
      </c>
      <c r="Z838" s="2">
        <v>540766.69999999995</v>
      </c>
      <c r="AA838" s="2">
        <v>0</v>
      </c>
      <c r="AB838" s="2">
        <v>0</v>
      </c>
      <c r="AC838" s="2">
        <v>0</v>
      </c>
      <c r="AD838" s="16">
        <f t="shared" si="296"/>
        <v>13304471.030000001</v>
      </c>
      <c r="AE838" s="2">
        <v>0</v>
      </c>
      <c r="AF838" s="2">
        <f t="shared" si="293"/>
        <v>13304471.030000001</v>
      </c>
      <c r="AG838" s="38" t="s">
        <v>486</v>
      </c>
      <c r="AH838" s="29" t="s">
        <v>3257</v>
      </c>
      <c r="AI838" s="30">
        <f>153377.25+187286.87+232227.13+291523.63+930950.32</f>
        <v>1795365.2</v>
      </c>
      <c r="AJ838" s="30">
        <v>0</v>
      </c>
    </row>
    <row r="839" spans="1:36" s="179" customFormat="1" ht="279" customHeight="1" x14ac:dyDescent="0.25">
      <c r="A839" s="6">
        <v>836</v>
      </c>
      <c r="B839" s="31">
        <v>130073</v>
      </c>
      <c r="C839" s="31">
        <v>740</v>
      </c>
      <c r="D839" s="177" t="s">
        <v>143</v>
      </c>
      <c r="E839" s="82" t="s">
        <v>1056</v>
      </c>
      <c r="F839" s="31" t="s">
        <v>1387</v>
      </c>
      <c r="G839" s="11" t="s">
        <v>1385</v>
      </c>
      <c r="H839" s="8" t="s">
        <v>151</v>
      </c>
      <c r="I839" s="177" t="s">
        <v>1386</v>
      </c>
      <c r="J839" s="25">
        <v>43802</v>
      </c>
      <c r="K839" s="25">
        <v>45263</v>
      </c>
      <c r="L839" s="26">
        <f t="shared" si="287"/>
        <v>83.983862961011212</v>
      </c>
      <c r="M839" s="11" t="s">
        <v>1343</v>
      </c>
      <c r="N839" s="11" t="s">
        <v>261</v>
      </c>
      <c r="O839" s="11" t="s">
        <v>137</v>
      </c>
      <c r="P839" s="27" t="s">
        <v>138</v>
      </c>
      <c r="Q839" s="11" t="s">
        <v>1344</v>
      </c>
      <c r="R839" s="1">
        <f t="shared" si="289"/>
        <v>10894851.470000001</v>
      </c>
      <c r="S839" s="2">
        <v>8785748.4900000002</v>
      </c>
      <c r="T839" s="2">
        <v>2109102.98</v>
      </c>
      <c r="U839" s="1">
        <f t="shared" si="290"/>
        <v>1818250.86</v>
      </c>
      <c r="V839" s="28">
        <v>1343702.7100000002</v>
      </c>
      <c r="W839" s="28">
        <v>474548.14999999991</v>
      </c>
      <c r="X839" s="1">
        <f t="shared" si="291"/>
        <v>259451.07</v>
      </c>
      <c r="Y839" s="2">
        <v>206723.48</v>
      </c>
      <c r="Z839" s="2">
        <v>52727.59</v>
      </c>
      <c r="AA839" s="2">
        <v>0</v>
      </c>
      <c r="AB839" s="2">
        <v>0</v>
      </c>
      <c r="AC839" s="2">
        <v>0</v>
      </c>
      <c r="AD839" s="16">
        <f t="shared" si="296"/>
        <v>12972553.4</v>
      </c>
      <c r="AE839" s="2">
        <v>0</v>
      </c>
      <c r="AF839" s="2">
        <f t="shared" si="293"/>
        <v>12972553.4</v>
      </c>
      <c r="AG839" s="38" t="s">
        <v>486</v>
      </c>
      <c r="AH839" s="29" t="s">
        <v>2541</v>
      </c>
      <c r="AI839" s="30">
        <f>1307041.33-38227.08-43432.3-27216.51-57513.13+2848385.22-74102.87-107394.75+1355367.7+999407.97</f>
        <v>6162315.5800000001</v>
      </c>
      <c r="AJ839" s="30">
        <f>22158.67+38227.08+43432.3+27216.51+57513.13+261896.93+74102.87+107394.75+14410.55+166792.03</f>
        <v>813144.82000000007</v>
      </c>
    </row>
    <row r="840" spans="1:36" s="179" customFormat="1" ht="279" customHeight="1" x14ac:dyDescent="0.25">
      <c r="A840" s="6">
        <v>837</v>
      </c>
      <c r="B840" s="31">
        <v>129751</v>
      </c>
      <c r="C840" s="31">
        <v>719</v>
      </c>
      <c r="D840" s="177" t="s">
        <v>143</v>
      </c>
      <c r="E840" s="82" t="s">
        <v>1056</v>
      </c>
      <c r="F840" s="31" t="s">
        <v>1389</v>
      </c>
      <c r="G840" s="11" t="s">
        <v>1353</v>
      </c>
      <c r="H840" s="11" t="s">
        <v>1986</v>
      </c>
      <c r="I840" s="177" t="s">
        <v>1390</v>
      </c>
      <c r="J840" s="25">
        <v>43808</v>
      </c>
      <c r="K840" s="25">
        <v>45269</v>
      </c>
      <c r="L840" s="26">
        <f t="shared" si="287"/>
        <v>83.983863268739327</v>
      </c>
      <c r="M840" s="11" t="s">
        <v>1343</v>
      </c>
      <c r="N840" s="11" t="s">
        <v>261</v>
      </c>
      <c r="O840" s="11" t="s">
        <v>137</v>
      </c>
      <c r="P840" s="27" t="s">
        <v>138</v>
      </c>
      <c r="Q840" s="11" t="s">
        <v>1344</v>
      </c>
      <c r="R840" s="1">
        <f t="shared" si="289"/>
        <v>12249086.770000001</v>
      </c>
      <c r="S840" s="2">
        <v>9877821.2400000002</v>
      </c>
      <c r="T840" s="2">
        <v>2371265.5300000007</v>
      </c>
      <c r="U840" s="1">
        <f t="shared" si="290"/>
        <v>0</v>
      </c>
      <c r="V840" s="28">
        <v>0</v>
      </c>
      <c r="W840" s="28">
        <v>0</v>
      </c>
      <c r="X840" s="1">
        <f t="shared" si="291"/>
        <v>2335961.23</v>
      </c>
      <c r="Y840" s="2">
        <v>1743144.91</v>
      </c>
      <c r="Z840" s="2">
        <v>592816.31999999995</v>
      </c>
      <c r="AA840" s="2">
        <v>0</v>
      </c>
      <c r="AB840" s="2">
        <v>0</v>
      </c>
      <c r="AC840" s="2">
        <v>0</v>
      </c>
      <c r="AD840" s="16">
        <f t="shared" si="296"/>
        <v>14585048.000000002</v>
      </c>
      <c r="AE840" s="2">
        <v>0</v>
      </c>
      <c r="AF840" s="2">
        <f t="shared" si="293"/>
        <v>14585048.000000002</v>
      </c>
      <c r="AG840" s="38" t="s">
        <v>486</v>
      </c>
      <c r="AH840" s="29" t="s">
        <v>1985</v>
      </c>
      <c r="AI840" s="30">
        <f>5479.11+803013.38+1418.49+33093.84+127932.05+539731.54+192111.07+1523029.71</f>
        <v>3225809.1900000004</v>
      </c>
      <c r="AJ840" s="30">
        <v>0</v>
      </c>
    </row>
    <row r="841" spans="1:36" s="179" customFormat="1" ht="279" customHeight="1" x14ac:dyDescent="0.25">
      <c r="A841" s="6">
        <v>838</v>
      </c>
      <c r="B841" s="31">
        <v>128013</v>
      </c>
      <c r="C841" s="11">
        <v>593</v>
      </c>
      <c r="D841" s="177" t="s">
        <v>143</v>
      </c>
      <c r="E841" s="82" t="s">
        <v>979</v>
      </c>
      <c r="F841" s="31" t="s">
        <v>1396</v>
      </c>
      <c r="G841" s="11" t="s">
        <v>1397</v>
      </c>
      <c r="H841" s="11" t="s">
        <v>1398</v>
      </c>
      <c r="I841" s="33" t="s">
        <v>3022</v>
      </c>
      <c r="J841" s="25">
        <v>43817</v>
      </c>
      <c r="K841" s="25">
        <v>45248</v>
      </c>
      <c r="L841" s="26">
        <f t="shared" si="287"/>
        <v>83.983862832153392</v>
      </c>
      <c r="M841" s="11" t="s">
        <v>1343</v>
      </c>
      <c r="N841" s="11" t="s">
        <v>261</v>
      </c>
      <c r="O841" s="11" t="s">
        <v>137</v>
      </c>
      <c r="P841" s="27" t="s">
        <v>138</v>
      </c>
      <c r="Q841" s="11" t="s">
        <v>1344</v>
      </c>
      <c r="R841" s="1">
        <f t="shared" si="289"/>
        <v>25152543.590000004</v>
      </c>
      <c r="S841" s="2">
        <v>20283335.010000002</v>
      </c>
      <c r="T841" s="2">
        <v>4869208.58</v>
      </c>
      <c r="U841" s="1">
        <f t="shared" si="290"/>
        <v>1562953.45</v>
      </c>
      <c r="V841" s="28">
        <v>1155035.78</v>
      </c>
      <c r="W841" s="28">
        <v>407917.67</v>
      </c>
      <c r="X841" s="1">
        <f t="shared" si="291"/>
        <v>3233760.76</v>
      </c>
      <c r="Y841" s="2">
        <v>2424376.25</v>
      </c>
      <c r="Z841" s="2">
        <v>809384.51</v>
      </c>
      <c r="AA841" s="2">
        <v>0</v>
      </c>
      <c r="AB841" s="2">
        <v>0</v>
      </c>
      <c r="AC841" s="2">
        <v>0</v>
      </c>
      <c r="AD841" s="16">
        <f t="shared" si="296"/>
        <v>29949257.800000004</v>
      </c>
      <c r="AE841" s="2">
        <v>0</v>
      </c>
      <c r="AF841" s="2">
        <f t="shared" si="293"/>
        <v>29949257.800000004</v>
      </c>
      <c r="AG841" s="38" t="s">
        <v>486</v>
      </c>
      <c r="AH841" s="29" t="s">
        <v>2257</v>
      </c>
      <c r="AI841" s="30">
        <v>0</v>
      </c>
      <c r="AJ841" s="30">
        <v>0</v>
      </c>
    </row>
    <row r="842" spans="1:36" s="179" customFormat="1" ht="171" customHeight="1" x14ac:dyDescent="0.25">
      <c r="A842" s="6">
        <v>839</v>
      </c>
      <c r="B842" s="31">
        <v>127465</v>
      </c>
      <c r="C842" s="31">
        <v>594</v>
      </c>
      <c r="D842" s="177" t="s">
        <v>143</v>
      </c>
      <c r="E842" s="82" t="s">
        <v>979</v>
      </c>
      <c r="F842" s="31" t="s">
        <v>1399</v>
      </c>
      <c r="G842" s="11" t="s">
        <v>1397</v>
      </c>
      <c r="H842" s="32" t="s">
        <v>1400</v>
      </c>
      <c r="I842" s="33" t="s">
        <v>3023</v>
      </c>
      <c r="J842" s="25">
        <v>43817</v>
      </c>
      <c r="K842" s="25">
        <v>45034</v>
      </c>
      <c r="L842" s="26">
        <f t="shared" si="287"/>
        <v>83.983863696765596</v>
      </c>
      <c r="M842" s="11" t="s">
        <v>1343</v>
      </c>
      <c r="N842" s="11" t="s">
        <v>261</v>
      </c>
      <c r="O842" s="11" t="s">
        <v>137</v>
      </c>
      <c r="P842" s="27" t="s">
        <v>138</v>
      </c>
      <c r="Q842" s="11" t="s">
        <v>1344</v>
      </c>
      <c r="R842" s="1">
        <f t="shared" si="289"/>
        <v>12185638.089999998</v>
      </c>
      <c r="S842" s="2">
        <v>9826655.4199999981</v>
      </c>
      <c r="T842" s="2">
        <v>2358982.6700000004</v>
      </c>
      <c r="U842" s="1">
        <f t="shared" si="290"/>
        <v>378009.1399999999</v>
      </c>
      <c r="V842" s="28">
        <v>279351.9599999999</v>
      </c>
      <c r="W842" s="28">
        <v>98657.18</v>
      </c>
      <c r="X842" s="1">
        <f t="shared" si="291"/>
        <v>1945852.04</v>
      </c>
      <c r="Y842" s="2">
        <v>1454763.61</v>
      </c>
      <c r="Z842" s="2">
        <v>491088.43</v>
      </c>
      <c r="AA842" s="2">
        <f>AB842+AC842</f>
        <v>0</v>
      </c>
      <c r="AB842" s="2">
        <v>0</v>
      </c>
      <c r="AC842" s="2">
        <v>0</v>
      </c>
      <c r="AD842" s="16">
        <f t="shared" si="296"/>
        <v>14509499.27</v>
      </c>
      <c r="AE842" s="2">
        <v>0</v>
      </c>
      <c r="AF842" s="2">
        <f t="shared" si="293"/>
        <v>14509499.27</v>
      </c>
      <c r="AG842" s="38" t="s">
        <v>486</v>
      </c>
      <c r="AH842" s="29" t="s">
        <v>3096</v>
      </c>
      <c r="AI842" s="30">
        <f>487906.23+763317.08+465485.1+555858.59+806980.21+689889.1+1084668.61+2245498.53+1374276.08+493129.39</f>
        <v>8967008.9199999999</v>
      </c>
      <c r="AJ842" s="30">
        <f>24029.1+31800.36+7428.8+24992.88+36585.59+22948.98+43740.48+22982.59+15439.07+11955.8</f>
        <v>241903.65</v>
      </c>
    </row>
    <row r="843" spans="1:36" s="179" customFormat="1" ht="279" customHeight="1" x14ac:dyDescent="0.25">
      <c r="A843" s="6">
        <v>840</v>
      </c>
      <c r="B843" s="31">
        <v>127579</v>
      </c>
      <c r="C843" s="31">
        <v>610</v>
      </c>
      <c r="D843" s="177" t="s">
        <v>143</v>
      </c>
      <c r="E843" s="82" t="s">
        <v>979</v>
      </c>
      <c r="F843" s="31" t="s">
        <v>1401</v>
      </c>
      <c r="G843" s="11" t="s">
        <v>1397</v>
      </c>
      <c r="H843" s="32" t="s">
        <v>1402</v>
      </c>
      <c r="I843" s="33" t="s">
        <v>3024</v>
      </c>
      <c r="J843" s="25">
        <v>43817</v>
      </c>
      <c r="K843" s="25">
        <v>44944</v>
      </c>
      <c r="L843" s="26">
        <f t="shared" si="287"/>
        <v>83.983862949682958</v>
      </c>
      <c r="M843" s="11" t="s">
        <v>1343</v>
      </c>
      <c r="N843" s="11" t="s">
        <v>261</v>
      </c>
      <c r="O843" s="11" t="s">
        <v>137</v>
      </c>
      <c r="P843" s="27" t="s">
        <v>138</v>
      </c>
      <c r="Q843" s="11" t="s">
        <v>1344</v>
      </c>
      <c r="R843" s="1">
        <f t="shared" si="289"/>
        <v>14412959.909999998</v>
      </c>
      <c r="S843" s="2">
        <v>11622796.469999999</v>
      </c>
      <c r="T843" s="2">
        <v>2790163.439999999</v>
      </c>
      <c r="U843" s="1">
        <f t="shared" si="290"/>
        <v>488856.25999999995</v>
      </c>
      <c r="V843" s="28">
        <v>361268.92999999993</v>
      </c>
      <c r="W843" s="28">
        <v>127587.33</v>
      </c>
      <c r="X843" s="1">
        <f t="shared" si="291"/>
        <v>2259766.31</v>
      </c>
      <c r="Y843" s="2">
        <v>1689812.74</v>
      </c>
      <c r="Z843" s="2">
        <v>569953.56999999995</v>
      </c>
      <c r="AA843" s="2">
        <f>AB843+AC843</f>
        <v>0</v>
      </c>
      <c r="AB843" s="2">
        <v>0</v>
      </c>
      <c r="AC843" s="2">
        <v>0</v>
      </c>
      <c r="AD843" s="16">
        <f t="shared" si="296"/>
        <v>17161582.479999997</v>
      </c>
      <c r="AE843" s="2">
        <v>0</v>
      </c>
      <c r="AF843" s="2">
        <f t="shared" si="293"/>
        <v>17161582.479999997</v>
      </c>
      <c r="AG843" s="38" t="s">
        <v>486</v>
      </c>
      <c r="AH843" s="29" t="s">
        <v>2065</v>
      </c>
      <c r="AI843" s="30">
        <f>130139.18+185592.98+455227.72+446096.57+278816.11+494928.6+2415576.21+367916.03+900801.12</f>
        <v>5675094.5200000005</v>
      </c>
      <c r="AJ843" s="30">
        <f>14582.67+13439.8+31835.77+41361.65+21148.02+56798.48+53525.62+12502.68+38528.04</f>
        <v>283722.73</v>
      </c>
    </row>
    <row r="844" spans="1:36" s="179" customFormat="1" ht="279" customHeight="1" x14ac:dyDescent="0.25">
      <c r="A844" s="6">
        <v>841</v>
      </c>
      <c r="B844" s="31">
        <v>129170</v>
      </c>
      <c r="C844" s="31">
        <v>724</v>
      </c>
      <c r="D844" s="177" t="s">
        <v>143</v>
      </c>
      <c r="E844" s="82" t="s">
        <v>1056</v>
      </c>
      <c r="F844" s="31" t="s">
        <v>1406</v>
      </c>
      <c r="G844" s="11" t="s">
        <v>55</v>
      </c>
      <c r="H844" s="32" t="s">
        <v>1407</v>
      </c>
      <c r="I844" s="33" t="s">
        <v>1878</v>
      </c>
      <c r="J844" s="25">
        <v>43819</v>
      </c>
      <c r="K844" s="25">
        <v>44915</v>
      </c>
      <c r="L844" s="26">
        <f t="shared" si="287"/>
        <v>83.983863218572864</v>
      </c>
      <c r="M844" s="11" t="s">
        <v>1343</v>
      </c>
      <c r="N844" s="11" t="s">
        <v>261</v>
      </c>
      <c r="O844" s="11" t="s">
        <v>137</v>
      </c>
      <c r="P844" s="27" t="s">
        <v>138</v>
      </c>
      <c r="Q844" s="11" t="s">
        <v>1344</v>
      </c>
      <c r="R844" s="1">
        <f t="shared" si="289"/>
        <v>19868936.969999999</v>
      </c>
      <c r="S844" s="2">
        <v>16022566.539999999</v>
      </c>
      <c r="T844" s="2">
        <v>3846370.43</v>
      </c>
      <c r="U844" s="1">
        <f t="shared" si="290"/>
        <v>1348294.18</v>
      </c>
      <c r="V844" s="28">
        <v>996400.74</v>
      </c>
      <c r="W844" s="28">
        <v>351893.44</v>
      </c>
      <c r="X844" s="1">
        <f t="shared" si="291"/>
        <v>2440810.06</v>
      </c>
      <c r="Y844" s="2">
        <v>1831110.97</v>
      </c>
      <c r="Z844" s="2">
        <v>609699.09</v>
      </c>
      <c r="AA844" s="2">
        <f>AB844+AC844</f>
        <v>0</v>
      </c>
      <c r="AB844" s="2">
        <v>0</v>
      </c>
      <c r="AC844" s="2">
        <v>0</v>
      </c>
      <c r="AD844" s="16">
        <f t="shared" si="296"/>
        <v>23658041.209999997</v>
      </c>
      <c r="AE844" s="2">
        <v>0</v>
      </c>
      <c r="AF844" s="2">
        <f t="shared" si="293"/>
        <v>23658041.209999997</v>
      </c>
      <c r="AG844" s="38" t="s">
        <v>486</v>
      </c>
      <c r="AH844" s="29"/>
      <c r="AI844" s="30">
        <f>57948.86+247162.83+251292.32+1050536.25+2456366.06+2013781.03</f>
        <v>6077087.3500000006</v>
      </c>
      <c r="AJ844" s="30">
        <f>9154.08+23419+115023.53+125968.5+168821.99</f>
        <v>442387.1</v>
      </c>
    </row>
    <row r="845" spans="1:36" s="179" customFormat="1" ht="279" customHeight="1" x14ac:dyDescent="0.25">
      <c r="A845" s="6">
        <v>842</v>
      </c>
      <c r="B845" s="31">
        <v>127548</v>
      </c>
      <c r="C845" s="31">
        <v>591</v>
      </c>
      <c r="D845" s="177" t="s">
        <v>143</v>
      </c>
      <c r="E845" s="82" t="s">
        <v>979</v>
      </c>
      <c r="F845" s="31" t="s">
        <v>1409</v>
      </c>
      <c r="G845" s="11" t="s">
        <v>1410</v>
      </c>
      <c r="H845" s="8" t="s">
        <v>151</v>
      </c>
      <c r="I845" s="33" t="s">
        <v>1411</v>
      </c>
      <c r="J845" s="25">
        <v>43822</v>
      </c>
      <c r="K845" s="25">
        <v>45283</v>
      </c>
      <c r="L845" s="26">
        <f t="shared" si="287"/>
        <v>83.983862775942143</v>
      </c>
      <c r="M845" s="11" t="s">
        <v>1343</v>
      </c>
      <c r="N845" s="11" t="s">
        <v>261</v>
      </c>
      <c r="O845" s="11" t="s">
        <v>137</v>
      </c>
      <c r="P845" s="27" t="s">
        <v>138</v>
      </c>
      <c r="Q845" s="11" t="s">
        <v>1344</v>
      </c>
      <c r="R845" s="1">
        <f t="shared" si="289"/>
        <v>14146050.220000001</v>
      </c>
      <c r="S845" s="2">
        <v>11407557.030000001</v>
      </c>
      <c r="T845" s="2">
        <v>2738493.1899999995</v>
      </c>
      <c r="U845" s="1">
        <f t="shared" si="290"/>
        <v>0</v>
      </c>
      <c r="V845" s="28">
        <v>0</v>
      </c>
      <c r="W845" s="28">
        <v>0</v>
      </c>
      <c r="X845" s="1">
        <f t="shared" si="291"/>
        <v>2697721.6100000003</v>
      </c>
      <c r="Y845" s="2">
        <v>2013098.3</v>
      </c>
      <c r="Z845" s="2">
        <v>684623.31</v>
      </c>
      <c r="AA845" s="2">
        <f>AB845+AC845</f>
        <v>0</v>
      </c>
      <c r="AB845" s="2">
        <v>0</v>
      </c>
      <c r="AC845" s="2">
        <v>0</v>
      </c>
      <c r="AD845" s="16">
        <f t="shared" si="296"/>
        <v>16843771.830000002</v>
      </c>
      <c r="AE845" s="2">
        <v>0</v>
      </c>
      <c r="AF845" s="2">
        <f t="shared" si="293"/>
        <v>16843771.830000002</v>
      </c>
      <c r="AG845" s="38" t="s">
        <v>486</v>
      </c>
      <c r="AH845" s="29" t="s">
        <v>2181</v>
      </c>
      <c r="AI845" s="30">
        <f>12852.93+100262.57+75904.63+91562.57+86924.98+85284.77+138020.88</f>
        <v>590813.33000000007</v>
      </c>
      <c r="AJ845" s="30">
        <v>0</v>
      </c>
    </row>
    <row r="846" spans="1:36" s="179" customFormat="1" ht="279" customHeight="1" x14ac:dyDescent="0.25">
      <c r="A846" s="6">
        <v>843</v>
      </c>
      <c r="B846" s="31">
        <v>130709</v>
      </c>
      <c r="C846" s="31">
        <v>753</v>
      </c>
      <c r="D846" s="177" t="s">
        <v>144</v>
      </c>
      <c r="E846" s="82" t="s">
        <v>1366</v>
      </c>
      <c r="F846" s="31" t="s">
        <v>1368</v>
      </c>
      <c r="G846" s="11" t="s">
        <v>1367</v>
      </c>
      <c r="H846" s="11" t="s">
        <v>1369</v>
      </c>
      <c r="I846" s="32" t="s">
        <v>1370</v>
      </c>
      <c r="J846" s="25">
        <v>43783</v>
      </c>
      <c r="K846" s="25">
        <v>45183</v>
      </c>
      <c r="L846" s="26">
        <f t="shared" si="287"/>
        <v>83.983862999050473</v>
      </c>
      <c r="M846" s="11" t="s">
        <v>1343</v>
      </c>
      <c r="N846" s="11" t="s">
        <v>261</v>
      </c>
      <c r="O846" s="11" t="s">
        <v>137</v>
      </c>
      <c r="P846" s="27" t="s">
        <v>138</v>
      </c>
      <c r="Q846" s="11" t="s">
        <v>1344</v>
      </c>
      <c r="R846" s="1">
        <f t="shared" si="289"/>
        <v>41902444.089999996</v>
      </c>
      <c r="S846" s="2">
        <v>33790670.389999993</v>
      </c>
      <c r="T846" s="2">
        <v>8111773.7000000002</v>
      </c>
      <c r="U846" s="1">
        <f t="shared" si="290"/>
        <v>0</v>
      </c>
      <c r="V846" s="28">
        <v>0</v>
      </c>
      <c r="W846" s="28">
        <v>0</v>
      </c>
      <c r="X846" s="1">
        <f t="shared" si="291"/>
        <v>7991002.8099999996</v>
      </c>
      <c r="Y846" s="2">
        <v>5963059.4199999999</v>
      </c>
      <c r="Z846" s="2">
        <v>2027943.39</v>
      </c>
      <c r="AA846" s="2">
        <v>0</v>
      </c>
      <c r="AB846" s="2">
        <v>0</v>
      </c>
      <c r="AC846" s="2">
        <v>0</v>
      </c>
      <c r="AD846" s="16">
        <f t="shared" si="296"/>
        <v>49893446.899999999</v>
      </c>
      <c r="AE846" s="2">
        <v>27762.36</v>
      </c>
      <c r="AF846" s="2">
        <f t="shared" si="293"/>
        <v>49921209.259999998</v>
      </c>
      <c r="AG846" s="38" t="s">
        <v>486</v>
      </c>
      <c r="AH846" s="29" t="s">
        <v>1783</v>
      </c>
      <c r="AI846" s="30">
        <f>564656.74+805645.99+3598507.54+928356.46+2746835.89+4251380.42+751222.12</f>
        <v>13646605.159999998</v>
      </c>
      <c r="AJ846" s="30">
        <v>0</v>
      </c>
    </row>
    <row r="847" spans="1:36" s="179" customFormat="1" ht="279" customHeight="1" x14ac:dyDescent="0.25">
      <c r="A847" s="6">
        <v>844</v>
      </c>
      <c r="B847" s="31">
        <v>130048</v>
      </c>
      <c r="C847" s="31">
        <v>729</v>
      </c>
      <c r="D847" s="177" t="s">
        <v>143</v>
      </c>
      <c r="E847" s="82" t="s">
        <v>1056</v>
      </c>
      <c r="F847" s="31" t="s">
        <v>1422</v>
      </c>
      <c r="G847" s="11" t="s">
        <v>1423</v>
      </c>
      <c r="H847" s="11"/>
      <c r="I847" s="33" t="s">
        <v>3025</v>
      </c>
      <c r="J847" s="25">
        <v>43858</v>
      </c>
      <c r="K847" s="25">
        <v>45135</v>
      </c>
      <c r="L847" s="26">
        <f t="shared" ref="L847:L878" si="297">R847/AD847*100</f>
        <v>83.983862842436835</v>
      </c>
      <c r="M847" s="11" t="s">
        <v>1343</v>
      </c>
      <c r="N847" s="11" t="s">
        <v>261</v>
      </c>
      <c r="O847" s="11" t="s">
        <v>137</v>
      </c>
      <c r="P847" s="27" t="s">
        <v>138</v>
      </c>
      <c r="Q847" s="11" t="s">
        <v>1344</v>
      </c>
      <c r="R847" s="1">
        <f t="shared" ref="R847:R893" si="298">S847+T847</f>
        <v>85646819.920000002</v>
      </c>
      <c r="S847" s="2">
        <v>69066698.280000001</v>
      </c>
      <c r="T847" s="2">
        <v>16580121.640000001</v>
      </c>
      <c r="U847" s="1">
        <f t="shared" ref="U847:U893" si="299">V847+W847</f>
        <v>0</v>
      </c>
      <c r="V847" s="28">
        <v>0</v>
      </c>
      <c r="W847" s="28">
        <v>0</v>
      </c>
      <c r="X847" s="1">
        <f t="shared" ref="X847:X893" si="300">Y847+Z847</f>
        <v>16333271.279999999</v>
      </c>
      <c r="Y847" s="2">
        <v>12188240.859999999</v>
      </c>
      <c r="Z847" s="2">
        <v>4145030.42</v>
      </c>
      <c r="AA847" s="2">
        <f t="shared" ref="AA847:AA893" si="301">AB847+AC847</f>
        <v>0</v>
      </c>
      <c r="AB847" s="2">
        <v>0</v>
      </c>
      <c r="AC847" s="2">
        <v>0</v>
      </c>
      <c r="AD847" s="16">
        <f t="shared" si="296"/>
        <v>101980091.2</v>
      </c>
      <c r="AE847" s="2">
        <v>0</v>
      </c>
      <c r="AF847" s="2">
        <f t="shared" ref="AF847:AF893" si="302">AD847+AE847</f>
        <v>101980091.2</v>
      </c>
      <c r="AG847" s="38" t="s">
        <v>486</v>
      </c>
      <c r="AH847" s="29" t="s">
        <v>1931</v>
      </c>
      <c r="AI847" s="30">
        <f>49139.8+35424.39+151117.2+88973.34+157077.54+150417.62+346969.55+215067.56+193623.11</f>
        <v>1387810.1099999999</v>
      </c>
      <c r="AJ847" s="30">
        <v>0</v>
      </c>
    </row>
    <row r="848" spans="1:36" s="179" customFormat="1" ht="375.75" customHeight="1" x14ac:dyDescent="0.25">
      <c r="A848" s="6">
        <v>845</v>
      </c>
      <c r="B848" s="31">
        <v>127559</v>
      </c>
      <c r="C848" s="31">
        <v>601</v>
      </c>
      <c r="D848" s="177" t="s">
        <v>143</v>
      </c>
      <c r="E848" s="82" t="s">
        <v>979</v>
      </c>
      <c r="F848" s="31" t="s">
        <v>1426</v>
      </c>
      <c r="G848" s="11" t="s">
        <v>1397</v>
      </c>
      <c r="H848" s="11" t="s">
        <v>1199</v>
      </c>
      <c r="I848" s="33" t="s">
        <v>3026</v>
      </c>
      <c r="J848" s="25">
        <v>43867</v>
      </c>
      <c r="K848" s="25">
        <v>45266</v>
      </c>
      <c r="L848" s="26">
        <f t="shared" si="297"/>
        <v>83.983863045863743</v>
      </c>
      <c r="M848" s="11" t="s">
        <v>1343</v>
      </c>
      <c r="N848" s="11" t="s">
        <v>261</v>
      </c>
      <c r="O848" s="11" t="s">
        <v>137</v>
      </c>
      <c r="P848" s="27" t="s">
        <v>138</v>
      </c>
      <c r="Q848" s="11" t="s">
        <v>1344</v>
      </c>
      <c r="R848" s="1">
        <f t="shared" si="298"/>
        <v>9288170.129999999</v>
      </c>
      <c r="S848" s="2">
        <v>7490100.0199999996</v>
      </c>
      <c r="T848" s="2">
        <v>1798070.11</v>
      </c>
      <c r="U848" s="1">
        <f t="shared" si="299"/>
        <v>735571.09</v>
      </c>
      <c r="V848" s="28">
        <v>543593.19999999995</v>
      </c>
      <c r="W848" s="28">
        <v>191977.89</v>
      </c>
      <c r="X848" s="1">
        <f t="shared" si="300"/>
        <v>1035728.77</v>
      </c>
      <c r="Y848" s="2">
        <v>778189.08</v>
      </c>
      <c r="Z848" s="2">
        <v>257539.69</v>
      </c>
      <c r="AA848" s="2">
        <f t="shared" si="301"/>
        <v>0</v>
      </c>
      <c r="AB848" s="2">
        <v>0</v>
      </c>
      <c r="AC848" s="2">
        <v>0</v>
      </c>
      <c r="AD848" s="16">
        <f t="shared" si="296"/>
        <v>11059469.989999998</v>
      </c>
      <c r="AE848" s="2">
        <v>0</v>
      </c>
      <c r="AF848" s="2">
        <f t="shared" si="302"/>
        <v>11059469.989999998</v>
      </c>
      <c r="AG848" s="38" t="s">
        <v>486</v>
      </c>
      <c r="AH848" s="29" t="s">
        <v>2169</v>
      </c>
      <c r="AI848" s="30">
        <f>259423.64+367235.74</f>
        <v>626659.38</v>
      </c>
      <c r="AJ848" s="30">
        <f>30036.58+3351.54</f>
        <v>33388.120000000003</v>
      </c>
    </row>
    <row r="849" spans="1:36" s="179" customFormat="1" ht="375.75" customHeight="1" x14ac:dyDescent="0.25">
      <c r="A849" s="6">
        <v>846</v>
      </c>
      <c r="B849" s="31">
        <v>129439</v>
      </c>
      <c r="C849" s="31">
        <v>733</v>
      </c>
      <c r="D849" s="177" t="s">
        <v>143</v>
      </c>
      <c r="E849" s="82" t="s">
        <v>1056</v>
      </c>
      <c r="F849" s="31" t="s">
        <v>1428</v>
      </c>
      <c r="G849" s="11" t="s">
        <v>55</v>
      </c>
      <c r="H849" s="11" t="s">
        <v>1429</v>
      </c>
      <c r="I849" s="33" t="s">
        <v>1430</v>
      </c>
      <c r="J849" s="25">
        <v>43892</v>
      </c>
      <c r="K849" s="25">
        <v>44987</v>
      </c>
      <c r="L849" s="26">
        <f t="shared" si="297"/>
        <v>83.674685010841756</v>
      </c>
      <c r="M849" s="11" t="s">
        <v>1343</v>
      </c>
      <c r="N849" s="11" t="s">
        <v>261</v>
      </c>
      <c r="O849" s="11" t="s">
        <v>137</v>
      </c>
      <c r="P849" s="27" t="s">
        <v>138</v>
      </c>
      <c r="Q849" s="11" t="s">
        <v>1344</v>
      </c>
      <c r="R849" s="1">
        <f t="shared" si="298"/>
        <v>20986867.920000024</v>
      </c>
      <c r="S849" s="2">
        <v>16924080.510000024</v>
      </c>
      <c r="T849" s="2">
        <v>4062787.4099999983</v>
      </c>
      <c r="U849" s="1">
        <f t="shared" si="299"/>
        <v>724636.68999999971</v>
      </c>
      <c r="V849" s="28">
        <v>540739.60999999975</v>
      </c>
      <c r="W849" s="28">
        <v>183897.08</v>
      </c>
      <c r="X849" s="1">
        <f t="shared" si="300"/>
        <v>3277662.4800000004</v>
      </c>
      <c r="Y849" s="28">
        <v>2445862.7400000002</v>
      </c>
      <c r="Z849" s="28">
        <v>831799.74</v>
      </c>
      <c r="AA849" s="2">
        <f t="shared" si="301"/>
        <v>92335.06</v>
      </c>
      <c r="AB849" s="2">
        <v>73570.02</v>
      </c>
      <c r="AC849" s="2">
        <v>18765.04</v>
      </c>
      <c r="AD849" s="16">
        <f t="shared" si="296"/>
        <v>25081502.150000025</v>
      </c>
      <c r="AE849" s="2">
        <v>0</v>
      </c>
      <c r="AF849" s="2">
        <f t="shared" si="302"/>
        <v>25081502.150000025</v>
      </c>
      <c r="AG849" s="38" t="s">
        <v>486</v>
      </c>
      <c r="AH849" s="29" t="s">
        <v>1833</v>
      </c>
      <c r="AI849" s="30">
        <f>136005-607.39+307819.33+278885.5+644256.78+402297.58+276349.48+213618.51+439668.03+640661.2</f>
        <v>3338954.0200000005</v>
      </c>
      <c r="AJ849" s="30">
        <f>13919.68+26307.53+17343.02+36825.52+37718.75+8712.05+27171.57+37727.89+33275.55</f>
        <v>239001.56</v>
      </c>
    </row>
    <row r="850" spans="1:36" s="179" customFormat="1" ht="173.25" x14ac:dyDescent="0.25">
      <c r="A850" s="6">
        <v>847</v>
      </c>
      <c r="B850" s="31">
        <v>129990</v>
      </c>
      <c r="C850" s="31">
        <v>705</v>
      </c>
      <c r="D850" s="177" t="s">
        <v>143</v>
      </c>
      <c r="E850" s="82" t="s">
        <v>1056</v>
      </c>
      <c r="F850" s="31" t="s">
        <v>1556</v>
      </c>
      <c r="G850" s="11" t="s">
        <v>1555</v>
      </c>
      <c r="H850" s="8" t="s">
        <v>151</v>
      </c>
      <c r="I850" s="33" t="s">
        <v>3027</v>
      </c>
      <c r="J850" s="25">
        <v>44014</v>
      </c>
      <c r="K850" s="25">
        <v>44897</v>
      </c>
      <c r="L850" s="26">
        <f t="shared" si="297"/>
        <v>83.983862901115401</v>
      </c>
      <c r="M850" s="11" t="s">
        <v>1343</v>
      </c>
      <c r="N850" s="11" t="s">
        <v>261</v>
      </c>
      <c r="O850" s="11" t="s">
        <v>137</v>
      </c>
      <c r="P850" s="27" t="s">
        <v>138</v>
      </c>
      <c r="Q850" s="11" t="s">
        <v>1344</v>
      </c>
      <c r="R850" s="1">
        <f t="shared" si="298"/>
        <v>16144444.26</v>
      </c>
      <c r="S850" s="2">
        <v>13019087.710000001</v>
      </c>
      <c r="T850" s="2">
        <v>3125356.5499999993</v>
      </c>
      <c r="U850" s="1">
        <f t="shared" si="299"/>
        <v>2694359.81</v>
      </c>
      <c r="V850" s="28">
        <v>1991154.59</v>
      </c>
      <c r="W850" s="28">
        <v>703205.21999999986</v>
      </c>
      <c r="X850" s="1">
        <f t="shared" si="300"/>
        <v>384465.38</v>
      </c>
      <c r="Y850" s="28">
        <v>306331.46000000002</v>
      </c>
      <c r="Z850" s="28">
        <v>78133.919999999998</v>
      </c>
      <c r="AA850" s="2">
        <f t="shared" si="301"/>
        <v>0</v>
      </c>
      <c r="AB850" s="2">
        <v>0</v>
      </c>
      <c r="AC850" s="2">
        <v>0</v>
      </c>
      <c r="AD850" s="16">
        <f t="shared" si="296"/>
        <v>19223269.449999999</v>
      </c>
      <c r="AE850" s="2">
        <v>0</v>
      </c>
      <c r="AF850" s="2">
        <f t="shared" si="302"/>
        <v>19223269.449999999</v>
      </c>
      <c r="AG850" s="38" t="s">
        <v>486</v>
      </c>
      <c r="AH850" s="29" t="s">
        <v>3191</v>
      </c>
      <c r="AI850" s="30">
        <f>246923.22+195477.64+569003.02+318383.67+752930.88</f>
        <v>2082718.4300000002</v>
      </c>
      <c r="AJ850" s="30">
        <f>41209.23+32623.41+94961.39+53135.31+125657.26</f>
        <v>347586.6</v>
      </c>
    </row>
    <row r="851" spans="1:36" s="179" customFormat="1" ht="141.75" x14ac:dyDescent="0.25">
      <c r="A851" s="6">
        <v>848</v>
      </c>
      <c r="B851" s="31">
        <v>135331</v>
      </c>
      <c r="C851" s="31">
        <v>763</v>
      </c>
      <c r="D851" s="177" t="s">
        <v>145</v>
      </c>
      <c r="E851" s="82" t="s">
        <v>1179</v>
      </c>
      <c r="F851" s="31" t="s">
        <v>1583</v>
      </c>
      <c r="G851" s="11" t="s">
        <v>122</v>
      </c>
      <c r="H851" s="11" t="s">
        <v>1584</v>
      </c>
      <c r="I851" s="33" t="s">
        <v>3028</v>
      </c>
      <c r="J851" s="25">
        <v>44022</v>
      </c>
      <c r="K851" s="25">
        <v>44752</v>
      </c>
      <c r="L851" s="26">
        <f t="shared" si="297"/>
        <v>83.983862244196644</v>
      </c>
      <c r="M851" s="11" t="s">
        <v>1343</v>
      </c>
      <c r="N851" s="11" t="s">
        <v>261</v>
      </c>
      <c r="O851" s="11" t="s">
        <v>137</v>
      </c>
      <c r="P851" s="27" t="s">
        <v>138</v>
      </c>
      <c r="Q851" s="11" t="s">
        <v>34</v>
      </c>
      <c r="R851" s="1">
        <f t="shared" si="298"/>
        <v>3218611.31</v>
      </c>
      <c r="S851" s="2">
        <v>2595529.63</v>
      </c>
      <c r="T851" s="2">
        <v>623081.68000000005</v>
      </c>
      <c r="U851" s="1">
        <f t="shared" si="299"/>
        <v>0</v>
      </c>
      <c r="V851" s="28">
        <v>0</v>
      </c>
      <c r="W851" s="28">
        <v>0</v>
      </c>
      <c r="X851" s="1">
        <f t="shared" si="300"/>
        <v>613805.09</v>
      </c>
      <c r="Y851" s="28">
        <v>458034.63</v>
      </c>
      <c r="Z851" s="28">
        <v>155770.46</v>
      </c>
      <c r="AA851" s="2">
        <f t="shared" si="301"/>
        <v>0</v>
      </c>
      <c r="AB851" s="2">
        <v>0</v>
      </c>
      <c r="AC851" s="2">
        <v>0</v>
      </c>
      <c r="AD851" s="16">
        <f t="shared" si="296"/>
        <v>3832416.4</v>
      </c>
      <c r="AE851" s="2">
        <v>79730</v>
      </c>
      <c r="AF851" s="2">
        <f t="shared" si="302"/>
        <v>3912146.4</v>
      </c>
      <c r="AG851" s="38" t="s">
        <v>486</v>
      </c>
      <c r="AH851" s="29" t="s">
        <v>2350</v>
      </c>
      <c r="AI851" s="30">
        <f>11666.2+16032.52+23659.93+43482.93+43041.68+19548.09+31323.46</f>
        <v>188754.81</v>
      </c>
      <c r="AJ851" s="30">
        <v>0</v>
      </c>
    </row>
    <row r="852" spans="1:36" s="179" customFormat="1" ht="141.75" x14ac:dyDescent="0.25">
      <c r="A852" s="6">
        <v>849</v>
      </c>
      <c r="B852" s="31">
        <v>133609</v>
      </c>
      <c r="C852" s="31">
        <v>756</v>
      </c>
      <c r="D852" s="177" t="s">
        <v>145</v>
      </c>
      <c r="E852" s="82" t="s">
        <v>1179</v>
      </c>
      <c r="F852" s="31" t="s">
        <v>1597</v>
      </c>
      <c r="G852" s="11" t="s">
        <v>99</v>
      </c>
      <c r="H852" s="11" t="s">
        <v>1584</v>
      </c>
      <c r="I852" s="33" t="s">
        <v>1598</v>
      </c>
      <c r="J852" s="25">
        <v>44041</v>
      </c>
      <c r="K852" s="25">
        <v>45289</v>
      </c>
      <c r="L852" s="26">
        <f t="shared" si="297"/>
        <v>83.983862912035761</v>
      </c>
      <c r="M852" s="11" t="s">
        <v>1343</v>
      </c>
      <c r="N852" s="11" t="s">
        <v>261</v>
      </c>
      <c r="O852" s="11" t="s">
        <v>137</v>
      </c>
      <c r="P852" s="27" t="s">
        <v>138</v>
      </c>
      <c r="Q852" s="11" t="s">
        <v>34</v>
      </c>
      <c r="R852" s="1">
        <f t="shared" si="298"/>
        <v>15409396.120000001</v>
      </c>
      <c r="S852" s="2">
        <v>12426335.420000002</v>
      </c>
      <c r="T852" s="2">
        <v>2983060.7</v>
      </c>
      <c r="U852" s="1">
        <f t="shared" si="299"/>
        <v>0</v>
      </c>
      <c r="V852" s="28">
        <v>0</v>
      </c>
      <c r="W852" s="28">
        <v>0</v>
      </c>
      <c r="X852" s="1">
        <f t="shared" si="300"/>
        <v>2938647.88</v>
      </c>
      <c r="Y852" s="28">
        <v>2192882.71</v>
      </c>
      <c r="Z852" s="28">
        <v>745765.17</v>
      </c>
      <c r="AA852" s="2">
        <f t="shared" si="301"/>
        <v>0</v>
      </c>
      <c r="AB852" s="2">
        <v>0</v>
      </c>
      <c r="AC852" s="2">
        <v>0</v>
      </c>
      <c r="AD852" s="16">
        <f t="shared" si="296"/>
        <v>18348044</v>
      </c>
      <c r="AE852" s="2">
        <v>0</v>
      </c>
      <c r="AF852" s="2">
        <f t="shared" si="302"/>
        <v>18348044</v>
      </c>
      <c r="AG852" s="38" t="s">
        <v>486</v>
      </c>
      <c r="AH852" s="29" t="s">
        <v>3234</v>
      </c>
      <c r="AI852" s="30">
        <f>4635.91+75233.17+88898.76</f>
        <v>168767.84</v>
      </c>
      <c r="AJ852" s="30">
        <v>0</v>
      </c>
    </row>
    <row r="853" spans="1:36" s="179" customFormat="1" ht="141.75" x14ac:dyDescent="0.25">
      <c r="A853" s="6">
        <v>850</v>
      </c>
      <c r="B853" s="31">
        <v>135225</v>
      </c>
      <c r="C853" s="11">
        <v>760</v>
      </c>
      <c r="D853" s="177" t="s">
        <v>145</v>
      </c>
      <c r="E853" s="82" t="s">
        <v>1179</v>
      </c>
      <c r="F853" s="11" t="s">
        <v>1600</v>
      </c>
      <c r="G853" s="11" t="s">
        <v>810</v>
      </c>
      <c r="H853" s="8" t="s">
        <v>151</v>
      </c>
      <c r="I853" s="12" t="s">
        <v>1601</v>
      </c>
      <c r="J853" s="25">
        <v>44047</v>
      </c>
      <c r="K853" s="25">
        <v>45142</v>
      </c>
      <c r="L853" s="26">
        <f t="shared" si="297"/>
        <v>83.983862967148042</v>
      </c>
      <c r="M853" s="11" t="s">
        <v>1343</v>
      </c>
      <c r="N853" s="11" t="s">
        <v>261</v>
      </c>
      <c r="O853" s="11" t="s">
        <v>137</v>
      </c>
      <c r="P853" s="27" t="s">
        <v>138</v>
      </c>
      <c r="Q853" s="11" t="s">
        <v>34</v>
      </c>
      <c r="R853" s="1">
        <f t="shared" si="298"/>
        <v>15620059.060000001</v>
      </c>
      <c r="S853" s="2">
        <v>12596216.710000001</v>
      </c>
      <c r="T853" s="2">
        <v>3023842.35</v>
      </c>
      <c r="U853" s="1">
        <f t="shared" si="299"/>
        <v>0</v>
      </c>
      <c r="V853" s="28">
        <v>0</v>
      </c>
      <c r="W853" s="28">
        <v>0</v>
      </c>
      <c r="X853" s="1">
        <f t="shared" si="300"/>
        <v>2978822.33</v>
      </c>
      <c r="Y853" s="28">
        <v>2222861.7799999998</v>
      </c>
      <c r="Z853" s="28">
        <v>755960.55</v>
      </c>
      <c r="AA853" s="2">
        <f t="shared" si="301"/>
        <v>0</v>
      </c>
      <c r="AB853" s="2">
        <v>0</v>
      </c>
      <c r="AC853" s="2">
        <v>0</v>
      </c>
      <c r="AD853" s="16">
        <f t="shared" si="296"/>
        <v>18598881.390000001</v>
      </c>
      <c r="AE853" s="2">
        <v>0</v>
      </c>
      <c r="AF853" s="2">
        <f t="shared" si="302"/>
        <v>18598881.390000001</v>
      </c>
      <c r="AG853" s="38" t="s">
        <v>486</v>
      </c>
      <c r="AH853" s="29"/>
      <c r="AI853" s="30">
        <f>36440.6+102869.06+91428.19+210128.27+347717.23+236122.81+213337.48</f>
        <v>1238043.6399999999</v>
      </c>
      <c r="AJ853" s="30">
        <v>0</v>
      </c>
    </row>
    <row r="854" spans="1:36" s="179" customFormat="1" ht="204.75" x14ac:dyDescent="0.25">
      <c r="A854" s="6">
        <v>851</v>
      </c>
      <c r="B854" s="31">
        <v>133850</v>
      </c>
      <c r="C854" s="31">
        <v>761</v>
      </c>
      <c r="D854" s="177" t="s">
        <v>145</v>
      </c>
      <c r="E854" s="82" t="s">
        <v>1179</v>
      </c>
      <c r="F854" s="31" t="s">
        <v>1602</v>
      </c>
      <c r="G854" s="11" t="s">
        <v>810</v>
      </c>
      <c r="H854" s="11" t="s">
        <v>1584</v>
      </c>
      <c r="I854" s="33" t="s">
        <v>1603</v>
      </c>
      <c r="J854" s="25">
        <v>44047</v>
      </c>
      <c r="K854" s="25">
        <v>45142</v>
      </c>
      <c r="L854" s="26">
        <f t="shared" si="297"/>
        <v>83.983863128517754</v>
      </c>
      <c r="M854" s="11" t="s">
        <v>1343</v>
      </c>
      <c r="N854" s="11" t="s">
        <v>261</v>
      </c>
      <c r="O854" s="11" t="s">
        <v>137</v>
      </c>
      <c r="P854" s="27" t="s">
        <v>138</v>
      </c>
      <c r="Q854" s="11" t="s">
        <v>34</v>
      </c>
      <c r="R854" s="1">
        <f t="shared" si="298"/>
        <v>12939698.83</v>
      </c>
      <c r="S854" s="2">
        <v>10434739.720000001</v>
      </c>
      <c r="T854" s="2">
        <v>2504959.11</v>
      </c>
      <c r="U854" s="1">
        <f t="shared" si="299"/>
        <v>0</v>
      </c>
      <c r="V854" s="28">
        <v>0</v>
      </c>
      <c r="W854" s="28">
        <v>0</v>
      </c>
      <c r="X854" s="1">
        <f t="shared" si="300"/>
        <v>2467664.38</v>
      </c>
      <c r="Y854" s="28">
        <v>1841424.63</v>
      </c>
      <c r="Z854" s="28">
        <v>626239.75</v>
      </c>
      <c r="AA854" s="2">
        <f t="shared" si="301"/>
        <v>0</v>
      </c>
      <c r="AB854" s="2">
        <v>0</v>
      </c>
      <c r="AC854" s="2">
        <v>0</v>
      </c>
      <c r="AD854" s="16">
        <f t="shared" si="296"/>
        <v>15407363.210000001</v>
      </c>
      <c r="AE854" s="2">
        <v>0</v>
      </c>
      <c r="AF854" s="2">
        <f t="shared" si="302"/>
        <v>15407363.210000001</v>
      </c>
      <c r="AG854" s="38" t="s">
        <v>486</v>
      </c>
      <c r="AH854" s="29" t="s">
        <v>1767</v>
      </c>
      <c r="AI854" s="30">
        <f>61477.87+197727.26+736356.24+414415.68+844223.58+289442.35+75873.71</f>
        <v>2619516.69</v>
      </c>
      <c r="AJ854" s="30">
        <v>0</v>
      </c>
    </row>
    <row r="855" spans="1:36" s="179" customFormat="1" ht="141.75" x14ac:dyDescent="0.25">
      <c r="A855" s="6">
        <v>852</v>
      </c>
      <c r="B855" s="31">
        <v>135456</v>
      </c>
      <c r="C855" s="31">
        <v>762</v>
      </c>
      <c r="D855" s="177" t="s">
        <v>145</v>
      </c>
      <c r="E855" s="82" t="s">
        <v>1179</v>
      </c>
      <c r="F855" s="31" t="s">
        <v>1604</v>
      </c>
      <c r="G855" s="11" t="s">
        <v>810</v>
      </c>
      <c r="H855" s="11" t="s">
        <v>1965</v>
      </c>
      <c r="I855" s="33" t="s">
        <v>1605</v>
      </c>
      <c r="J855" s="25">
        <v>44047</v>
      </c>
      <c r="K855" s="25">
        <v>45264</v>
      </c>
      <c r="L855" s="26">
        <f t="shared" si="297"/>
        <v>83.98386310454093</v>
      </c>
      <c r="M855" s="11" t="s">
        <v>1343</v>
      </c>
      <c r="N855" s="11" t="s">
        <v>261</v>
      </c>
      <c r="O855" s="11" t="s">
        <v>137</v>
      </c>
      <c r="P855" s="27" t="s">
        <v>138</v>
      </c>
      <c r="Q855" s="11" t="s">
        <v>34</v>
      </c>
      <c r="R855" s="1">
        <f t="shared" si="298"/>
        <v>28829250.479999993</v>
      </c>
      <c r="S855" s="2">
        <v>23248278.729999993</v>
      </c>
      <c r="T855" s="2">
        <v>5580971.7500000009</v>
      </c>
      <c r="U855" s="1">
        <f t="shared" si="299"/>
        <v>0</v>
      </c>
      <c r="V855" s="28">
        <v>0</v>
      </c>
      <c r="W855" s="28">
        <v>0</v>
      </c>
      <c r="X855" s="1">
        <f t="shared" si="300"/>
        <v>5497880.25</v>
      </c>
      <c r="Y855" s="28">
        <v>4102637.37</v>
      </c>
      <c r="Z855" s="28">
        <v>1395242.88</v>
      </c>
      <c r="AA855" s="2">
        <f t="shared" si="301"/>
        <v>0</v>
      </c>
      <c r="AB855" s="2">
        <v>0</v>
      </c>
      <c r="AC855" s="2">
        <v>0</v>
      </c>
      <c r="AD855" s="16">
        <f t="shared" si="296"/>
        <v>34327130.729999989</v>
      </c>
      <c r="AE855" s="2">
        <v>0</v>
      </c>
      <c r="AF855" s="2">
        <f t="shared" si="302"/>
        <v>34327130.729999989</v>
      </c>
      <c r="AG855" s="38" t="s">
        <v>486</v>
      </c>
      <c r="AH855" s="29" t="s">
        <v>3310</v>
      </c>
      <c r="AI855" s="30">
        <f>197490.46+62364.74+154421.59+542411.22+145308.04+492941.44+218133.81</f>
        <v>1813071.3</v>
      </c>
      <c r="AJ855" s="30">
        <v>0</v>
      </c>
    </row>
    <row r="856" spans="1:36" s="179" customFormat="1" ht="141.75" x14ac:dyDescent="0.25">
      <c r="A856" s="6">
        <v>853</v>
      </c>
      <c r="B856" s="31">
        <v>133394</v>
      </c>
      <c r="C856" s="31">
        <v>764</v>
      </c>
      <c r="D856" s="177" t="s">
        <v>145</v>
      </c>
      <c r="E856" s="82" t="s">
        <v>1179</v>
      </c>
      <c r="F856" s="31" t="s">
        <v>1608</v>
      </c>
      <c r="G856" s="11" t="s">
        <v>1584</v>
      </c>
      <c r="H856" s="32" t="s">
        <v>1609</v>
      </c>
      <c r="I856" s="33" t="s">
        <v>3029</v>
      </c>
      <c r="J856" s="25">
        <v>44049</v>
      </c>
      <c r="K856" s="25">
        <v>45144</v>
      </c>
      <c r="L856" s="26">
        <f t="shared" si="297"/>
        <v>83.983862862472989</v>
      </c>
      <c r="M856" s="11" t="s">
        <v>1343</v>
      </c>
      <c r="N856" s="11" t="s">
        <v>261</v>
      </c>
      <c r="O856" s="11" t="s">
        <v>137</v>
      </c>
      <c r="P856" s="27" t="s">
        <v>138</v>
      </c>
      <c r="Q856" s="11" t="s">
        <v>34</v>
      </c>
      <c r="R856" s="1">
        <f t="shared" si="298"/>
        <v>28246326.609999999</v>
      </c>
      <c r="S856" s="2">
        <v>22778201.460000001</v>
      </c>
      <c r="T856" s="2">
        <v>5468125.1499999985</v>
      </c>
      <c r="U856" s="1">
        <f t="shared" si="299"/>
        <v>0</v>
      </c>
      <c r="V856" s="28">
        <v>0</v>
      </c>
      <c r="W856" s="28">
        <v>0</v>
      </c>
      <c r="X856" s="1">
        <f t="shared" si="300"/>
        <v>5386713.8899999997</v>
      </c>
      <c r="Y856" s="28">
        <v>4019682.59</v>
      </c>
      <c r="Z856" s="28">
        <v>1367031.3</v>
      </c>
      <c r="AA856" s="2">
        <f t="shared" si="301"/>
        <v>0</v>
      </c>
      <c r="AB856" s="2">
        <v>0</v>
      </c>
      <c r="AC856" s="2">
        <v>0</v>
      </c>
      <c r="AD856" s="16">
        <f t="shared" si="296"/>
        <v>33633040.5</v>
      </c>
      <c r="AE856" s="2">
        <v>0</v>
      </c>
      <c r="AF856" s="2">
        <f t="shared" si="302"/>
        <v>33633040.5</v>
      </c>
      <c r="AG856" s="38" t="s">
        <v>486</v>
      </c>
      <c r="AH856" s="29"/>
      <c r="AI856" s="30">
        <f>60051.25+102684.04+97708.07+86180.77+76336.79+74921.42+341985.06</f>
        <v>839867.39999999991</v>
      </c>
      <c r="AJ856" s="30">
        <v>0</v>
      </c>
    </row>
    <row r="857" spans="1:36" s="179" customFormat="1" ht="141.75" x14ac:dyDescent="0.25">
      <c r="A857" s="6">
        <v>854</v>
      </c>
      <c r="B857" s="31">
        <v>129604</v>
      </c>
      <c r="C857" s="31">
        <v>706</v>
      </c>
      <c r="D857" s="177" t="s">
        <v>143</v>
      </c>
      <c r="E857" s="82" t="s">
        <v>1056</v>
      </c>
      <c r="F857" s="31" t="s">
        <v>1615</v>
      </c>
      <c r="G857" s="11" t="s">
        <v>1930</v>
      </c>
      <c r="H857" s="11" t="s">
        <v>1616</v>
      </c>
      <c r="I857" s="33" t="s">
        <v>3030</v>
      </c>
      <c r="J857" s="25">
        <v>44053</v>
      </c>
      <c r="K857" s="25">
        <v>44905</v>
      </c>
      <c r="L857" s="26">
        <f t="shared" si="297"/>
        <v>83.983862832931337</v>
      </c>
      <c r="M857" s="11" t="s">
        <v>1343</v>
      </c>
      <c r="N857" s="11" t="s">
        <v>261</v>
      </c>
      <c r="O857" s="11" t="s">
        <v>137</v>
      </c>
      <c r="P857" s="27" t="s">
        <v>138</v>
      </c>
      <c r="Q857" s="11" t="s">
        <v>34</v>
      </c>
      <c r="R857" s="1">
        <f t="shared" si="298"/>
        <v>19376667.390000001</v>
      </c>
      <c r="S857" s="2">
        <v>15625594.039999999</v>
      </c>
      <c r="T857" s="2">
        <v>3751073.3500000006</v>
      </c>
      <c r="U857" s="1">
        <f t="shared" si="299"/>
        <v>0</v>
      </c>
      <c r="V857" s="28">
        <v>0</v>
      </c>
      <c r="W857" s="28">
        <v>0</v>
      </c>
      <c r="X857" s="1">
        <f t="shared" si="300"/>
        <v>3695226.11</v>
      </c>
      <c r="Y857" s="28">
        <v>2757457.79</v>
      </c>
      <c r="Z857" s="28">
        <v>937768.32</v>
      </c>
      <c r="AA857" s="2">
        <f t="shared" si="301"/>
        <v>0</v>
      </c>
      <c r="AB857" s="2">
        <v>0</v>
      </c>
      <c r="AC857" s="2">
        <v>0</v>
      </c>
      <c r="AD857" s="16">
        <f t="shared" si="296"/>
        <v>23071893.5</v>
      </c>
      <c r="AE857" s="2">
        <v>0</v>
      </c>
      <c r="AF857" s="2">
        <f t="shared" si="302"/>
        <v>23071893.5</v>
      </c>
      <c r="AG857" s="38" t="s">
        <v>486</v>
      </c>
      <c r="AH857" s="29"/>
      <c r="AI857" s="30">
        <f>122000.84+335475.68+254362.86+290005.39+109608.47+534236.8+142996.72</f>
        <v>1788686.76</v>
      </c>
      <c r="AJ857" s="30">
        <v>0</v>
      </c>
    </row>
    <row r="858" spans="1:36" s="179" customFormat="1" ht="173.25" x14ac:dyDescent="0.25">
      <c r="A858" s="6">
        <v>855</v>
      </c>
      <c r="B858" s="31">
        <v>130047</v>
      </c>
      <c r="C858" s="31">
        <v>721</v>
      </c>
      <c r="D858" s="177" t="s">
        <v>143</v>
      </c>
      <c r="E858" s="82" t="s">
        <v>1056</v>
      </c>
      <c r="F858" s="31" t="s">
        <v>1618</v>
      </c>
      <c r="G858" s="11" t="s">
        <v>1617</v>
      </c>
      <c r="H858" s="8" t="s">
        <v>151</v>
      </c>
      <c r="I858" s="33" t="s">
        <v>3031</v>
      </c>
      <c r="J858" s="25">
        <v>44055</v>
      </c>
      <c r="K858" s="25">
        <v>45272</v>
      </c>
      <c r="L858" s="26">
        <f t="shared" si="297"/>
        <v>83.98386283554224</v>
      </c>
      <c r="M858" s="11" t="s">
        <v>1343</v>
      </c>
      <c r="N858" s="11" t="s">
        <v>261</v>
      </c>
      <c r="O858" s="11" t="s">
        <v>137</v>
      </c>
      <c r="P858" s="27" t="s">
        <v>138</v>
      </c>
      <c r="Q858" s="11" t="s">
        <v>34</v>
      </c>
      <c r="R858" s="1">
        <f t="shared" si="298"/>
        <v>13238013.899999999</v>
      </c>
      <c r="S858" s="2">
        <v>10675304.85</v>
      </c>
      <c r="T858" s="2">
        <v>2562709.0499999998</v>
      </c>
      <c r="U858" s="1">
        <f t="shared" si="299"/>
        <v>0</v>
      </c>
      <c r="V858" s="28">
        <v>0</v>
      </c>
      <c r="W858" s="28">
        <v>0</v>
      </c>
      <c r="X858" s="1">
        <f t="shared" si="300"/>
        <v>2524554.59</v>
      </c>
      <c r="Y858" s="28">
        <v>1883877.32</v>
      </c>
      <c r="Z858" s="28">
        <v>640677.27</v>
      </c>
      <c r="AA858" s="2">
        <f t="shared" si="301"/>
        <v>0</v>
      </c>
      <c r="AB858" s="2">
        <v>0</v>
      </c>
      <c r="AC858" s="2">
        <v>0</v>
      </c>
      <c r="AD858" s="16">
        <f t="shared" si="296"/>
        <v>15762568.489999998</v>
      </c>
      <c r="AE858" s="2">
        <v>0</v>
      </c>
      <c r="AF858" s="2">
        <f t="shared" si="302"/>
        <v>15762568.489999998</v>
      </c>
      <c r="AG858" s="38" t="s">
        <v>486</v>
      </c>
      <c r="AH858" s="29" t="s">
        <v>2488</v>
      </c>
      <c r="AI858" s="30">
        <f>67715.09+302637.53</f>
        <v>370352.62</v>
      </c>
      <c r="AJ858" s="30">
        <v>0</v>
      </c>
    </row>
    <row r="859" spans="1:36" s="179" customFormat="1" ht="409.5" x14ac:dyDescent="0.25">
      <c r="A859" s="6">
        <v>856</v>
      </c>
      <c r="B859" s="31">
        <v>134289</v>
      </c>
      <c r="C859" s="31">
        <v>859</v>
      </c>
      <c r="D859" s="177" t="s">
        <v>143</v>
      </c>
      <c r="E859" s="82" t="s">
        <v>1622</v>
      </c>
      <c r="F859" s="31" t="s">
        <v>1619</v>
      </c>
      <c r="G859" s="11" t="s">
        <v>1397</v>
      </c>
      <c r="H859" s="8" t="s">
        <v>151</v>
      </c>
      <c r="I859" s="33" t="s">
        <v>3032</v>
      </c>
      <c r="J859" s="25">
        <v>44055</v>
      </c>
      <c r="K859" s="25">
        <v>45242</v>
      </c>
      <c r="L859" s="26">
        <f t="shared" si="297"/>
        <v>83.98386278818181</v>
      </c>
      <c r="M859" s="11" t="s">
        <v>1343</v>
      </c>
      <c r="N859" s="11" t="s">
        <v>261</v>
      </c>
      <c r="O859" s="11" t="s">
        <v>137</v>
      </c>
      <c r="P859" s="27" t="s">
        <v>138</v>
      </c>
      <c r="Q859" s="11" t="s">
        <v>34</v>
      </c>
      <c r="R859" s="1">
        <f t="shared" si="298"/>
        <v>5544465.129999999</v>
      </c>
      <c r="S859" s="2">
        <v>4471128.0599999996</v>
      </c>
      <c r="T859" s="2">
        <v>1073337.0699999996</v>
      </c>
      <c r="U859" s="1">
        <f t="shared" si="299"/>
        <v>0</v>
      </c>
      <c r="V859" s="28">
        <v>0</v>
      </c>
      <c r="W859" s="28">
        <v>0</v>
      </c>
      <c r="X859" s="1">
        <f t="shared" si="300"/>
        <v>1057356.8700000001</v>
      </c>
      <c r="Y859" s="28">
        <v>789022.61</v>
      </c>
      <c r="Z859" s="28">
        <v>268334.26</v>
      </c>
      <c r="AA859" s="2">
        <f t="shared" si="301"/>
        <v>0</v>
      </c>
      <c r="AB859" s="2">
        <v>0</v>
      </c>
      <c r="AC859" s="2">
        <v>0</v>
      </c>
      <c r="AD859" s="16">
        <f t="shared" si="296"/>
        <v>6601821.9999999991</v>
      </c>
      <c r="AE859" s="2">
        <v>0</v>
      </c>
      <c r="AF859" s="2">
        <f t="shared" si="302"/>
        <v>6601821.9999999991</v>
      </c>
      <c r="AG859" s="38" t="s">
        <v>486</v>
      </c>
      <c r="AH859" s="29" t="s">
        <v>2307</v>
      </c>
      <c r="AI859" s="30">
        <f>70951.01+138909.3+67691.66+61427.84+51510.66+163435.11+53232.33</f>
        <v>607157.90999999992</v>
      </c>
      <c r="AJ859" s="30">
        <v>0</v>
      </c>
    </row>
    <row r="860" spans="1:36" s="179" customFormat="1" ht="141.75" x14ac:dyDescent="0.25">
      <c r="A860" s="6">
        <v>857</v>
      </c>
      <c r="B860" s="31">
        <v>129714</v>
      </c>
      <c r="C860" s="31">
        <v>726</v>
      </c>
      <c r="D860" s="177" t="s">
        <v>143</v>
      </c>
      <c r="E860" s="82" t="s">
        <v>1056</v>
      </c>
      <c r="F860" s="31" t="s">
        <v>1623</v>
      </c>
      <c r="G860" s="11" t="s">
        <v>55</v>
      </c>
      <c r="H860" s="8" t="s">
        <v>151</v>
      </c>
      <c r="I860" s="33" t="s">
        <v>1624</v>
      </c>
      <c r="J860" s="25">
        <v>44061</v>
      </c>
      <c r="K860" s="25">
        <v>44791</v>
      </c>
      <c r="L860" s="26">
        <f t="shared" si="297"/>
        <v>83.983862951227977</v>
      </c>
      <c r="M860" s="11" t="s">
        <v>1343</v>
      </c>
      <c r="N860" s="11" t="s">
        <v>261</v>
      </c>
      <c r="O860" s="11" t="s">
        <v>137</v>
      </c>
      <c r="P860" s="27" t="s">
        <v>138</v>
      </c>
      <c r="Q860" s="11" t="s">
        <v>34</v>
      </c>
      <c r="R860" s="1">
        <f t="shared" si="298"/>
        <v>1775235.61</v>
      </c>
      <c r="S860" s="2">
        <v>1431572.85</v>
      </c>
      <c r="T860" s="2">
        <v>343662.76</v>
      </c>
      <c r="U860" s="1">
        <f t="shared" si="299"/>
        <v>0</v>
      </c>
      <c r="V860" s="28">
        <v>0</v>
      </c>
      <c r="W860" s="28">
        <v>0</v>
      </c>
      <c r="X860" s="1">
        <f t="shared" si="300"/>
        <v>338546.19</v>
      </c>
      <c r="Y860" s="2">
        <v>252630.5</v>
      </c>
      <c r="Z860" s="2">
        <v>85915.69</v>
      </c>
      <c r="AA860" s="2">
        <f t="shared" si="301"/>
        <v>0</v>
      </c>
      <c r="AB860" s="2">
        <v>0</v>
      </c>
      <c r="AC860" s="2">
        <v>0</v>
      </c>
      <c r="AD860" s="16">
        <f t="shared" si="296"/>
        <v>2113781.8000000003</v>
      </c>
      <c r="AE860" s="2">
        <v>0</v>
      </c>
      <c r="AF860" s="2">
        <f t="shared" si="302"/>
        <v>2113781.8000000003</v>
      </c>
      <c r="AG860" s="38" t="s">
        <v>857</v>
      </c>
      <c r="AH860" s="29"/>
      <c r="AI860" s="30">
        <v>0</v>
      </c>
      <c r="AJ860" s="30">
        <v>0</v>
      </c>
    </row>
    <row r="861" spans="1:36" s="179" customFormat="1" ht="204.75" x14ac:dyDescent="0.25">
      <c r="A861" s="6">
        <v>858</v>
      </c>
      <c r="B861" s="31">
        <v>134962</v>
      </c>
      <c r="C861" s="31">
        <v>858</v>
      </c>
      <c r="D861" s="177" t="s">
        <v>143</v>
      </c>
      <c r="E861" s="82" t="s">
        <v>1622</v>
      </c>
      <c r="F861" s="31" t="s">
        <v>1626</v>
      </c>
      <c r="G861" s="11" t="s">
        <v>1625</v>
      </c>
      <c r="H861" s="8" t="s">
        <v>151</v>
      </c>
      <c r="I861" s="33" t="s">
        <v>3033</v>
      </c>
      <c r="J861" s="25">
        <v>44062</v>
      </c>
      <c r="K861" s="25">
        <v>45157</v>
      </c>
      <c r="L861" s="26">
        <f t="shared" si="297"/>
        <v>83.983862883576052</v>
      </c>
      <c r="M861" s="11" t="s">
        <v>1343</v>
      </c>
      <c r="N861" s="11" t="s">
        <v>261</v>
      </c>
      <c r="O861" s="11" t="s">
        <v>137</v>
      </c>
      <c r="P861" s="27" t="s">
        <v>138</v>
      </c>
      <c r="Q861" s="11" t="s">
        <v>34</v>
      </c>
      <c r="R861" s="1">
        <f t="shared" si="298"/>
        <v>25127215.920000002</v>
      </c>
      <c r="S861" s="2">
        <v>20262910.43</v>
      </c>
      <c r="T861" s="2">
        <v>4864305.4900000012</v>
      </c>
      <c r="U861" s="1">
        <f t="shared" si="299"/>
        <v>0</v>
      </c>
      <c r="V861" s="28">
        <v>0</v>
      </c>
      <c r="W861" s="28">
        <v>0</v>
      </c>
      <c r="X861" s="1">
        <f t="shared" si="300"/>
        <v>4791884.08</v>
      </c>
      <c r="Y861" s="2">
        <v>3575807.71</v>
      </c>
      <c r="Z861" s="2">
        <v>1216076.3700000001</v>
      </c>
      <c r="AA861" s="2">
        <f t="shared" si="301"/>
        <v>0</v>
      </c>
      <c r="AB861" s="2">
        <v>0</v>
      </c>
      <c r="AC861" s="2">
        <v>0</v>
      </c>
      <c r="AD861" s="16">
        <f t="shared" si="296"/>
        <v>29919100</v>
      </c>
      <c r="AE861" s="2">
        <v>0</v>
      </c>
      <c r="AF861" s="2">
        <f t="shared" si="302"/>
        <v>29919100</v>
      </c>
      <c r="AG861" s="38" t="s">
        <v>486</v>
      </c>
      <c r="AH861" s="29"/>
      <c r="AI861" s="30">
        <f>67453.27+112356.03+125753.6+402241.99+268534.8+49812.51+105461.75</f>
        <v>1131613.95</v>
      </c>
      <c r="AJ861" s="30">
        <v>0</v>
      </c>
    </row>
    <row r="862" spans="1:36" s="179" customFormat="1" ht="315" x14ac:dyDescent="0.25">
      <c r="A862" s="6">
        <v>859</v>
      </c>
      <c r="B862" s="31">
        <v>134464</v>
      </c>
      <c r="C862" s="31">
        <v>866</v>
      </c>
      <c r="D862" s="177" t="s">
        <v>143</v>
      </c>
      <c r="E862" s="82" t="s">
        <v>1622</v>
      </c>
      <c r="F862" s="31" t="s">
        <v>1628</v>
      </c>
      <c r="G862" s="11" t="s">
        <v>1627</v>
      </c>
      <c r="H862" s="8" t="s">
        <v>151</v>
      </c>
      <c r="I862" s="33" t="s">
        <v>3034</v>
      </c>
      <c r="J862" s="25">
        <v>44061</v>
      </c>
      <c r="K862" s="25">
        <v>45248</v>
      </c>
      <c r="L862" s="26">
        <f t="shared" si="297"/>
        <v>83.9838633921499</v>
      </c>
      <c r="M862" s="11" t="s">
        <v>1343</v>
      </c>
      <c r="N862" s="11" t="s">
        <v>261</v>
      </c>
      <c r="O862" s="11" t="s">
        <v>137</v>
      </c>
      <c r="P862" s="27" t="s">
        <v>138</v>
      </c>
      <c r="Q862" s="11" t="s">
        <v>34</v>
      </c>
      <c r="R862" s="1">
        <f t="shared" si="298"/>
        <v>6673124.3100000005</v>
      </c>
      <c r="S862" s="2">
        <v>5381293.3700000001</v>
      </c>
      <c r="T862" s="2">
        <v>1291830.9400000002</v>
      </c>
      <c r="U862" s="1">
        <f t="shared" si="299"/>
        <v>0</v>
      </c>
      <c r="V862" s="28">
        <v>0</v>
      </c>
      <c r="W862" s="28">
        <v>0</v>
      </c>
      <c r="X862" s="1">
        <f t="shared" si="300"/>
        <v>1272597.69</v>
      </c>
      <c r="Y862" s="2">
        <v>949639.95</v>
      </c>
      <c r="Z862" s="2">
        <v>322957.74</v>
      </c>
      <c r="AA862" s="2">
        <f t="shared" si="301"/>
        <v>0</v>
      </c>
      <c r="AB862" s="2">
        <v>0</v>
      </c>
      <c r="AC862" s="2">
        <v>0</v>
      </c>
      <c r="AD862" s="16">
        <f t="shared" si="296"/>
        <v>7945722</v>
      </c>
      <c r="AE862" s="2">
        <v>0</v>
      </c>
      <c r="AF862" s="2">
        <f t="shared" si="302"/>
        <v>7945722</v>
      </c>
      <c r="AG862" s="38" t="s">
        <v>486</v>
      </c>
      <c r="AH862" s="29" t="s">
        <v>2183</v>
      </c>
      <c r="AI862" s="30">
        <f>21724.86+44015.51+21840.51+937415.29+216658.25+5731.9+170554.43</f>
        <v>1417940.7499999998</v>
      </c>
      <c r="AJ862" s="30">
        <v>0</v>
      </c>
    </row>
    <row r="863" spans="1:36" s="179" customFormat="1" ht="173.25" x14ac:dyDescent="0.25">
      <c r="A863" s="6">
        <v>860</v>
      </c>
      <c r="B863" s="31">
        <v>136528</v>
      </c>
      <c r="C863" s="31">
        <v>863</v>
      </c>
      <c r="D863" s="177" t="s">
        <v>143</v>
      </c>
      <c r="E863" s="82" t="s">
        <v>1622</v>
      </c>
      <c r="F863" s="31" t="s">
        <v>1634</v>
      </c>
      <c r="G863" s="11" t="s">
        <v>1930</v>
      </c>
      <c r="H863" s="11" t="s">
        <v>1635</v>
      </c>
      <c r="I863" s="33" t="s">
        <v>3035</v>
      </c>
      <c r="J863" s="25">
        <v>44078</v>
      </c>
      <c r="K863" s="25">
        <v>44989</v>
      </c>
      <c r="L863" s="26">
        <f t="shared" si="297"/>
        <v>83.983863209118383</v>
      </c>
      <c r="M863" s="11" t="s">
        <v>1343</v>
      </c>
      <c r="N863" s="11" t="s">
        <v>261</v>
      </c>
      <c r="O863" s="11" t="s">
        <v>137</v>
      </c>
      <c r="P863" s="27" t="s">
        <v>138</v>
      </c>
      <c r="Q863" s="11" t="s">
        <v>34</v>
      </c>
      <c r="R863" s="1">
        <f t="shared" si="298"/>
        <v>3760337.86</v>
      </c>
      <c r="S863" s="2">
        <v>3032384.87</v>
      </c>
      <c r="T863" s="2">
        <v>727952.98999999987</v>
      </c>
      <c r="U863" s="1">
        <f t="shared" si="299"/>
        <v>0</v>
      </c>
      <c r="V863" s="28">
        <v>0</v>
      </c>
      <c r="W863" s="28">
        <v>0</v>
      </c>
      <c r="X863" s="1">
        <f t="shared" si="300"/>
        <v>717114.97</v>
      </c>
      <c r="Y863" s="2">
        <v>535126.72</v>
      </c>
      <c r="Z863" s="2">
        <v>181988.25</v>
      </c>
      <c r="AA863" s="2">
        <f t="shared" si="301"/>
        <v>0</v>
      </c>
      <c r="AB863" s="2">
        <v>0</v>
      </c>
      <c r="AC863" s="2">
        <v>0</v>
      </c>
      <c r="AD863" s="16">
        <f t="shared" si="296"/>
        <v>4477452.83</v>
      </c>
      <c r="AE863" s="2">
        <v>0</v>
      </c>
      <c r="AF863" s="2">
        <f t="shared" si="302"/>
        <v>4477452.83</v>
      </c>
      <c r="AG863" s="38" t="s">
        <v>486</v>
      </c>
      <c r="AH863" s="29" t="s">
        <v>3259</v>
      </c>
      <c r="AI863" s="30">
        <f>404831.05+187670.34+310479.1+186077.16+229514.47+213048.58+162891.74</f>
        <v>1694512.44</v>
      </c>
      <c r="AJ863" s="30">
        <v>0</v>
      </c>
    </row>
    <row r="864" spans="1:36" s="179" customFormat="1" ht="157.5" x14ac:dyDescent="0.25">
      <c r="A864" s="6">
        <v>861</v>
      </c>
      <c r="B864" s="31">
        <v>130103</v>
      </c>
      <c r="C864" s="31">
        <v>737</v>
      </c>
      <c r="D864" s="177" t="s">
        <v>143</v>
      </c>
      <c r="E864" s="82" t="s">
        <v>1056</v>
      </c>
      <c r="F864" s="31" t="s">
        <v>1636</v>
      </c>
      <c r="G864" s="11" t="s">
        <v>1716</v>
      </c>
      <c r="H864" s="8" t="s">
        <v>151</v>
      </c>
      <c r="I864" s="33" t="s">
        <v>3036</v>
      </c>
      <c r="J864" s="25">
        <v>44083</v>
      </c>
      <c r="K864" s="25">
        <v>45290</v>
      </c>
      <c r="L864" s="26">
        <f t="shared" si="297"/>
        <v>83.983862888157404</v>
      </c>
      <c r="M864" s="11" t="s">
        <v>1343</v>
      </c>
      <c r="N864" s="11" t="s">
        <v>261</v>
      </c>
      <c r="O864" s="11" t="s">
        <v>137</v>
      </c>
      <c r="P864" s="27" t="s">
        <v>138</v>
      </c>
      <c r="Q864" s="11" t="s">
        <v>34</v>
      </c>
      <c r="R864" s="1">
        <f t="shared" si="298"/>
        <v>22633067.940000001</v>
      </c>
      <c r="S864" s="2">
        <v>18251597.370000001</v>
      </c>
      <c r="T864" s="2">
        <v>4381470.57</v>
      </c>
      <c r="U864" s="1">
        <f t="shared" si="299"/>
        <v>0</v>
      </c>
      <c r="V864" s="28">
        <v>0</v>
      </c>
      <c r="W864" s="28">
        <v>0</v>
      </c>
      <c r="X864" s="1">
        <f t="shared" si="300"/>
        <v>4316237.75</v>
      </c>
      <c r="Y864" s="2">
        <v>3220870.13</v>
      </c>
      <c r="Z864" s="2">
        <v>1095367.6200000001</v>
      </c>
      <c r="AA864" s="2">
        <f t="shared" si="301"/>
        <v>0</v>
      </c>
      <c r="AB864" s="2">
        <v>0</v>
      </c>
      <c r="AC864" s="2">
        <v>0</v>
      </c>
      <c r="AD864" s="16">
        <f t="shared" si="296"/>
        <v>26949305.690000001</v>
      </c>
      <c r="AE864" s="2">
        <v>1651441.54</v>
      </c>
      <c r="AF864" s="2">
        <f t="shared" si="302"/>
        <v>28600747.23</v>
      </c>
      <c r="AG864" s="38" t="s">
        <v>486</v>
      </c>
      <c r="AH864" s="29" t="s">
        <v>3308</v>
      </c>
      <c r="AI864" s="30">
        <f>42593.26+71128.38+459089.87</f>
        <v>572811.51</v>
      </c>
      <c r="AJ864" s="30">
        <v>0</v>
      </c>
    </row>
    <row r="865" spans="1:36" s="179" customFormat="1" ht="157.5" x14ac:dyDescent="0.25">
      <c r="A865" s="6">
        <v>862</v>
      </c>
      <c r="B865" s="31">
        <v>130101</v>
      </c>
      <c r="C865" s="31">
        <v>739</v>
      </c>
      <c r="D865" s="177" t="s">
        <v>143</v>
      </c>
      <c r="E865" s="82" t="s">
        <v>1056</v>
      </c>
      <c r="F865" s="31" t="s">
        <v>1637</v>
      </c>
      <c r="G865" s="11" t="s">
        <v>1716</v>
      </c>
      <c r="H865" s="8" t="s">
        <v>151</v>
      </c>
      <c r="I865" s="33" t="s">
        <v>3037</v>
      </c>
      <c r="J865" s="25">
        <v>44083</v>
      </c>
      <c r="K865" s="25">
        <v>45269</v>
      </c>
      <c r="L865" s="26">
        <f t="shared" si="297"/>
        <v>83.983862863627905</v>
      </c>
      <c r="M865" s="11" t="s">
        <v>1343</v>
      </c>
      <c r="N865" s="11" t="s">
        <v>261</v>
      </c>
      <c r="O865" s="11" t="s">
        <v>137</v>
      </c>
      <c r="P865" s="27" t="s">
        <v>138</v>
      </c>
      <c r="Q865" s="11" t="s">
        <v>34</v>
      </c>
      <c r="R865" s="1">
        <f t="shared" si="298"/>
        <v>20113401.539999999</v>
      </c>
      <c r="S865" s="2">
        <v>16219705.949999999</v>
      </c>
      <c r="T865" s="2">
        <v>3893695.5900000003</v>
      </c>
      <c r="U865" s="1">
        <f t="shared" si="299"/>
        <v>0</v>
      </c>
      <c r="V865" s="28">
        <v>0</v>
      </c>
      <c r="W865" s="28">
        <v>0</v>
      </c>
      <c r="X865" s="1">
        <f t="shared" si="300"/>
        <v>3835724.94</v>
      </c>
      <c r="Y865" s="2">
        <v>2862301.05</v>
      </c>
      <c r="Z865" s="2">
        <v>973423.89</v>
      </c>
      <c r="AA865" s="2">
        <f t="shared" si="301"/>
        <v>0</v>
      </c>
      <c r="AB865" s="2">
        <v>0</v>
      </c>
      <c r="AC865" s="2">
        <v>0</v>
      </c>
      <c r="AD865" s="16">
        <f t="shared" si="296"/>
        <v>23949126.48</v>
      </c>
      <c r="AE865" s="2">
        <v>0</v>
      </c>
      <c r="AF865" s="2">
        <f t="shared" si="302"/>
        <v>23949126.48</v>
      </c>
      <c r="AG865" s="38" t="s">
        <v>486</v>
      </c>
      <c r="AH865" s="29" t="s">
        <v>2198</v>
      </c>
      <c r="AI865" s="30">
        <f>28995.43+52712.91+315911.2</f>
        <v>397619.54000000004</v>
      </c>
      <c r="AJ865" s="30">
        <v>0</v>
      </c>
    </row>
    <row r="866" spans="1:36" s="179" customFormat="1" ht="141.75" x14ac:dyDescent="0.25">
      <c r="A866" s="6">
        <v>863</v>
      </c>
      <c r="B866" s="31">
        <v>136610</v>
      </c>
      <c r="C866" s="31">
        <v>862</v>
      </c>
      <c r="D866" s="177" t="s">
        <v>143</v>
      </c>
      <c r="E866" s="82" t="s">
        <v>1622</v>
      </c>
      <c r="F866" s="31" t="s">
        <v>1641</v>
      </c>
      <c r="G866" s="11" t="s">
        <v>1350</v>
      </c>
      <c r="H866" s="11" t="s">
        <v>1642</v>
      </c>
      <c r="I866" s="33" t="s">
        <v>3038</v>
      </c>
      <c r="J866" s="25">
        <v>44090</v>
      </c>
      <c r="K866" s="25">
        <v>45001</v>
      </c>
      <c r="L866" s="26">
        <f t="shared" si="297"/>
        <v>83.983863078236666</v>
      </c>
      <c r="M866" s="11" t="s">
        <v>1343</v>
      </c>
      <c r="N866" s="11" t="s">
        <v>261</v>
      </c>
      <c r="O866" s="11" t="s">
        <v>137</v>
      </c>
      <c r="P866" s="27" t="s">
        <v>138</v>
      </c>
      <c r="Q866" s="11" t="s">
        <v>34</v>
      </c>
      <c r="R866" s="1">
        <f t="shared" si="298"/>
        <v>4326664.34</v>
      </c>
      <c r="S866" s="2">
        <v>3489077.81</v>
      </c>
      <c r="T866" s="2">
        <v>837586.5299999998</v>
      </c>
      <c r="U866" s="1">
        <f t="shared" si="299"/>
        <v>346722.08999999997</v>
      </c>
      <c r="V866" s="28">
        <v>256230.53</v>
      </c>
      <c r="W866" s="28">
        <v>90491.56</v>
      </c>
      <c r="X866" s="1">
        <f t="shared" si="300"/>
        <v>478394.14</v>
      </c>
      <c r="Y866" s="2">
        <v>359489.09</v>
      </c>
      <c r="Z866" s="2">
        <v>118905.05</v>
      </c>
      <c r="AA866" s="2">
        <f t="shared" si="301"/>
        <v>0</v>
      </c>
      <c r="AB866" s="2">
        <v>0</v>
      </c>
      <c r="AC866" s="2">
        <v>0</v>
      </c>
      <c r="AD866" s="16">
        <f t="shared" si="296"/>
        <v>5151780.5699999994</v>
      </c>
      <c r="AE866" s="2">
        <v>0</v>
      </c>
      <c r="AF866" s="2">
        <f t="shared" si="302"/>
        <v>5151780.5699999994</v>
      </c>
      <c r="AG866" s="38" t="s">
        <v>486</v>
      </c>
      <c r="AH866" s="29"/>
      <c r="AI866" s="30">
        <f>254057.43+298330.11+256434.88+198041.74+165864.77+214043.07+198564.73</f>
        <v>1585336.73</v>
      </c>
      <c r="AJ866" s="30">
        <f>24107.34+30833.68+40118.42+30029.62+23798.84+31143.31+29897.12</f>
        <v>209928.33</v>
      </c>
    </row>
    <row r="867" spans="1:36" s="179" customFormat="1" ht="157.5" x14ac:dyDescent="0.25">
      <c r="A867" s="6">
        <v>864</v>
      </c>
      <c r="B867" s="31">
        <v>129959</v>
      </c>
      <c r="C867" s="31">
        <v>716</v>
      </c>
      <c r="D867" s="177" t="s">
        <v>143</v>
      </c>
      <c r="E867" s="82" t="s">
        <v>1056</v>
      </c>
      <c r="F867" s="11" t="s">
        <v>1662</v>
      </c>
      <c r="G867" s="11" t="s">
        <v>1714</v>
      </c>
      <c r="H867" s="8" t="s">
        <v>151</v>
      </c>
      <c r="I867" s="33" t="s">
        <v>3039</v>
      </c>
      <c r="J867" s="25">
        <v>44109</v>
      </c>
      <c r="K867" s="25">
        <v>45204</v>
      </c>
      <c r="L867" s="26">
        <f t="shared" si="297"/>
        <v>83.983862963761638</v>
      </c>
      <c r="M867" s="11" t="s">
        <v>1343</v>
      </c>
      <c r="N867" s="11" t="s">
        <v>261</v>
      </c>
      <c r="O867" s="11" t="s">
        <v>137</v>
      </c>
      <c r="P867" s="27" t="s">
        <v>138</v>
      </c>
      <c r="Q867" s="11" t="s">
        <v>34</v>
      </c>
      <c r="R867" s="1">
        <f t="shared" si="298"/>
        <v>14005620.699999999</v>
      </c>
      <c r="S867" s="2">
        <v>11294312.83</v>
      </c>
      <c r="T867" s="2">
        <v>2711307.87</v>
      </c>
      <c r="U867" s="1">
        <f t="shared" si="299"/>
        <v>0</v>
      </c>
      <c r="V867" s="28">
        <v>0</v>
      </c>
      <c r="W867" s="28">
        <v>0</v>
      </c>
      <c r="X867" s="1">
        <f t="shared" si="300"/>
        <v>2670940.9700000002</v>
      </c>
      <c r="Y867" s="2">
        <v>1993114.04</v>
      </c>
      <c r="Z867" s="2">
        <v>677826.93</v>
      </c>
      <c r="AA867" s="2">
        <f t="shared" si="301"/>
        <v>0</v>
      </c>
      <c r="AB867" s="2">
        <v>0</v>
      </c>
      <c r="AC867" s="2">
        <v>0</v>
      </c>
      <c r="AD867" s="16">
        <f t="shared" si="296"/>
        <v>16676561.67</v>
      </c>
      <c r="AE867" s="2">
        <v>0</v>
      </c>
      <c r="AF867" s="2">
        <f t="shared" si="302"/>
        <v>16676561.67</v>
      </c>
      <c r="AG867" s="38" t="s">
        <v>486</v>
      </c>
      <c r="AH867" s="29"/>
      <c r="AI867" s="30">
        <f>105759.32+272225.63</f>
        <v>377984.95</v>
      </c>
      <c r="AJ867" s="30">
        <v>0</v>
      </c>
    </row>
    <row r="868" spans="1:36" s="179" customFormat="1" ht="204.75" x14ac:dyDescent="0.25">
      <c r="A868" s="6">
        <v>865</v>
      </c>
      <c r="B868" s="31">
        <v>129982</v>
      </c>
      <c r="C868" s="31">
        <v>720</v>
      </c>
      <c r="D868" s="177" t="s">
        <v>143</v>
      </c>
      <c r="E868" s="82" t="s">
        <v>1056</v>
      </c>
      <c r="F868" s="31" t="s">
        <v>1666</v>
      </c>
      <c r="G868" s="11" t="s">
        <v>1713</v>
      </c>
      <c r="H868" s="11" t="s">
        <v>1667</v>
      </c>
      <c r="I868" s="33" t="s">
        <v>3040</v>
      </c>
      <c r="J868" s="25">
        <v>44118</v>
      </c>
      <c r="K868" s="25">
        <v>45274</v>
      </c>
      <c r="L868" s="26">
        <f t="shared" si="297"/>
        <v>83.983862641097033</v>
      </c>
      <c r="M868" s="11" t="s">
        <v>1343</v>
      </c>
      <c r="N868" s="11" t="s">
        <v>261</v>
      </c>
      <c r="O868" s="11" t="s">
        <v>137</v>
      </c>
      <c r="P868" s="27" t="s">
        <v>138</v>
      </c>
      <c r="Q868" s="11" t="s">
        <v>34</v>
      </c>
      <c r="R868" s="1">
        <f t="shared" si="298"/>
        <v>7678495.0699999984</v>
      </c>
      <c r="S868" s="2">
        <v>6192037.2799999984</v>
      </c>
      <c r="T868" s="2">
        <v>1486457.7900000003</v>
      </c>
      <c r="U868" s="1">
        <f t="shared" si="299"/>
        <v>0</v>
      </c>
      <c r="V868" s="28">
        <v>0</v>
      </c>
      <c r="W868" s="28">
        <v>0</v>
      </c>
      <c r="X868" s="1">
        <f t="shared" si="300"/>
        <v>1464326.93</v>
      </c>
      <c r="Y868" s="2">
        <v>1092712.48</v>
      </c>
      <c r="Z868" s="2">
        <v>371614.45</v>
      </c>
      <c r="AA868" s="2">
        <f t="shared" si="301"/>
        <v>0</v>
      </c>
      <c r="AB868" s="2">
        <v>0</v>
      </c>
      <c r="AC868" s="2">
        <v>0</v>
      </c>
      <c r="AD868" s="16">
        <f t="shared" si="296"/>
        <v>9142821.9999999981</v>
      </c>
      <c r="AE868" s="2">
        <v>0</v>
      </c>
      <c r="AF868" s="2">
        <f t="shared" si="302"/>
        <v>9142821.9999999981</v>
      </c>
      <c r="AG868" s="38" t="s">
        <v>486</v>
      </c>
      <c r="AH868" s="29" t="s">
        <v>3295</v>
      </c>
      <c r="AI868" s="30">
        <v>0</v>
      </c>
      <c r="AJ868" s="30">
        <v>0</v>
      </c>
    </row>
    <row r="869" spans="1:36" s="179" customFormat="1" ht="141.75" x14ac:dyDescent="0.25">
      <c r="A869" s="6">
        <v>866</v>
      </c>
      <c r="B869" s="31">
        <v>130587</v>
      </c>
      <c r="C869" s="31">
        <v>750</v>
      </c>
      <c r="D869" s="177" t="s">
        <v>143</v>
      </c>
      <c r="E869" s="82" t="s">
        <v>1674</v>
      </c>
      <c r="F869" s="31" t="s">
        <v>1675</v>
      </c>
      <c r="G869" s="27" t="s">
        <v>1717</v>
      </c>
      <c r="H869" s="32" t="s">
        <v>1676</v>
      </c>
      <c r="I869" s="33" t="s">
        <v>3041</v>
      </c>
      <c r="J869" s="25">
        <v>44162</v>
      </c>
      <c r="K869" s="25">
        <v>45257</v>
      </c>
      <c r="L869" s="26">
        <f t="shared" si="297"/>
        <v>82.822280549048671</v>
      </c>
      <c r="M869" s="11" t="s">
        <v>1343</v>
      </c>
      <c r="N869" s="11" t="s">
        <v>261</v>
      </c>
      <c r="O869" s="11" t="s">
        <v>137</v>
      </c>
      <c r="P869" s="27" t="s">
        <v>138</v>
      </c>
      <c r="Q869" s="11" t="s">
        <v>34</v>
      </c>
      <c r="R869" s="1">
        <f t="shared" si="298"/>
        <v>17080376.949999999</v>
      </c>
      <c r="S869" s="2">
        <v>13773835.85</v>
      </c>
      <c r="T869" s="2">
        <v>3306541.0999999996</v>
      </c>
      <c r="U869" s="1">
        <f t="shared" si="299"/>
        <v>2238506.0100000002</v>
      </c>
      <c r="V869" s="28">
        <v>1670421.7100000004</v>
      </c>
      <c r="W869" s="28">
        <v>568084.29999999981</v>
      </c>
      <c r="X869" s="1">
        <f t="shared" si="300"/>
        <v>1304042.22</v>
      </c>
      <c r="Y869" s="2">
        <v>987523.49</v>
      </c>
      <c r="Z869" s="2">
        <v>316518.73</v>
      </c>
      <c r="AA869" s="2">
        <f t="shared" si="301"/>
        <v>0</v>
      </c>
      <c r="AB869" s="2">
        <v>0</v>
      </c>
      <c r="AC869" s="2">
        <v>0</v>
      </c>
      <c r="AD869" s="16">
        <f t="shared" si="296"/>
        <v>20622925.18</v>
      </c>
      <c r="AE869" s="2">
        <v>19040</v>
      </c>
      <c r="AF869" s="2">
        <f t="shared" si="302"/>
        <v>20641965.18</v>
      </c>
      <c r="AG869" s="38" t="s">
        <v>486</v>
      </c>
      <c r="AH869" s="29"/>
      <c r="AI869" s="30">
        <f>1407602.94-83676.6+598428.39+1322256.95+21721.63+963448.32</f>
        <v>4229781.63</v>
      </c>
      <c r="AJ869" s="30">
        <f>96500.94+61354.02+186804.59+202660.51</f>
        <v>547320.06000000006</v>
      </c>
    </row>
    <row r="870" spans="1:36" s="179" customFormat="1" ht="141.75" x14ac:dyDescent="0.25">
      <c r="A870" s="6">
        <v>867</v>
      </c>
      <c r="B870" s="31">
        <v>129878</v>
      </c>
      <c r="C870" s="31">
        <v>704</v>
      </c>
      <c r="D870" s="177" t="s">
        <v>143</v>
      </c>
      <c r="E870" s="82" t="s">
        <v>1056</v>
      </c>
      <c r="F870" s="31" t="s">
        <v>1679</v>
      </c>
      <c r="G870" s="11" t="s">
        <v>1678</v>
      </c>
      <c r="H870" s="32" t="s">
        <v>1680</v>
      </c>
      <c r="I870" s="33" t="s">
        <v>1681</v>
      </c>
      <c r="J870" s="25">
        <v>44168</v>
      </c>
      <c r="K870" s="25">
        <v>45263</v>
      </c>
      <c r="L870" s="26">
        <f t="shared" si="297"/>
        <v>83.983863170721136</v>
      </c>
      <c r="M870" s="11" t="s">
        <v>1343</v>
      </c>
      <c r="N870" s="11" t="s">
        <v>261</v>
      </c>
      <c r="O870" s="11" t="s">
        <v>137</v>
      </c>
      <c r="P870" s="27" t="s">
        <v>138</v>
      </c>
      <c r="Q870" s="11" t="s">
        <v>34</v>
      </c>
      <c r="R870" s="1">
        <f t="shared" si="298"/>
        <v>13658794.540000003</v>
      </c>
      <c r="S870" s="2">
        <v>11014627.770000001</v>
      </c>
      <c r="T870" s="2">
        <v>2644166.7700000009</v>
      </c>
      <c r="U870" s="1">
        <f t="shared" si="299"/>
        <v>2279527.6000000006</v>
      </c>
      <c r="V870" s="28">
        <v>1684590.0500000003</v>
      </c>
      <c r="W870" s="28">
        <v>594937.55000000016</v>
      </c>
      <c r="X870" s="1">
        <f t="shared" si="300"/>
        <v>325271.87</v>
      </c>
      <c r="Y870" s="2">
        <v>259167.74</v>
      </c>
      <c r="Z870" s="2">
        <v>66104.13</v>
      </c>
      <c r="AA870" s="2">
        <f t="shared" si="301"/>
        <v>0</v>
      </c>
      <c r="AB870" s="2">
        <v>0</v>
      </c>
      <c r="AC870" s="2">
        <v>0</v>
      </c>
      <c r="AD870" s="16">
        <f t="shared" si="296"/>
        <v>16263594.010000004</v>
      </c>
      <c r="AE870" s="2">
        <v>0</v>
      </c>
      <c r="AF870" s="2">
        <f t="shared" si="302"/>
        <v>16263594.010000004</v>
      </c>
      <c r="AG870" s="38" t="s">
        <v>486</v>
      </c>
      <c r="AH870" s="29" t="s">
        <v>2000</v>
      </c>
      <c r="AI870" s="30">
        <f>80297.81+845318.83+955358.43+1023235.03+1157821.99+1063429.71</f>
        <v>5125461.8</v>
      </c>
      <c r="AJ870" s="30">
        <f>13400.97+141075.96+159440.57+170768.55+193229.87+177476.67</f>
        <v>855392.59</v>
      </c>
    </row>
    <row r="871" spans="1:36" s="179" customFormat="1" ht="299.25" x14ac:dyDescent="0.25">
      <c r="A871" s="6">
        <v>868</v>
      </c>
      <c r="B871" s="31">
        <v>134950</v>
      </c>
      <c r="C871" s="31">
        <v>869</v>
      </c>
      <c r="D871" s="177" t="s">
        <v>143</v>
      </c>
      <c r="E871" s="82" t="s">
        <v>1622</v>
      </c>
      <c r="F871" s="31" t="s">
        <v>1682</v>
      </c>
      <c r="G871" s="11" t="s">
        <v>1397</v>
      </c>
      <c r="H871" s="32" t="s">
        <v>1683</v>
      </c>
      <c r="I871" s="33" t="s">
        <v>3042</v>
      </c>
      <c r="J871" s="25">
        <v>44173</v>
      </c>
      <c r="K871" s="25">
        <v>45024</v>
      </c>
      <c r="L871" s="26">
        <f t="shared" si="297"/>
        <v>83.983862791468823</v>
      </c>
      <c r="M871" s="11" t="s">
        <v>1343</v>
      </c>
      <c r="N871" s="11" t="s">
        <v>261</v>
      </c>
      <c r="O871" s="11" t="s">
        <v>137</v>
      </c>
      <c r="P871" s="27" t="s">
        <v>138</v>
      </c>
      <c r="Q871" s="11" t="s">
        <v>34</v>
      </c>
      <c r="R871" s="1">
        <f t="shared" si="298"/>
        <v>3740241.2000000007</v>
      </c>
      <c r="S871" s="2">
        <v>3016178.6400000006</v>
      </c>
      <c r="T871" s="2">
        <v>724062.55999999994</v>
      </c>
      <c r="U871" s="1">
        <f t="shared" si="299"/>
        <v>0</v>
      </c>
      <c r="V871" s="28">
        <v>0</v>
      </c>
      <c r="W871" s="28">
        <v>0</v>
      </c>
      <c r="X871" s="1">
        <f t="shared" si="300"/>
        <v>713282.46</v>
      </c>
      <c r="Y871" s="2">
        <v>532266.84</v>
      </c>
      <c r="Z871" s="2">
        <v>181015.62</v>
      </c>
      <c r="AA871" s="2">
        <f t="shared" si="301"/>
        <v>0</v>
      </c>
      <c r="AB871" s="2">
        <v>0</v>
      </c>
      <c r="AC871" s="2">
        <v>0</v>
      </c>
      <c r="AD871" s="16">
        <f t="shared" si="296"/>
        <v>4453523.66</v>
      </c>
      <c r="AE871" s="2">
        <v>0</v>
      </c>
      <c r="AF871" s="2">
        <f t="shared" si="302"/>
        <v>4453523.66</v>
      </c>
      <c r="AG871" s="38" t="s">
        <v>486</v>
      </c>
      <c r="AH871" s="29" t="s">
        <v>2150</v>
      </c>
      <c r="AI871" s="30">
        <f>77354.96+78742.24+53823.73+81477.99+43197.14</f>
        <v>334596.06000000006</v>
      </c>
      <c r="AJ871" s="30">
        <v>0</v>
      </c>
    </row>
    <row r="872" spans="1:36" s="179" customFormat="1" ht="173.25" x14ac:dyDescent="0.25">
      <c r="A872" s="6">
        <v>869</v>
      </c>
      <c r="B872" s="31">
        <v>140086</v>
      </c>
      <c r="C872" s="31">
        <v>870</v>
      </c>
      <c r="D872" s="177" t="s">
        <v>146</v>
      </c>
      <c r="E872" s="82" t="s">
        <v>1686</v>
      </c>
      <c r="F872" s="31" t="s">
        <v>1684</v>
      </c>
      <c r="G872" s="11" t="s">
        <v>133</v>
      </c>
      <c r="H872" s="32" t="s">
        <v>1685</v>
      </c>
      <c r="I872" s="33" t="s">
        <v>3043</v>
      </c>
      <c r="J872" s="25">
        <v>44173</v>
      </c>
      <c r="K872" s="25">
        <v>45238</v>
      </c>
      <c r="L872" s="26">
        <f t="shared" si="297"/>
        <v>83.983863166666666</v>
      </c>
      <c r="M872" s="11" t="s">
        <v>1343</v>
      </c>
      <c r="N872" s="11" t="s">
        <v>261</v>
      </c>
      <c r="O872" s="11" t="s">
        <v>137</v>
      </c>
      <c r="P872" s="27" t="s">
        <v>138</v>
      </c>
      <c r="Q872" s="11" t="s">
        <v>34</v>
      </c>
      <c r="R872" s="1">
        <f t="shared" si="298"/>
        <v>10078063.58</v>
      </c>
      <c r="S872" s="2">
        <v>8127080.1999999993</v>
      </c>
      <c r="T872" s="2">
        <v>1950983.3800000001</v>
      </c>
      <c r="U872" s="1">
        <f t="shared" si="299"/>
        <v>347356.29</v>
      </c>
      <c r="V872" s="28">
        <v>256699.24</v>
      </c>
      <c r="W872" s="28">
        <v>90657.05</v>
      </c>
      <c r="X872" s="1">
        <f t="shared" si="300"/>
        <v>1574580.1300000001</v>
      </c>
      <c r="Y872" s="2">
        <v>1177491.3700000001</v>
      </c>
      <c r="Z872" s="2">
        <v>397088.76</v>
      </c>
      <c r="AA872" s="2">
        <f t="shared" si="301"/>
        <v>0</v>
      </c>
      <c r="AB872" s="2">
        <v>0</v>
      </c>
      <c r="AC872" s="2">
        <v>0</v>
      </c>
      <c r="AD872" s="16">
        <f t="shared" si="296"/>
        <v>12000000</v>
      </c>
      <c r="AE872" s="2">
        <v>221760</v>
      </c>
      <c r="AF872" s="2">
        <f t="shared" si="302"/>
        <v>12221760</v>
      </c>
      <c r="AG872" s="38" t="s">
        <v>486</v>
      </c>
      <c r="AH872" s="29" t="s">
        <v>2206</v>
      </c>
      <c r="AI872" s="30">
        <f>21467.12+49840.23+117936.7+261795.59+223790.27+286537.33</f>
        <v>961367.24</v>
      </c>
      <c r="AJ872" s="30">
        <f>166.51+868.29+2873+1391.8+2907.81+12088.96</f>
        <v>20296.37</v>
      </c>
    </row>
    <row r="873" spans="1:36" s="179" customFormat="1" ht="283.5" x14ac:dyDescent="0.25">
      <c r="A873" s="6">
        <v>870</v>
      </c>
      <c r="B873" s="31">
        <v>129968</v>
      </c>
      <c r="C873" s="31">
        <v>697</v>
      </c>
      <c r="D873" s="177" t="s">
        <v>143</v>
      </c>
      <c r="E873" s="82" t="s">
        <v>1056</v>
      </c>
      <c r="F873" s="31" t="s">
        <v>1690</v>
      </c>
      <c r="G873" s="11" t="s">
        <v>1689</v>
      </c>
      <c r="H873" s="8" t="s">
        <v>151</v>
      </c>
      <c r="I873" s="33" t="s">
        <v>3044</v>
      </c>
      <c r="J873" s="25">
        <v>44180</v>
      </c>
      <c r="K873" s="25">
        <v>45214</v>
      </c>
      <c r="L873" s="26">
        <f t="shared" si="297"/>
        <v>83.983862447702634</v>
      </c>
      <c r="M873" s="11" t="s">
        <v>1343</v>
      </c>
      <c r="N873" s="11" t="s">
        <v>280</v>
      </c>
      <c r="O873" s="11" t="s">
        <v>280</v>
      </c>
      <c r="P873" s="27" t="s">
        <v>138</v>
      </c>
      <c r="Q873" s="11" t="s">
        <v>34</v>
      </c>
      <c r="R873" s="1">
        <f t="shared" si="298"/>
        <v>4995589.0699999994</v>
      </c>
      <c r="S873" s="2">
        <v>4028507.3399999994</v>
      </c>
      <c r="T873" s="2">
        <v>967081.7300000001</v>
      </c>
      <c r="U873" s="1">
        <f t="shared" si="299"/>
        <v>833718.07</v>
      </c>
      <c r="V873" s="28">
        <v>616124.67999999993</v>
      </c>
      <c r="W873" s="28">
        <v>217593.39</v>
      </c>
      <c r="X873" s="1">
        <f t="shared" si="300"/>
        <v>118965.45000000001</v>
      </c>
      <c r="Y873" s="2">
        <v>94788.41</v>
      </c>
      <c r="Z873" s="2">
        <v>24177.040000000001</v>
      </c>
      <c r="AA873" s="2">
        <f t="shared" si="301"/>
        <v>0</v>
      </c>
      <c r="AB873" s="2">
        <v>0</v>
      </c>
      <c r="AC873" s="2">
        <v>0</v>
      </c>
      <c r="AD873" s="16">
        <f t="shared" si="296"/>
        <v>5948272.5899999999</v>
      </c>
      <c r="AE873" s="2">
        <v>0</v>
      </c>
      <c r="AF873" s="2">
        <f t="shared" si="302"/>
        <v>5948272.5899999999</v>
      </c>
      <c r="AG873" s="38" t="s">
        <v>486</v>
      </c>
      <c r="AH873" s="29" t="s">
        <v>2205</v>
      </c>
      <c r="AI873" s="30">
        <f>61603.51+58170.71+104286.12+39835.23+64680.74</f>
        <v>328576.31</v>
      </c>
      <c r="AJ873" s="30">
        <f>10281.06+9708.16+17404.4+6648.14+10794.63</f>
        <v>54836.39</v>
      </c>
    </row>
    <row r="874" spans="1:36" s="179" customFormat="1" ht="236.25" x14ac:dyDescent="0.25">
      <c r="A874" s="6">
        <v>871</v>
      </c>
      <c r="B874" s="31">
        <v>129831</v>
      </c>
      <c r="C874" s="31">
        <v>735</v>
      </c>
      <c r="D874" s="177" t="s">
        <v>143</v>
      </c>
      <c r="E874" s="82" t="s">
        <v>1056</v>
      </c>
      <c r="F874" s="31" t="s">
        <v>1691</v>
      </c>
      <c r="G874" s="11" t="s">
        <v>1372</v>
      </c>
      <c r="H874" s="8" t="s">
        <v>151</v>
      </c>
      <c r="I874" s="33" t="s">
        <v>3045</v>
      </c>
      <c r="J874" s="25">
        <v>44180</v>
      </c>
      <c r="K874" s="25">
        <v>45092</v>
      </c>
      <c r="L874" s="26">
        <f t="shared" si="297"/>
        <v>83.983862896657286</v>
      </c>
      <c r="M874" s="11" t="s">
        <v>1343</v>
      </c>
      <c r="N874" s="11" t="s">
        <v>261</v>
      </c>
      <c r="O874" s="11" t="s">
        <v>137</v>
      </c>
      <c r="P874" s="27" t="s">
        <v>138</v>
      </c>
      <c r="Q874" s="11" t="s">
        <v>34</v>
      </c>
      <c r="R874" s="1">
        <f t="shared" si="298"/>
        <v>22026311.919999998</v>
      </c>
      <c r="S874" s="2">
        <v>17762301.509999998</v>
      </c>
      <c r="T874" s="2">
        <v>4264010.41</v>
      </c>
      <c r="U874" s="1">
        <f t="shared" si="299"/>
        <v>0</v>
      </c>
      <c r="V874" s="28">
        <v>0</v>
      </c>
      <c r="W874" s="28">
        <v>0</v>
      </c>
      <c r="X874" s="1">
        <f t="shared" si="300"/>
        <v>4200526.38</v>
      </c>
      <c r="Y874" s="2">
        <v>3134523.79</v>
      </c>
      <c r="Z874" s="2">
        <v>1066002.5900000001</v>
      </c>
      <c r="AA874" s="2">
        <f t="shared" si="301"/>
        <v>0</v>
      </c>
      <c r="AB874" s="2">
        <v>0</v>
      </c>
      <c r="AC874" s="2">
        <v>0</v>
      </c>
      <c r="AD874" s="16">
        <f t="shared" si="296"/>
        <v>26226838.299999997</v>
      </c>
      <c r="AE874" s="2">
        <v>0</v>
      </c>
      <c r="AF874" s="2">
        <f t="shared" si="302"/>
        <v>26226838.299999997</v>
      </c>
      <c r="AG874" s="38" t="s">
        <v>486</v>
      </c>
      <c r="AH874" s="29"/>
      <c r="AI874" s="30">
        <f>21447.73+46034.92+1736722.95</f>
        <v>1804205.5999999999</v>
      </c>
      <c r="AJ874" s="30">
        <v>0</v>
      </c>
    </row>
    <row r="875" spans="1:36" s="179" customFormat="1" ht="141.75" x14ac:dyDescent="0.25">
      <c r="A875" s="6">
        <v>872</v>
      </c>
      <c r="B875" s="31">
        <v>147622</v>
      </c>
      <c r="C875" s="31">
        <v>872</v>
      </c>
      <c r="D875" s="177" t="s">
        <v>143</v>
      </c>
      <c r="E875" s="82" t="s">
        <v>1692</v>
      </c>
      <c r="F875" s="31" t="s">
        <v>1693</v>
      </c>
      <c r="G875" s="11" t="s">
        <v>1350</v>
      </c>
      <c r="H875" s="8" t="s">
        <v>151</v>
      </c>
      <c r="I875" s="33" t="s">
        <v>2256</v>
      </c>
      <c r="J875" s="25">
        <v>44182</v>
      </c>
      <c r="K875" s="25">
        <v>44912</v>
      </c>
      <c r="L875" s="26">
        <f t="shared" si="297"/>
        <v>83.911615729320985</v>
      </c>
      <c r="M875" s="11" t="s">
        <v>1343</v>
      </c>
      <c r="N875" s="11" t="s">
        <v>261</v>
      </c>
      <c r="O875" s="11" t="s">
        <v>137</v>
      </c>
      <c r="P875" s="27" t="s">
        <v>138</v>
      </c>
      <c r="Q875" s="11" t="s">
        <v>34</v>
      </c>
      <c r="R875" s="1">
        <f t="shared" si="298"/>
        <v>5698223.4299999988</v>
      </c>
      <c r="S875" s="2">
        <v>4515672.5999999987</v>
      </c>
      <c r="T875" s="2">
        <v>1182550.83</v>
      </c>
      <c r="U875" s="1">
        <f t="shared" si="299"/>
        <v>0</v>
      </c>
      <c r="V875" s="28">
        <v>0</v>
      </c>
      <c r="W875" s="28">
        <v>0</v>
      </c>
      <c r="X875" s="1">
        <f t="shared" si="300"/>
        <v>1092521.07</v>
      </c>
      <c r="Y875" s="2">
        <v>796883.4</v>
      </c>
      <c r="Z875" s="2">
        <v>295637.67</v>
      </c>
      <c r="AA875" s="2">
        <f t="shared" si="301"/>
        <v>0</v>
      </c>
      <c r="AB875" s="2">
        <v>0</v>
      </c>
      <c r="AC875" s="2">
        <v>0</v>
      </c>
      <c r="AD875" s="16">
        <f t="shared" si="296"/>
        <v>6790744.4999999991</v>
      </c>
      <c r="AE875" s="2">
        <v>0</v>
      </c>
      <c r="AF875" s="2">
        <f t="shared" si="302"/>
        <v>6790744.4999999991</v>
      </c>
      <c r="AG875" s="38" t="s">
        <v>486</v>
      </c>
      <c r="AH875" s="29" t="s">
        <v>2255</v>
      </c>
      <c r="AI875" s="30">
        <f>4503721.85+76276.87+7975.8</f>
        <v>4587974.5199999996</v>
      </c>
      <c r="AJ875" s="30">
        <v>0</v>
      </c>
    </row>
    <row r="876" spans="1:36" s="179" customFormat="1" ht="230.25" customHeight="1" x14ac:dyDescent="0.25">
      <c r="A876" s="6">
        <v>873</v>
      </c>
      <c r="B876" s="31">
        <v>129973</v>
      </c>
      <c r="C876" s="31">
        <v>698</v>
      </c>
      <c r="D876" s="177" t="s">
        <v>143</v>
      </c>
      <c r="E876" s="82" t="s">
        <v>1056</v>
      </c>
      <c r="F876" s="31" t="s">
        <v>1695</v>
      </c>
      <c r="G876" s="11" t="s">
        <v>1694</v>
      </c>
      <c r="H876" s="8" t="s">
        <v>151</v>
      </c>
      <c r="I876" s="33" t="s">
        <v>3046</v>
      </c>
      <c r="J876" s="25">
        <v>44186</v>
      </c>
      <c r="K876" s="25">
        <v>45098</v>
      </c>
      <c r="L876" s="26">
        <f t="shared" si="297"/>
        <v>83.983862827834926</v>
      </c>
      <c r="M876" s="11" t="s">
        <v>1343</v>
      </c>
      <c r="N876" s="11" t="s">
        <v>261</v>
      </c>
      <c r="O876" s="11" t="s">
        <v>137</v>
      </c>
      <c r="P876" s="27" t="s">
        <v>138</v>
      </c>
      <c r="Q876" s="11" t="s">
        <v>34</v>
      </c>
      <c r="R876" s="1">
        <f t="shared" si="298"/>
        <v>11483727.939999996</v>
      </c>
      <c r="S876" s="2">
        <v>9260626.0799999963</v>
      </c>
      <c r="T876" s="2">
        <v>2223101.86</v>
      </c>
      <c r="U876" s="1">
        <f t="shared" si="299"/>
        <v>0</v>
      </c>
      <c r="V876" s="28">
        <v>0</v>
      </c>
      <c r="W876" s="28">
        <v>0</v>
      </c>
      <c r="X876" s="1">
        <f t="shared" si="300"/>
        <v>2190003.6</v>
      </c>
      <c r="Y876" s="2">
        <v>1634228.11</v>
      </c>
      <c r="Z876" s="2">
        <v>555775.49</v>
      </c>
      <c r="AA876" s="2">
        <f t="shared" si="301"/>
        <v>0</v>
      </c>
      <c r="AB876" s="2">
        <v>0</v>
      </c>
      <c r="AC876" s="2">
        <v>0</v>
      </c>
      <c r="AD876" s="16">
        <f t="shared" si="296"/>
        <v>13673731.539999995</v>
      </c>
      <c r="AE876" s="2">
        <v>0</v>
      </c>
      <c r="AF876" s="2">
        <f t="shared" si="302"/>
        <v>13673731.539999995</v>
      </c>
      <c r="AG876" s="38" t="s">
        <v>486</v>
      </c>
      <c r="AH876" s="29"/>
      <c r="AI876" s="30">
        <f>10340.09+112233.26</f>
        <v>122573.34999999999</v>
      </c>
      <c r="AJ876" s="30">
        <v>0</v>
      </c>
    </row>
    <row r="877" spans="1:36" s="179" customFormat="1" ht="252" x14ac:dyDescent="0.25">
      <c r="A877" s="6">
        <v>874</v>
      </c>
      <c r="B877" s="31">
        <v>130045</v>
      </c>
      <c r="C877" s="31">
        <v>742</v>
      </c>
      <c r="D877" s="177" t="s">
        <v>143</v>
      </c>
      <c r="E877" s="82" t="s">
        <v>1056</v>
      </c>
      <c r="F877" s="31" t="s">
        <v>1697</v>
      </c>
      <c r="G877" s="11" t="s">
        <v>1696</v>
      </c>
      <c r="H877" s="8" t="s">
        <v>151</v>
      </c>
      <c r="I877" s="33" t="s">
        <v>3047</v>
      </c>
      <c r="J877" s="25">
        <v>44187</v>
      </c>
      <c r="K877" s="25">
        <v>45099</v>
      </c>
      <c r="L877" s="26">
        <f t="shared" si="297"/>
        <v>83.983862773667468</v>
      </c>
      <c r="M877" s="11" t="s">
        <v>1343</v>
      </c>
      <c r="N877" s="11" t="s">
        <v>261</v>
      </c>
      <c r="O877" s="11" t="s">
        <v>137</v>
      </c>
      <c r="P877" s="27" t="s">
        <v>138</v>
      </c>
      <c r="Q877" s="11" t="s">
        <v>34</v>
      </c>
      <c r="R877" s="1">
        <f t="shared" si="298"/>
        <v>11892012.710000001</v>
      </c>
      <c r="S877" s="2">
        <v>9589872.1699999999</v>
      </c>
      <c r="T877" s="2">
        <v>2302140.5400000005</v>
      </c>
      <c r="U877" s="1">
        <f t="shared" si="299"/>
        <v>0</v>
      </c>
      <c r="V877" s="28">
        <v>0</v>
      </c>
      <c r="W877" s="28">
        <v>0</v>
      </c>
      <c r="X877" s="1">
        <f t="shared" si="300"/>
        <v>2267865.5299999998</v>
      </c>
      <c r="Y877" s="2">
        <v>1692330.38</v>
      </c>
      <c r="Z877" s="2">
        <v>575535.15</v>
      </c>
      <c r="AA877" s="2">
        <f t="shared" si="301"/>
        <v>0</v>
      </c>
      <c r="AB877" s="2">
        <v>0</v>
      </c>
      <c r="AC877" s="2">
        <v>0</v>
      </c>
      <c r="AD877" s="16">
        <f t="shared" si="296"/>
        <v>14159878.24</v>
      </c>
      <c r="AE877" s="2">
        <v>0</v>
      </c>
      <c r="AF877" s="2">
        <f t="shared" si="302"/>
        <v>14159878.24</v>
      </c>
      <c r="AG877" s="38" t="s">
        <v>486</v>
      </c>
      <c r="AH877" s="29" t="s">
        <v>3263</v>
      </c>
      <c r="AI877" s="30">
        <v>15385.84</v>
      </c>
      <c r="AJ877" s="30">
        <v>0</v>
      </c>
    </row>
    <row r="878" spans="1:36" s="179" customFormat="1" ht="220.5" x14ac:dyDescent="0.25">
      <c r="A878" s="6">
        <v>875</v>
      </c>
      <c r="B878" s="31">
        <v>130054</v>
      </c>
      <c r="C878" s="31">
        <v>743</v>
      </c>
      <c r="D878" s="177" t="s">
        <v>143</v>
      </c>
      <c r="E878" s="82" t="s">
        <v>1056</v>
      </c>
      <c r="F878" s="31" t="s">
        <v>1699</v>
      </c>
      <c r="G878" s="11" t="s">
        <v>1698</v>
      </c>
      <c r="H878" s="8" t="s">
        <v>151</v>
      </c>
      <c r="I878" s="33" t="s">
        <v>3048</v>
      </c>
      <c r="J878" s="25">
        <v>44186</v>
      </c>
      <c r="K878" s="25">
        <v>45098</v>
      </c>
      <c r="L878" s="26">
        <f t="shared" si="297"/>
        <v>83.983862881970154</v>
      </c>
      <c r="M878" s="11" t="s">
        <v>1343</v>
      </c>
      <c r="N878" s="11" t="s">
        <v>261</v>
      </c>
      <c r="O878" s="11" t="s">
        <v>137</v>
      </c>
      <c r="P878" s="27" t="s">
        <v>138</v>
      </c>
      <c r="Q878" s="11" t="s">
        <v>34</v>
      </c>
      <c r="R878" s="1">
        <f t="shared" si="298"/>
        <v>12463109.93</v>
      </c>
      <c r="S878" s="2">
        <v>10050412.300000001</v>
      </c>
      <c r="T878" s="2">
        <v>2412697.63</v>
      </c>
      <c r="U878" s="1">
        <f t="shared" si="299"/>
        <v>0</v>
      </c>
      <c r="V878" s="28">
        <v>0</v>
      </c>
      <c r="W878" s="28">
        <v>0</v>
      </c>
      <c r="X878" s="1">
        <f t="shared" si="300"/>
        <v>2376776.5699999998</v>
      </c>
      <c r="Y878" s="2">
        <v>1773602.17</v>
      </c>
      <c r="Z878" s="2">
        <v>603174.40000000002</v>
      </c>
      <c r="AA878" s="2">
        <f t="shared" si="301"/>
        <v>0</v>
      </c>
      <c r="AB878" s="2">
        <v>0</v>
      </c>
      <c r="AC878" s="2">
        <v>0</v>
      </c>
      <c r="AD878" s="16">
        <f t="shared" si="296"/>
        <v>14839886.5</v>
      </c>
      <c r="AE878" s="2">
        <v>0</v>
      </c>
      <c r="AF878" s="2">
        <f t="shared" si="302"/>
        <v>14839886.5</v>
      </c>
      <c r="AG878" s="38" t="s">
        <v>486</v>
      </c>
      <c r="AH878" s="29"/>
      <c r="AI878" s="30">
        <v>33593.550000000003</v>
      </c>
      <c r="AJ878" s="30">
        <v>0</v>
      </c>
    </row>
    <row r="879" spans="1:36" s="179" customFormat="1" ht="189" x14ac:dyDescent="0.25">
      <c r="A879" s="6">
        <v>876</v>
      </c>
      <c r="B879" s="31">
        <v>135024</v>
      </c>
      <c r="C879" s="31">
        <v>868</v>
      </c>
      <c r="D879" s="177" t="s">
        <v>143</v>
      </c>
      <c r="E879" s="82" t="s">
        <v>1622</v>
      </c>
      <c r="F879" s="31" t="s">
        <v>1700</v>
      </c>
      <c r="G879" s="11" t="s">
        <v>515</v>
      </c>
      <c r="H879" s="11" t="s">
        <v>1701</v>
      </c>
      <c r="I879" s="33" t="s">
        <v>3049</v>
      </c>
      <c r="J879" s="25">
        <v>44186</v>
      </c>
      <c r="K879" s="25">
        <v>45098</v>
      </c>
      <c r="L879" s="26">
        <f>R879/AD879*100</f>
        <v>83.98386335793829</v>
      </c>
      <c r="M879" s="11" t="s">
        <v>1343</v>
      </c>
      <c r="N879" s="11" t="s">
        <v>261</v>
      </c>
      <c r="O879" s="11" t="s">
        <v>137</v>
      </c>
      <c r="P879" s="27" t="s">
        <v>138</v>
      </c>
      <c r="Q879" s="11" t="s">
        <v>34</v>
      </c>
      <c r="R879" s="1">
        <f t="shared" si="298"/>
        <v>10518279.300000001</v>
      </c>
      <c r="S879" s="2">
        <v>8482075.9199999999</v>
      </c>
      <c r="T879" s="2">
        <v>2036203.38</v>
      </c>
      <c r="U879" s="1">
        <f t="shared" si="299"/>
        <v>826424.82000000007</v>
      </c>
      <c r="V879" s="28">
        <v>610734.86</v>
      </c>
      <c r="W879" s="28">
        <v>215689.96000000002</v>
      </c>
      <c r="X879" s="1">
        <f t="shared" si="300"/>
        <v>1179462.8800000001</v>
      </c>
      <c r="Y879" s="2">
        <v>886101.92</v>
      </c>
      <c r="Z879" s="2">
        <v>293360.96000000002</v>
      </c>
      <c r="AA879" s="2">
        <f t="shared" si="301"/>
        <v>0</v>
      </c>
      <c r="AB879" s="2">
        <v>0</v>
      </c>
      <c r="AC879" s="2">
        <v>0</v>
      </c>
      <c r="AD879" s="16">
        <f t="shared" si="296"/>
        <v>12524167.000000002</v>
      </c>
      <c r="AE879" s="2">
        <v>0</v>
      </c>
      <c r="AF879" s="2">
        <f t="shared" si="302"/>
        <v>12524167.000000002</v>
      </c>
      <c r="AG879" s="38" t="s">
        <v>486</v>
      </c>
      <c r="AH879" s="29"/>
      <c r="AI879" s="30">
        <f>31769.95+23519.68+153435.5+38677.92+32238.93+307239.04+109273.92+327032.98</f>
        <v>1023187.92</v>
      </c>
      <c r="AJ879" s="30">
        <f>5302.12+3856.54+3923.68+2567.06+5380.38+51003.13+18236.82+46260.93</f>
        <v>136530.66</v>
      </c>
    </row>
    <row r="880" spans="1:36" s="179" customFormat="1" ht="330.75" x14ac:dyDescent="0.25">
      <c r="A880" s="6">
        <v>877</v>
      </c>
      <c r="B880" s="31">
        <v>129541</v>
      </c>
      <c r="C880" s="31">
        <v>709</v>
      </c>
      <c r="D880" s="177" t="s">
        <v>143</v>
      </c>
      <c r="E880" s="82" t="s">
        <v>1056</v>
      </c>
      <c r="F880" s="31" t="s">
        <v>1703</v>
      </c>
      <c r="G880" s="11" t="s">
        <v>1702</v>
      </c>
      <c r="H880" s="11" t="s">
        <v>1704</v>
      </c>
      <c r="I880" s="33" t="s">
        <v>3050</v>
      </c>
      <c r="J880" s="25">
        <v>44187</v>
      </c>
      <c r="K880" s="25">
        <v>45038</v>
      </c>
      <c r="L880" s="26">
        <f t="shared" ref="L880:L893" si="303">R880/AD880*100</f>
        <v>83.98386306929801</v>
      </c>
      <c r="M880" s="11" t="s">
        <v>1343</v>
      </c>
      <c r="N880" s="11" t="s">
        <v>261</v>
      </c>
      <c r="O880" s="11" t="s">
        <v>137</v>
      </c>
      <c r="P880" s="27" t="s">
        <v>138</v>
      </c>
      <c r="Q880" s="11" t="s">
        <v>34</v>
      </c>
      <c r="R880" s="1">
        <f t="shared" si="298"/>
        <v>5951029.3500000043</v>
      </c>
      <c r="S880" s="2">
        <v>4798986.7300000042</v>
      </c>
      <c r="T880" s="2">
        <v>1152042.6200000003</v>
      </c>
      <c r="U880" s="1">
        <f t="shared" si="299"/>
        <v>551557.41999999993</v>
      </c>
      <c r="V880" s="28">
        <v>407605.53999999986</v>
      </c>
      <c r="W880" s="28">
        <v>143951.88</v>
      </c>
      <c r="X880" s="1">
        <f t="shared" si="300"/>
        <v>583333.23</v>
      </c>
      <c r="Y880" s="2">
        <v>439274.4</v>
      </c>
      <c r="Z880" s="2">
        <v>144058.82999999999</v>
      </c>
      <c r="AA880" s="2">
        <f t="shared" si="301"/>
        <v>0</v>
      </c>
      <c r="AB880" s="2">
        <v>0</v>
      </c>
      <c r="AC880" s="2">
        <v>0</v>
      </c>
      <c r="AD880" s="16">
        <f t="shared" si="296"/>
        <v>7085920.0000000037</v>
      </c>
      <c r="AE880" s="2">
        <v>0</v>
      </c>
      <c r="AF880" s="2">
        <f t="shared" si="302"/>
        <v>7085920.0000000037</v>
      </c>
      <c r="AG880" s="38" t="s">
        <v>486</v>
      </c>
      <c r="AH880" s="29"/>
      <c r="AI880" s="30">
        <f>52982.07+161729.07+1008893.61+1441425.72</f>
        <v>2665030.4699999997</v>
      </c>
      <c r="AJ880" s="30">
        <f>26991.1+134421.09+156722.83</f>
        <v>318135.02</v>
      </c>
    </row>
    <row r="881" spans="1:36" s="179" customFormat="1" ht="141.75" x14ac:dyDescent="0.25">
      <c r="A881" s="6">
        <v>878</v>
      </c>
      <c r="B881" s="31">
        <v>134024</v>
      </c>
      <c r="C881" s="31">
        <v>754</v>
      </c>
      <c r="D881" s="177" t="s">
        <v>143</v>
      </c>
      <c r="E881" s="82" t="s">
        <v>1622</v>
      </c>
      <c r="F881" s="31" t="s">
        <v>1705</v>
      </c>
      <c r="G881" s="11" t="s">
        <v>74</v>
      </c>
      <c r="H881" s="11" t="s">
        <v>1706</v>
      </c>
      <c r="I881" s="33" t="s">
        <v>1707</v>
      </c>
      <c r="J881" s="25">
        <v>44186</v>
      </c>
      <c r="K881" s="25">
        <v>45037</v>
      </c>
      <c r="L881" s="26">
        <f t="shared" si="303"/>
        <v>83.208378225753307</v>
      </c>
      <c r="M881" s="11" t="s">
        <v>1343</v>
      </c>
      <c r="N881" s="11" t="s">
        <v>261</v>
      </c>
      <c r="O881" s="11" t="s">
        <v>137</v>
      </c>
      <c r="P881" s="27" t="s">
        <v>138</v>
      </c>
      <c r="Q881" s="11" t="s">
        <v>34</v>
      </c>
      <c r="R881" s="1">
        <f t="shared" si="298"/>
        <v>9711600.1300000008</v>
      </c>
      <c r="S881" s="2">
        <v>7831559.3700000001</v>
      </c>
      <c r="T881" s="2">
        <v>1880040.7600000005</v>
      </c>
      <c r="U881" s="1">
        <f t="shared" si="299"/>
        <v>845775.4</v>
      </c>
      <c r="V881" s="28">
        <v>631135.92000000004</v>
      </c>
      <c r="W881" s="28">
        <v>214639.48</v>
      </c>
      <c r="X881" s="1">
        <f t="shared" si="300"/>
        <v>1006274.6499999999</v>
      </c>
      <c r="Y881" s="2">
        <v>750903.95</v>
      </c>
      <c r="Z881" s="2">
        <v>255370.7</v>
      </c>
      <c r="AA881" s="2">
        <f t="shared" si="301"/>
        <v>107770.81999999999</v>
      </c>
      <c r="AB881" s="2">
        <v>85868.84</v>
      </c>
      <c r="AC881" s="2">
        <v>21901.98</v>
      </c>
      <c r="AD881" s="16">
        <f t="shared" si="296"/>
        <v>11671421.000000002</v>
      </c>
      <c r="AE881" s="2">
        <v>0</v>
      </c>
      <c r="AF881" s="2">
        <f t="shared" si="302"/>
        <v>11671421.000000002</v>
      </c>
      <c r="AG881" s="38" t="s">
        <v>486</v>
      </c>
      <c r="AH881" s="29"/>
      <c r="AI881" s="30">
        <f>538854.1+63624.76+538184.06+226337.66+311578.82+187470.88+333222.73+578301.93+19594.69+364744.85+165671.93+332886.8+374787.25+512689.26</f>
        <v>4547949.72</v>
      </c>
      <c r="AJ881" s="30">
        <f>44378.82+49792.27+49902.89+53369.41+55778.96+58418.04+53315.61+55557.94+55672.3</f>
        <v>476186.23999999993</v>
      </c>
    </row>
    <row r="882" spans="1:36" s="179" customFormat="1" ht="141.75" x14ac:dyDescent="0.25">
      <c r="A882" s="6">
        <v>879</v>
      </c>
      <c r="B882" s="31">
        <v>129365</v>
      </c>
      <c r="C882" s="31">
        <v>695</v>
      </c>
      <c r="D882" s="177" t="s">
        <v>143</v>
      </c>
      <c r="E882" s="82" t="s">
        <v>1056</v>
      </c>
      <c r="F882" s="31" t="s">
        <v>1708</v>
      </c>
      <c r="G882" s="11" t="s">
        <v>74</v>
      </c>
      <c r="H882" s="8" t="s">
        <v>151</v>
      </c>
      <c r="I882" s="33" t="s">
        <v>3051</v>
      </c>
      <c r="J882" s="25">
        <v>44188</v>
      </c>
      <c r="K882" s="25">
        <v>45253</v>
      </c>
      <c r="L882" s="26">
        <f t="shared" si="303"/>
        <v>83.983862328307552</v>
      </c>
      <c r="M882" s="11" t="s">
        <v>1343</v>
      </c>
      <c r="N882" s="11" t="s">
        <v>261</v>
      </c>
      <c r="O882" s="11" t="s">
        <v>137</v>
      </c>
      <c r="P882" s="27" t="s">
        <v>138</v>
      </c>
      <c r="Q882" s="11" t="s">
        <v>34</v>
      </c>
      <c r="R882" s="1">
        <f t="shared" si="298"/>
        <v>5064322.6399999997</v>
      </c>
      <c r="S882" s="2">
        <v>4083934.8599999994</v>
      </c>
      <c r="T882" s="2">
        <v>980387.78</v>
      </c>
      <c r="U882" s="1">
        <f t="shared" si="299"/>
        <v>0</v>
      </c>
      <c r="V882" s="28">
        <v>0</v>
      </c>
      <c r="W882" s="28">
        <v>0</v>
      </c>
      <c r="X882" s="1">
        <f t="shared" si="300"/>
        <v>965791.3600000001</v>
      </c>
      <c r="Y882" s="2">
        <v>720694.56</v>
      </c>
      <c r="Z882" s="2">
        <v>245096.8</v>
      </c>
      <c r="AA882" s="2">
        <f t="shared" si="301"/>
        <v>0</v>
      </c>
      <c r="AB882" s="2">
        <v>0</v>
      </c>
      <c r="AC882" s="2">
        <v>0</v>
      </c>
      <c r="AD882" s="16">
        <f t="shared" si="296"/>
        <v>6030114</v>
      </c>
      <c r="AE882" s="2">
        <v>0</v>
      </c>
      <c r="AF882" s="2">
        <f t="shared" si="302"/>
        <v>6030114</v>
      </c>
      <c r="AG882" s="38" t="s">
        <v>486</v>
      </c>
      <c r="AH882" s="29" t="s">
        <v>1978</v>
      </c>
      <c r="AI882" s="30">
        <f>66550.23+165036.84+105796.69+558757.48+121282.91+367278.79</f>
        <v>1384702.94</v>
      </c>
      <c r="AJ882" s="30">
        <v>0</v>
      </c>
    </row>
    <row r="883" spans="1:36" s="179" customFormat="1" ht="204.75" x14ac:dyDescent="0.25">
      <c r="A883" s="6">
        <v>880</v>
      </c>
      <c r="B883" s="31">
        <v>136668</v>
      </c>
      <c r="C883" s="31">
        <v>865</v>
      </c>
      <c r="D883" s="177" t="s">
        <v>143</v>
      </c>
      <c r="E883" s="82" t="s">
        <v>1622</v>
      </c>
      <c r="F883" s="31" t="s">
        <v>1709</v>
      </c>
      <c r="G883" s="11" t="s">
        <v>515</v>
      </c>
      <c r="H883" s="11" t="s">
        <v>1642</v>
      </c>
      <c r="I883" s="33" t="s">
        <v>3052</v>
      </c>
      <c r="J883" s="25">
        <v>44188</v>
      </c>
      <c r="K883" s="25">
        <v>45283</v>
      </c>
      <c r="L883" s="26">
        <f t="shared" si="303"/>
        <v>83.983862901069841</v>
      </c>
      <c r="M883" s="11" t="s">
        <v>1343</v>
      </c>
      <c r="N883" s="11" t="s">
        <v>261</v>
      </c>
      <c r="O883" s="11" t="s">
        <v>137</v>
      </c>
      <c r="P883" s="27" t="s">
        <v>138</v>
      </c>
      <c r="Q883" s="11" t="s">
        <v>34</v>
      </c>
      <c r="R883" s="1">
        <f t="shared" si="298"/>
        <v>9968940.5099999979</v>
      </c>
      <c r="S883" s="2">
        <v>8039081.9699999969</v>
      </c>
      <c r="T883" s="2">
        <v>1929858.54</v>
      </c>
      <c r="U883" s="1">
        <f t="shared" si="299"/>
        <v>698109.62000000011</v>
      </c>
      <c r="V883" s="28">
        <v>515908.89000000013</v>
      </c>
      <c r="W883" s="28">
        <v>182200.72999999995</v>
      </c>
      <c r="X883" s="1">
        <f t="shared" si="300"/>
        <v>1203016.53</v>
      </c>
      <c r="Y883" s="2">
        <v>902752.63</v>
      </c>
      <c r="Z883" s="2">
        <v>300263.90000000002</v>
      </c>
      <c r="AA883" s="2">
        <f t="shared" si="301"/>
        <v>0</v>
      </c>
      <c r="AB883" s="2">
        <v>0</v>
      </c>
      <c r="AC883" s="2">
        <v>0</v>
      </c>
      <c r="AD883" s="16">
        <f t="shared" si="296"/>
        <v>11870066.659999998</v>
      </c>
      <c r="AE883" s="2">
        <v>0</v>
      </c>
      <c r="AF883" s="2">
        <f t="shared" si="302"/>
        <v>11870066.659999998</v>
      </c>
      <c r="AG883" s="38" t="s">
        <v>486</v>
      </c>
      <c r="AH883" s="29" t="s">
        <v>3297</v>
      </c>
      <c r="AI883" s="30">
        <f>498000+242382.68+364875.45-38132.16+498000+370588.88-37963.87+276403.02</f>
        <v>2174154</v>
      </c>
      <c r="AJ883" s="30">
        <f>40451.45+60894.37+73825.81+55566.97+39531.66</f>
        <v>270270.26</v>
      </c>
    </row>
    <row r="884" spans="1:36" s="179" customFormat="1" ht="141.75" x14ac:dyDescent="0.25">
      <c r="A884" s="6">
        <v>881</v>
      </c>
      <c r="B884" s="31">
        <v>136584</v>
      </c>
      <c r="C884" s="31">
        <v>867</v>
      </c>
      <c r="D884" s="177" t="s">
        <v>143</v>
      </c>
      <c r="E884" s="82" t="s">
        <v>1622</v>
      </c>
      <c r="F884" s="31" t="s">
        <v>1710</v>
      </c>
      <c r="G884" s="11" t="s">
        <v>1772</v>
      </c>
      <c r="H884" s="11" t="s">
        <v>1642</v>
      </c>
      <c r="I884" s="33" t="s">
        <v>1711</v>
      </c>
      <c r="J884" s="25">
        <v>44188</v>
      </c>
      <c r="K884" s="25">
        <v>45283</v>
      </c>
      <c r="L884" s="26">
        <f t="shared" si="303"/>
        <v>83.983863185742621</v>
      </c>
      <c r="M884" s="11" t="s">
        <v>1343</v>
      </c>
      <c r="N884" s="11" t="s">
        <v>261</v>
      </c>
      <c r="O884" s="11" t="s">
        <v>137</v>
      </c>
      <c r="P884" s="27" t="s">
        <v>138</v>
      </c>
      <c r="Q884" s="11" t="s">
        <v>34</v>
      </c>
      <c r="R884" s="1">
        <f t="shared" si="298"/>
        <v>8836684.2599999998</v>
      </c>
      <c r="S884" s="2">
        <v>7126015.9400000004</v>
      </c>
      <c r="T884" s="2">
        <v>1710668.3199999987</v>
      </c>
      <c r="U884" s="1">
        <f t="shared" si="299"/>
        <v>721551.53999999992</v>
      </c>
      <c r="V884" s="28">
        <v>533232.69999999995</v>
      </c>
      <c r="W884" s="28">
        <v>188318.83999999997</v>
      </c>
      <c r="X884" s="1">
        <f t="shared" si="300"/>
        <v>963647.72</v>
      </c>
      <c r="Y884" s="2">
        <v>724299.51</v>
      </c>
      <c r="Z884" s="2">
        <v>239348.21</v>
      </c>
      <c r="AA884" s="2">
        <f t="shared" si="301"/>
        <v>0</v>
      </c>
      <c r="AB884" s="2">
        <v>0</v>
      </c>
      <c r="AC884" s="2">
        <v>0</v>
      </c>
      <c r="AD884" s="16">
        <f t="shared" si="296"/>
        <v>10521883.52</v>
      </c>
      <c r="AE884" s="2">
        <v>0</v>
      </c>
      <c r="AF884" s="2">
        <f t="shared" si="302"/>
        <v>10521883.52</v>
      </c>
      <c r="AG884" s="38" t="s">
        <v>486</v>
      </c>
      <c r="AH884" s="29"/>
      <c r="AI884" s="30">
        <f>500000-26815.53+689230.27+19749.06+356445.7+316299.12+377069.15</f>
        <v>2231977.77</v>
      </c>
      <c r="AJ884" s="30">
        <f>26815.53+71461.81+65389.76+47413.08+42561.12+52191.33</f>
        <v>305832.63</v>
      </c>
    </row>
    <row r="885" spans="1:36" s="179" customFormat="1" ht="141.75" x14ac:dyDescent="0.25">
      <c r="A885" s="6">
        <v>882</v>
      </c>
      <c r="B885" s="31">
        <v>142520</v>
      </c>
      <c r="C885" s="31">
        <v>871</v>
      </c>
      <c r="D885" s="177" t="s">
        <v>1731</v>
      </c>
      <c r="E885" s="82" t="s">
        <v>1730</v>
      </c>
      <c r="F885" s="31" t="s">
        <v>1728</v>
      </c>
      <c r="G885" s="11" t="s">
        <v>99</v>
      </c>
      <c r="H885" s="11" t="s">
        <v>1729</v>
      </c>
      <c r="I885" s="33" t="s">
        <v>3053</v>
      </c>
      <c r="J885" s="25">
        <v>44237</v>
      </c>
      <c r="K885" s="25">
        <v>45291</v>
      </c>
      <c r="L885" s="26">
        <f t="shared" si="303"/>
        <v>83.983862835167429</v>
      </c>
      <c r="M885" s="11" t="s">
        <v>1343</v>
      </c>
      <c r="N885" s="11" t="s">
        <v>261</v>
      </c>
      <c r="O885" s="11" t="s">
        <v>137</v>
      </c>
      <c r="P885" s="27" t="s">
        <v>138</v>
      </c>
      <c r="Q885" s="11" t="s">
        <v>34</v>
      </c>
      <c r="R885" s="1">
        <f t="shared" si="298"/>
        <v>80565489.459999993</v>
      </c>
      <c r="S885" s="2">
        <v>64969047.969999999</v>
      </c>
      <c r="T885" s="2">
        <v>15596441.49</v>
      </c>
      <c r="U885" s="1">
        <f t="shared" si="299"/>
        <v>0</v>
      </c>
      <c r="V885" s="28">
        <v>0</v>
      </c>
      <c r="W885" s="28">
        <v>0</v>
      </c>
      <c r="X885" s="1">
        <f t="shared" si="300"/>
        <v>15364236.489999998</v>
      </c>
      <c r="Y885" s="2">
        <v>11465126.109999999</v>
      </c>
      <c r="Z885" s="2">
        <v>3899110.38</v>
      </c>
      <c r="AA885" s="2">
        <f t="shared" si="301"/>
        <v>0</v>
      </c>
      <c r="AB885" s="2">
        <v>0</v>
      </c>
      <c r="AC885" s="2">
        <v>0</v>
      </c>
      <c r="AD885" s="16">
        <f t="shared" si="296"/>
        <v>95929725.949999988</v>
      </c>
      <c r="AE885" s="2">
        <v>38533625.200000003</v>
      </c>
      <c r="AF885" s="2">
        <f t="shared" si="302"/>
        <v>134463351.14999998</v>
      </c>
      <c r="AG885" s="38" t="s">
        <v>1412</v>
      </c>
      <c r="AH885" s="29" t="s">
        <v>3236</v>
      </c>
      <c r="AI885" s="30">
        <f>61524.06+249198.6</f>
        <v>310722.66000000003</v>
      </c>
      <c r="AJ885" s="30">
        <v>0</v>
      </c>
    </row>
    <row r="886" spans="1:36" s="179" customFormat="1" ht="141.75" x14ac:dyDescent="0.25">
      <c r="A886" s="6">
        <v>883</v>
      </c>
      <c r="B886" s="31">
        <v>134321</v>
      </c>
      <c r="C886" s="31">
        <v>860</v>
      </c>
      <c r="D886" s="177" t="s">
        <v>143</v>
      </c>
      <c r="E886" s="82" t="s">
        <v>1622</v>
      </c>
      <c r="F886" s="31" t="s">
        <v>1736</v>
      </c>
      <c r="G886" s="11" t="s">
        <v>1735</v>
      </c>
      <c r="H886" s="8" t="s">
        <v>151</v>
      </c>
      <c r="I886" s="33" t="s">
        <v>3054</v>
      </c>
      <c r="J886" s="25">
        <v>44252</v>
      </c>
      <c r="K886" s="25">
        <v>45163</v>
      </c>
      <c r="L886" s="26">
        <f t="shared" si="303"/>
        <v>83.983862849138816</v>
      </c>
      <c r="M886" s="11" t="s">
        <v>1343</v>
      </c>
      <c r="N886" s="11" t="s">
        <v>261</v>
      </c>
      <c r="O886" s="11" t="s">
        <v>137</v>
      </c>
      <c r="P886" s="27" t="s">
        <v>138</v>
      </c>
      <c r="Q886" s="11" t="s">
        <v>34</v>
      </c>
      <c r="R886" s="1">
        <f t="shared" si="298"/>
        <v>6163224.3899999987</v>
      </c>
      <c r="S886" s="2">
        <v>4970103.5099999988</v>
      </c>
      <c r="T886" s="2">
        <v>1193120.8799999999</v>
      </c>
      <c r="U886" s="1">
        <f t="shared" si="299"/>
        <v>0</v>
      </c>
      <c r="V886" s="28">
        <v>0</v>
      </c>
      <c r="W886" s="28">
        <v>0</v>
      </c>
      <c r="X886" s="1">
        <f t="shared" si="300"/>
        <v>1175357.31</v>
      </c>
      <c r="Y886" s="2">
        <v>877077.08</v>
      </c>
      <c r="Z886" s="2">
        <v>298280.23</v>
      </c>
      <c r="AA886" s="2">
        <f t="shared" si="301"/>
        <v>0</v>
      </c>
      <c r="AB886" s="2">
        <v>0</v>
      </c>
      <c r="AC886" s="2">
        <v>0</v>
      </c>
      <c r="AD886" s="16">
        <f t="shared" si="296"/>
        <v>7338581.6999999993</v>
      </c>
      <c r="AE886" s="2">
        <v>0</v>
      </c>
      <c r="AF886" s="2">
        <f t="shared" si="302"/>
        <v>7338581.6999999993</v>
      </c>
      <c r="AG886" s="38" t="s">
        <v>1412</v>
      </c>
      <c r="AH886" s="29"/>
      <c r="AI886" s="30">
        <f>42780.58+115847.56+129660.59+158178.99+427483.43+672351.67</f>
        <v>1546302.8199999998</v>
      </c>
      <c r="AJ886" s="30">
        <v>0</v>
      </c>
    </row>
    <row r="887" spans="1:36" s="179" customFormat="1" ht="157.5" x14ac:dyDescent="0.25">
      <c r="A887" s="6">
        <v>884</v>
      </c>
      <c r="B887" s="31">
        <v>134092</v>
      </c>
      <c r="C887" s="31">
        <v>864</v>
      </c>
      <c r="D887" s="177" t="s">
        <v>143</v>
      </c>
      <c r="E887" s="82" t="s">
        <v>1622</v>
      </c>
      <c r="F887" s="31" t="s">
        <v>1741</v>
      </c>
      <c r="G887" s="11" t="s">
        <v>1740</v>
      </c>
      <c r="H887" s="11" t="s">
        <v>1742</v>
      </c>
      <c r="I887" s="33" t="s">
        <v>3055</v>
      </c>
      <c r="J887" s="25">
        <v>44267</v>
      </c>
      <c r="K887" s="25">
        <v>45181</v>
      </c>
      <c r="L887" s="26">
        <f t="shared" si="303"/>
        <v>83.983862883683784</v>
      </c>
      <c r="M887" s="11" t="s">
        <v>1343</v>
      </c>
      <c r="N887" s="11" t="s">
        <v>261</v>
      </c>
      <c r="O887" s="11" t="s">
        <v>137</v>
      </c>
      <c r="P887" s="27" t="s">
        <v>138</v>
      </c>
      <c r="Q887" s="11" t="s">
        <v>34</v>
      </c>
      <c r="R887" s="1">
        <f t="shared" si="298"/>
        <v>3719903.0000000009</v>
      </c>
      <c r="S887" s="2">
        <v>2999777.6600000006</v>
      </c>
      <c r="T887" s="2">
        <v>720125.34000000008</v>
      </c>
      <c r="U887" s="1">
        <f t="shared" si="299"/>
        <v>0</v>
      </c>
      <c r="V887" s="28">
        <v>0</v>
      </c>
      <c r="W887" s="28">
        <v>0</v>
      </c>
      <c r="X887" s="1">
        <f t="shared" si="300"/>
        <v>709403.8600000001</v>
      </c>
      <c r="Y887" s="2">
        <v>529372.54</v>
      </c>
      <c r="Z887" s="2">
        <v>180031.32</v>
      </c>
      <c r="AA887" s="2">
        <f t="shared" si="301"/>
        <v>0</v>
      </c>
      <c r="AB887" s="2">
        <v>0</v>
      </c>
      <c r="AC887" s="2">
        <v>0</v>
      </c>
      <c r="AD887" s="16">
        <f t="shared" si="296"/>
        <v>4429306.8600000013</v>
      </c>
      <c r="AE887" s="2">
        <v>0</v>
      </c>
      <c r="AF887" s="2">
        <f t="shared" si="302"/>
        <v>4429306.8600000013</v>
      </c>
      <c r="AG887" s="38" t="s">
        <v>1412</v>
      </c>
      <c r="AH887" s="29" t="s">
        <v>3311</v>
      </c>
      <c r="AI887" s="30">
        <f>117020.46+141164.27+882824.9+42649.53</f>
        <v>1183659.1599999999</v>
      </c>
      <c r="AJ887" s="30">
        <v>0</v>
      </c>
    </row>
    <row r="888" spans="1:36" s="179" customFormat="1" ht="173.25" x14ac:dyDescent="0.25">
      <c r="A888" s="6">
        <v>885</v>
      </c>
      <c r="B888" s="31">
        <v>129984</v>
      </c>
      <c r="C888" s="31">
        <v>727</v>
      </c>
      <c r="D888" s="177" t="s">
        <v>143</v>
      </c>
      <c r="E888" s="82" t="s">
        <v>1056</v>
      </c>
      <c r="F888" s="31" t="s">
        <v>1744</v>
      </c>
      <c r="G888" s="11" t="s">
        <v>1745</v>
      </c>
      <c r="H888" s="8" t="s">
        <v>151</v>
      </c>
      <c r="I888" s="33" t="s">
        <v>3056</v>
      </c>
      <c r="J888" s="25">
        <v>44273</v>
      </c>
      <c r="K888" s="25">
        <v>45003</v>
      </c>
      <c r="L888" s="26">
        <f t="shared" si="303"/>
        <v>83.983862919401076</v>
      </c>
      <c r="M888" s="11" t="s">
        <v>1343</v>
      </c>
      <c r="N888" s="11" t="s">
        <v>261</v>
      </c>
      <c r="O888" s="11" t="s">
        <v>137</v>
      </c>
      <c r="P888" s="27" t="s">
        <v>138</v>
      </c>
      <c r="Q888" s="11" t="s">
        <v>34</v>
      </c>
      <c r="R888" s="1">
        <f t="shared" si="298"/>
        <v>4109527.38</v>
      </c>
      <c r="S888" s="2">
        <v>3313975.8</v>
      </c>
      <c r="T888" s="2">
        <v>795551.58000000007</v>
      </c>
      <c r="U888" s="1">
        <f t="shared" si="299"/>
        <v>0</v>
      </c>
      <c r="V888" s="28">
        <v>0</v>
      </c>
      <c r="W888" s="28">
        <v>0</v>
      </c>
      <c r="X888" s="1">
        <f t="shared" si="300"/>
        <v>783707.15</v>
      </c>
      <c r="Y888" s="2">
        <v>584819.24</v>
      </c>
      <c r="Z888" s="2">
        <v>198887.91</v>
      </c>
      <c r="AA888" s="2">
        <f t="shared" si="301"/>
        <v>0</v>
      </c>
      <c r="AB888" s="2">
        <v>0</v>
      </c>
      <c r="AC888" s="2">
        <v>0</v>
      </c>
      <c r="AD888" s="16">
        <f t="shared" si="296"/>
        <v>4893234.53</v>
      </c>
      <c r="AE888" s="2">
        <v>0</v>
      </c>
      <c r="AF888" s="2">
        <f t="shared" si="302"/>
        <v>4893234.53</v>
      </c>
      <c r="AG888" s="38" t="s">
        <v>1412</v>
      </c>
      <c r="AH888" s="29"/>
      <c r="AI888" s="30">
        <v>31972.73</v>
      </c>
      <c r="AJ888" s="30">
        <v>0</v>
      </c>
    </row>
    <row r="889" spans="1:36" s="179" customFormat="1" ht="173.25" x14ac:dyDescent="0.25">
      <c r="A889" s="6">
        <v>886</v>
      </c>
      <c r="B889" s="31">
        <v>151956</v>
      </c>
      <c r="C889" s="31">
        <v>1100</v>
      </c>
      <c r="D889" s="177" t="s">
        <v>144</v>
      </c>
      <c r="E889" s="82" t="s">
        <v>1788</v>
      </c>
      <c r="F889" s="31" t="s">
        <v>1789</v>
      </c>
      <c r="G889" s="11" t="s">
        <v>1153</v>
      </c>
      <c r="H889" s="8" t="s">
        <v>151</v>
      </c>
      <c r="I889" s="33" t="s">
        <v>3057</v>
      </c>
      <c r="J889" s="25">
        <v>44425</v>
      </c>
      <c r="K889" s="25">
        <v>45094</v>
      </c>
      <c r="L889" s="26">
        <f t="shared" si="303"/>
        <v>83.858993688811864</v>
      </c>
      <c r="M889" s="11" t="s">
        <v>1343</v>
      </c>
      <c r="N889" s="11" t="s">
        <v>261</v>
      </c>
      <c r="O889" s="11" t="s">
        <v>137</v>
      </c>
      <c r="P889" s="27" t="s">
        <v>138</v>
      </c>
      <c r="Q889" s="11" t="s">
        <v>34</v>
      </c>
      <c r="R889" s="1">
        <f t="shared" si="298"/>
        <v>6320507.5</v>
      </c>
      <c r="S889" s="2">
        <v>4944533.01</v>
      </c>
      <c r="T889" s="2">
        <v>1375974.49</v>
      </c>
      <c r="U889" s="1">
        <f t="shared" si="299"/>
        <v>1065816.9500000002</v>
      </c>
      <c r="V889" s="28">
        <v>756222.70000000007</v>
      </c>
      <c r="W889" s="28">
        <v>309594.25</v>
      </c>
      <c r="X889" s="1">
        <f t="shared" si="300"/>
        <v>150741.31</v>
      </c>
      <c r="Y889" s="2">
        <v>116341.95</v>
      </c>
      <c r="Z889" s="2">
        <v>34399.360000000001</v>
      </c>
      <c r="AA889" s="2">
        <f t="shared" si="301"/>
        <v>0</v>
      </c>
      <c r="AB889" s="2">
        <v>0</v>
      </c>
      <c r="AC889" s="2">
        <v>0</v>
      </c>
      <c r="AD889" s="16">
        <f t="shared" si="296"/>
        <v>7537065.7599999998</v>
      </c>
      <c r="AE889" s="2">
        <v>0</v>
      </c>
      <c r="AF889" s="2">
        <f t="shared" si="302"/>
        <v>7537065.7599999998</v>
      </c>
      <c r="AG889" s="38" t="s">
        <v>1412</v>
      </c>
      <c r="AH889" s="29" t="s">
        <v>1807</v>
      </c>
      <c r="AI889" s="30">
        <f>6619.83+16332.38</f>
        <v>22952.21</v>
      </c>
      <c r="AJ889" s="30">
        <f>1116.29+2754.1</f>
        <v>3870.39</v>
      </c>
    </row>
    <row r="890" spans="1:36" s="179" customFormat="1" ht="173.25" x14ac:dyDescent="0.25">
      <c r="A890" s="6">
        <v>887</v>
      </c>
      <c r="B890" s="31">
        <v>152441</v>
      </c>
      <c r="C890" s="31">
        <v>1156</v>
      </c>
      <c r="D890" s="177" t="s">
        <v>1640</v>
      </c>
      <c r="E890" s="82" t="s">
        <v>1957</v>
      </c>
      <c r="F890" s="31" t="s">
        <v>1956</v>
      </c>
      <c r="G890" s="11" t="s">
        <v>424</v>
      </c>
      <c r="H890" s="8" t="s">
        <v>151</v>
      </c>
      <c r="I890" s="33" t="s">
        <v>3058</v>
      </c>
      <c r="J890" s="25">
        <v>44553</v>
      </c>
      <c r="K890" s="25">
        <v>45283</v>
      </c>
      <c r="L890" s="26">
        <f t="shared" si="303"/>
        <v>83.983863246453154</v>
      </c>
      <c r="M890" s="11" t="s">
        <v>1343</v>
      </c>
      <c r="N890" s="11" t="s">
        <v>261</v>
      </c>
      <c r="O890" s="11" t="s">
        <v>137</v>
      </c>
      <c r="P890" s="27" t="s">
        <v>138</v>
      </c>
      <c r="Q890" s="11" t="s">
        <v>34</v>
      </c>
      <c r="R890" s="1">
        <f t="shared" si="298"/>
        <v>4554571.1400000006</v>
      </c>
      <c r="S890" s="2">
        <v>3672864.8200000003</v>
      </c>
      <c r="T890" s="2">
        <v>881706.32</v>
      </c>
      <c r="U890" s="1">
        <f t="shared" si="299"/>
        <v>0</v>
      </c>
      <c r="V890" s="28">
        <v>0</v>
      </c>
      <c r="W890" s="28">
        <v>0</v>
      </c>
      <c r="X890" s="1">
        <f t="shared" si="300"/>
        <v>868579.17</v>
      </c>
      <c r="Y890" s="2">
        <v>648152.57860638108</v>
      </c>
      <c r="Z890" s="2">
        <v>220426.59139361896</v>
      </c>
      <c r="AA890" s="2">
        <f t="shared" si="301"/>
        <v>0</v>
      </c>
      <c r="AB890" s="2">
        <v>0</v>
      </c>
      <c r="AC890" s="2">
        <v>0</v>
      </c>
      <c r="AD890" s="16">
        <f t="shared" si="296"/>
        <v>5423150.3100000005</v>
      </c>
      <c r="AE890" s="2">
        <v>0</v>
      </c>
      <c r="AF890" s="2">
        <f t="shared" si="302"/>
        <v>5423150.3100000005</v>
      </c>
      <c r="AG890" s="38" t="s">
        <v>1412</v>
      </c>
      <c r="AH890" s="29"/>
      <c r="AI890" s="30">
        <f>153334.04+972856.26</f>
        <v>1126190.3</v>
      </c>
      <c r="AJ890" s="30">
        <v>0</v>
      </c>
    </row>
    <row r="891" spans="1:36" s="179" customFormat="1" ht="157.5" x14ac:dyDescent="0.25">
      <c r="A891" s="6">
        <v>888</v>
      </c>
      <c r="B891" s="31">
        <v>152674</v>
      </c>
      <c r="C891" s="31">
        <v>1158</v>
      </c>
      <c r="D891" s="177" t="s">
        <v>1639</v>
      </c>
      <c r="E891" s="82" t="s">
        <v>1997</v>
      </c>
      <c r="F891" s="31" t="s">
        <v>1995</v>
      </c>
      <c r="G891" s="11" t="s">
        <v>1994</v>
      </c>
      <c r="H891" s="32" t="s">
        <v>1996</v>
      </c>
      <c r="I891" s="33" t="s">
        <v>3059</v>
      </c>
      <c r="J891" s="25">
        <v>44614</v>
      </c>
      <c r="K891" s="25">
        <v>45160</v>
      </c>
      <c r="L891" s="26">
        <f t="shared" si="303"/>
        <v>83.444127847847483</v>
      </c>
      <c r="M891" s="11" t="s">
        <v>1343</v>
      </c>
      <c r="N891" s="11" t="s">
        <v>261</v>
      </c>
      <c r="O891" s="11" t="s">
        <v>137</v>
      </c>
      <c r="P891" s="27" t="s">
        <v>138</v>
      </c>
      <c r="Q891" s="11" t="s">
        <v>34</v>
      </c>
      <c r="R891" s="1">
        <f t="shared" si="298"/>
        <v>6265616.1400000006</v>
      </c>
      <c r="S891" s="2">
        <v>5052673.5700000012</v>
      </c>
      <c r="T891" s="2">
        <v>1212942.5699999998</v>
      </c>
      <c r="U891" s="1">
        <f t="shared" si="299"/>
        <v>378709.87999999995</v>
      </c>
      <c r="V891" s="28">
        <v>282601.51999999996</v>
      </c>
      <c r="W891" s="28">
        <v>96108.36</v>
      </c>
      <c r="X891" s="1">
        <f t="shared" si="300"/>
        <v>76470.42</v>
      </c>
      <c r="Y891" s="2">
        <v>59503.26</v>
      </c>
      <c r="Z891" s="2">
        <v>16967.16</v>
      </c>
      <c r="AA891" s="2">
        <f t="shared" si="301"/>
        <v>787959.78</v>
      </c>
      <c r="AB891" s="2">
        <v>587992.63</v>
      </c>
      <c r="AC891" s="2">
        <v>199967.15</v>
      </c>
      <c r="AD891" s="16">
        <f t="shared" si="296"/>
        <v>7508756.2200000007</v>
      </c>
      <c r="AE891" s="2">
        <v>0</v>
      </c>
      <c r="AF891" s="2">
        <f t="shared" si="302"/>
        <v>7508756.2200000007</v>
      </c>
      <c r="AG891" s="38" t="s">
        <v>1412</v>
      </c>
      <c r="AH891" s="29"/>
      <c r="AI891" s="30">
        <f>241280.8+175627.99+304508.95+197607.82</f>
        <v>919025.56</v>
      </c>
      <c r="AJ891" s="30">
        <f>33493.12+4967.73+37684.79</f>
        <v>76145.640000000014</v>
      </c>
    </row>
    <row r="892" spans="1:36" s="179" customFormat="1" ht="141.75" x14ac:dyDescent="0.25">
      <c r="A892" s="6">
        <v>889</v>
      </c>
      <c r="B892" s="31">
        <v>152912</v>
      </c>
      <c r="C892" s="31">
        <v>1157</v>
      </c>
      <c r="D892" s="177" t="s">
        <v>1640</v>
      </c>
      <c r="E892" s="82" t="s">
        <v>1957</v>
      </c>
      <c r="F892" s="31" t="s">
        <v>2004</v>
      </c>
      <c r="G892" s="11" t="s">
        <v>122</v>
      </c>
      <c r="H892" s="8" t="s">
        <v>151</v>
      </c>
      <c r="I892" s="33" t="s">
        <v>3060</v>
      </c>
      <c r="J892" s="25">
        <v>44621</v>
      </c>
      <c r="K892" s="25">
        <v>45261</v>
      </c>
      <c r="L892" s="26">
        <f t="shared" si="303"/>
        <v>83.983862463265709</v>
      </c>
      <c r="M892" s="11" t="s">
        <v>1343</v>
      </c>
      <c r="N892" s="11" t="s">
        <v>261</v>
      </c>
      <c r="O892" s="11" t="s">
        <v>137</v>
      </c>
      <c r="P892" s="27" t="s">
        <v>138</v>
      </c>
      <c r="Q892" s="11" t="s">
        <v>34</v>
      </c>
      <c r="R892" s="1">
        <f t="shared" si="298"/>
        <v>3188751.36</v>
      </c>
      <c r="S892" s="2">
        <v>2571450.15</v>
      </c>
      <c r="T892" s="2">
        <v>617301.21</v>
      </c>
      <c r="U892" s="1">
        <f t="shared" si="299"/>
        <v>0</v>
      </c>
      <c r="V892" s="28">
        <v>0</v>
      </c>
      <c r="W892" s="28">
        <v>0</v>
      </c>
      <c r="X892" s="1">
        <f t="shared" si="300"/>
        <v>608110.64</v>
      </c>
      <c r="Y892" s="2">
        <v>453785.34</v>
      </c>
      <c r="Z892" s="2">
        <v>154325.29999999999</v>
      </c>
      <c r="AA892" s="2">
        <f t="shared" si="301"/>
        <v>0</v>
      </c>
      <c r="AB892" s="2">
        <v>0</v>
      </c>
      <c r="AC892" s="2">
        <v>0</v>
      </c>
      <c r="AD892" s="16">
        <f t="shared" si="296"/>
        <v>3796862</v>
      </c>
      <c r="AE892" s="2">
        <v>0</v>
      </c>
      <c r="AF892" s="2">
        <f t="shared" si="302"/>
        <v>3796862</v>
      </c>
      <c r="AG892" s="38" t="s">
        <v>1412</v>
      </c>
      <c r="AH892" s="29"/>
      <c r="AI892" s="30">
        <v>12045.8</v>
      </c>
      <c r="AJ892" s="30">
        <v>0</v>
      </c>
    </row>
    <row r="893" spans="1:36" s="179" customFormat="1" ht="157.5" x14ac:dyDescent="0.25">
      <c r="A893" s="6">
        <v>890</v>
      </c>
      <c r="B893" s="31">
        <v>155637</v>
      </c>
      <c r="C893" s="31">
        <v>1262</v>
      </c>
      <c r="D893" s="177" t="s">
        <v>1640</v>
      </c>
      <c r="E893" s="82" t="s">
        <v>2252</v>
      </c>
      <c r="F893" s="31" t="s">
        <v>2251</v>
      </c>
      <c r="G893" s="11" t="s">
        <v>742</v>
      </c>
      <c r="H893" s="8" t="s">
        <v>151</v>
      </c>
      <c r="I893" s="33" t="s">
        <v>3061</v>
      </c>
      <c r="J893" s="25">
        <v>44719</v>
      </c>
      <c r="K893" s="25">
        <v>45267</v>
      </c>
      <c r="L893" s="26">
        <f t="shared" si="303"/>
        <v>82.304185424500574</v>
      </c>
      <c r="M893" s="11" t="s">
        <v>1343</v>
      </c>
      <c r="N893" s="11" t="s">
        <v>261</v>
      </c>
      <c r="O893" s="11" t="s">
        <v>137</v>
      </c>
      <c r="P893" s="27" t="s">
        <v>138</v>
      </c>
      <c r="Q893" s="11" t="s">
        <v>34</v>
      </c>
      <c r="R893" s="1">
        <f t="shared" si="298"/>
        <v>4114631.4299999997</v>
      </c>
      <c r="S893" s="2">
        <v>3318091.76</v>
      </c>
      <c r="T893" s="2">
        <v>796539.67</v>
      </c>
      <c r="U893" s="1">
        <f t="shared" si="299"/>
        <v>784680.5299999998</v>
      </c>
      <c r="V893" s="28">
        <v>585545.59999999986</v>
      </c>
      <c r="W893" s="28">
        <v>199134.93</v>
      </c>
      <c r="X893" s="1">
        <f t="shared" si="300"/>
        <v>99985.96</v>
      </c>
      <c r="Y893" s="2">
        <v>79666.080000000002</v>
      </c>
      <c r="Z893" s="2">
        <v>20319.88</v>
      </c>
      <c r="AA893" s="2">
        <f t="shared" si="301"/>
        <v>0</v>
      </c>
      <c r="AB893" s="2">
        <v>0</v>
      </c>
      <c r="AC893" s="2">
        <v>0</v>
      </c>
      <c r="AD893" s="16">
        <f t="shared" si="296"/>
        <v>4999297.919999999</v>
      </c>
      <c r="AE893" s="2">
        <v>0</v>
      </c>
      <c r="AF893" s="2">
        <f t="shared" si="302"/>
        <v>4999297.919999999</v>
      </c>
      <c r="AG893" s="38" t="s">
        <v>1412</v>
      </c>
      <c r="AH893" s="29" t="s">
        <v>3309</v>
      </c>
      <c r="AI893" s="30">
        <v>155000</v>
      </c>
      <c r="AJ893" s="30">
        <v>0</v>
      </c>
    </row>
    <row r="894" spans="1:36" s="179" customFormat="1" x14ac:dyDescent="0.25">
      <c r="F894" s="119"/>
      <c r="G894" s="119"/>
      <c r="H894" s="186"/>
      <c r="J894" s="187"/>
      <c r="K894" s="187"/>
      <c r="L894" s="187"/>
      <c r="M894" s="187"/>
      <c r="N894" s="187"/>
      <c r="O894" s="187"/>
      <c r="P894" s="187"/>
      <c r="Q894" s="187"/>
      <c r="R894" s="182">
        <f>SUM(R4:R893)</f>
        <v>3547483033.7528925</v>
      </c>
      <c r="S894" s="182">
        <f t="shared" ref="S894:AJ894" si="304">SUM(S4:S893)</f>
        <v>2970666553.4999981</v>
      </c>
      <c r="T894" s="182">
        <f t="shared" si="304"/>
        <v>576816480.25289261</v>
      </c>
      <c r="U894" s="182">
        <f t="shared" si="304"/>
        <v>191877182.76999974</v>
      </c>
      <c r="V894" s="182">
        <f t="shared" si="304"/>
        <v>160436756.38</v>
      </c>
      <c r="W894" s="182">
        <f t="shared" si="304"/>
        <v>31440426.390000012</v>
      </c>
      <c r="X894" s="182">
        <f t="shared" si="304"/>
        <v>475899468.06999975</v>
      </c>
      <c r="Y894" s="182">
        <f t="shared" si="304"/>
        <v>363369260.71647835</v>
      </c>
      <c r="Z894" s="182">
        <f t="shared" si="304"/>
        <v>112530207.35352157</v>
      </c>
      <c r="AA894" s="182">
        <f t="shared" si="304"/>
        <v>5901278.0300000003</v>
      </c>
      <c r="AB894" s="182">
        <f t="shared" si="304"/>
        <v>4812320.2499999991</v>
      </c>
      <c r="AC894" s="182">
        <f t="shared" si="304"/>
        <v>1088957.78</v>
      </c>
      <c r="AD894" s="182">
        <f t="shared" si="304"/>
        <v>4221160962.6228933</v>
      </c>
      <c r="AE894" s="182">
        <f t="shared" si="304"/>
        <v>72229848.069999993</v>
      </c>
      <c r="AF894" s="182">
        <f t="shared" si="304"/>
        <v>4293390810.692894</v>
      </c>
      <c r="AG894" s="182">
        <f t="shared" si="304"/>
        <v>0</v>
      </c>
      <c r="AH894" s="182">
        <f t="shared" si="304"/>
        <v>43818</v>
      </c>
      <c r="AI894" s="182">
        <f t="shared" si="304"/>
        <v>1537575307.259999</v>
      </c>
      <c r="AJ894" s="182">
        <f t="shared" si="304"/>
        <v>88649630.967299968</v>
      </c>
    </row>
    <row r="895" spans="1:36" s="179" customFormat="1" x14ac:dyDescent="0.25">
      <c r="F895" s="119"/>
      <c r="G895" s="119"/>
      <c r="H895" s="186"/>
      <c r="J895" s="187"/>
      <c r="K895" s="187"/>
      <c r="L895" s="187"/>
      <c r="M895" s="187"/>
      <c r="N895" s="187"/>
      <c r="O895" s="187"/>
      <c r="P895" s="187"/>
      <c r="Q895" s="187"/>
      <c r="R895" s="182"/>
      <c r="S895" s="182"/>
      <c r="T895" s="182"/>
      <c r="U895" s="182"/>
      <c r="V895" s="188"/>
      <c r="W895" s="188"/>
      <c r="X895" s="182"/>
      <c r="Y895" s="182"/>
      <c r="Z895" s="182"/>
      <c r="AA895" s="182"/>
      <c r="AB895" s="182"/>
      <c r="AC895" s="182"/>
      <c r="AD895" s="182"/>
      <c r="AE895" s="182"/>
      <c r="AH895" s="43"/>
    </row>
    <row r="896" spans="1:36" s="179" customFormat="1" x14ac:dyDescent="0.25">
      <c r="F896" s="119"/>
      <c r="G896" s="119"/>
      <c r="H896" s="186"/>
      <c r="J896" s="187"/>
      <c r="K896" s="187"/>
      <c r="L896" s="187"/>
      <c r="M896" s="187"/>
      <c r="N896" s="187"/>
      <c r="O896" s="187"/>
      <c r="P896" s="187"/>
      <c r="Q896" s="187"/>
      <c r="R896" s="182"/>
      <c r="S896" s="182"/>
      <c r="T896" s="182"/>
      <c r="U896" s="182"/>
      <c r="V896" s="188"/>
      <c r="W896" s="188"/>
      <c r="X896" s="182"/>
      <c r="Y896" s="182"/>
      <c r="Z896" s="182"/>
      <c r="AA896" s="182"/>
      <c r="AB896" s="182"/>
      <c r="AC896" s="182"/>
      <c r="AD896" s="182"/>
      <c r="AE896" s="182"/>
      <c r="AH896" s="43"/>
    </row>
    <row r="897" spans="6:34" s="179" customFormat="1" x14ac:dyDescent="0.25">
      <c r="F897" s="119"/>
      <c r="G897" s="119"/>
      <c r="H897" s="186"/>
      <c r="J897" s="187"/>
      <c r="K897" s="187"/>
      <c r="L897" s="187"/>
      <c r="M897" s="187"/>
      <c r="N897" s="187"/>
      <c r="O897" s="187"/>
      <c r="P897" s="187"/>
      <c r="Q897" s="187"/>
      <c r="R897" s="182"/>
      <c r="S897" s="182"/>
      <c r="T897" s="182"/>
      <c r="U897" s="182"/>
      <c r="V897" s="188"/>
      <c r="W897" s="188"/>
      <c r="X897" s="182"/>
      <c r="Y897" s="182"/>
      <c r="Z897" s="3" t="s">
        <v>3313</v>
      </c>
      <c r="AA897" s="4">
        <v>4.9481000000000002</v>
      </c>
      <c r="AB897" s="182"/>
      <c r="AC897" s="182"/>
      <c r="AD897" s="182">
        <f>AD894/AA897</f>
        <v>853087238.05559576</v>
      </c>
      <c r="AE897" s="182"/>
      <c r="AH897" s="43"/>
    </row>
    <row r="898" spans="6:34" s="179" customFormat="1" x14ac:dyDescent="0.25">
      <c r="F898" s="119"/>
      <c r="G898" s="119"/>
      <c r="H898" s="186"/>
      <c r="J898" s="187"/>
      <c r="K898" s="187"/>
      <c r="L898" s="187"/>
      <c r="M898" s="187"/>
      <c r="N898" s="187"/>
      <c r="O898" s="187"/>
      <c r="P898" s="187"/>
      <c r="Q898" s="187"/>
      <c r="R898" s="182"/>
      <c r="S898" s="182"/>
      <c r="T898" s="182"/>
      <c r="U898" s="182"/>
      <c r="V898" s="188"/>
      <c r="W898" s="188"/>
      <c r="X898" s="182"/>
      <c r="Y898" s="182"/>
      <c r="Z898" s="182"/>
      <c r="AA898" s="182"/>
      <c r="AB898" s="182"/>
      <c r="AC898" s="182"/>
      <c r="AD898" s="182"/>
      <c r="AE898" s="182"/>
      <c r="AH898" s="43"/>
    </row>
    <row r="899" spans="6:34" s="179" customFormat="1" x14ac:dyDescent="0.25">
      <c r="F899" s="119"/>
      <c r="G899" s="119"/>
      <c r="H899" s="186"/>
      <c r="J899" s="187"/>
      <c r="K899" s="187"/>
      <c r="L899" s="187"/>
      <c r="M899" s="187"/>
      <c r="N899" s="187"/>
      <c r="O899" s="187"/>
      <c r="P899" s="187"/>
      <c r="Q899" s="187"/>
      <c r="R899" s="182"/>
      <c r="S899" s="182"/>
      <c r="T899" s="182"/>
      <c r="U899" s="182"/>
      <c r="V899" s="188"/>
      <c r="W899" s="188"/>
      <c r="X899" s="182"/>
      <c r="Y899" s="182"/>
      <c r="Z899" s="182"/>
      <c r="AA899" s="182"/>
      <c r="AB899" s="182"/>
      <c r="AC899" s="182"/>
      <c r="AD899" s="182"/>
      <c r="AE899" s="182"/>
      <c r="AH899" s="43"/>
    </row>
    <row r="900" spans="6:34" s="179" customFormat="1" x14ac:dyDescent="0.25">
      <c r="F900" s="119"/>
      <c r="G900" s="119"/>
      <c r="H900" s="186"/>
      <c r="J900" s="187"/>
      <c r="K900" s="187"/>
      <c r="L900" s="187"/>
      <c r="M900" s="187"/>
      <c r="N900" s="187"/>
      <c r="O900" s="187"/>
      <c r="P900" s="187"/>
      <c r="Q900" s="187"/>
      <c r="R900" s="182"/>
      <c r="S900" s="182"/>
      <c r="T900" s="182"/>
      <c r="U900" s="182"/>
      <c r="V900" s="188"/>
      <c r="W900" s="188"/>
      <c r="X900" s="182"/>
      <c r="Y900" s="182"/>
      <c r="Z900" s="182"/>
      <c r="AA900" s="182"/>
      <c r="AB900" s="182"/>
      <c r="AC900" s="182"/>
      <c r="AD900" s="182"/>
      <c r="AE900" s="182"/>
      <c r="AH900" s="43"/>
    </row>
    <row r="901" spans="6:34" s="179" customFormat="1" x14ac:dyDescent="0.25">
      <c r="F901" s="119"/>
      <c r="G901" s="119"/>
      <c r="H901" s="186"/>
      <c r="J901" s="187"/>
      <c r="K901" s="187"/>
      <c r="L901" s="187"/>
      <c r="M901" s="187"/>
      <c r="N901" s="187"/>
      <c r="O901" s="187"/>
      <c r="P901" s="187"/>
      <c r="Q901" s="187"/>
      <c r="R901" s="182"/>
      <c r="S901" s="182"/>
      <c r="T901" s="182"/>
      <c r="U901" s="182"/>
      <c r="V901" s="188"/>
      <c r="W901" s="188"/>
      <c r="X901" s="182"/>
      <c r="Y901" s="182"/>
      <c r="Z901" s="182"/>
      <c r="AA901" s="182"/>
      <c r="AB901" s="182"/>
      <c r="AC901" s="182"/>
      <c r="AD901" s="182"/>
      <c r="AE901" s="182"/>
      <c r="AH901" s="43"/>
    </row>
    <row r="902" spans="6:34" s="179" customFormat="1" x14ac:dyDescent="0.25">
      <c r="F902" s="119"/>
      <c r="G902" s="119"/>
      <c r="H902" s="186"/>
      <c r="J902" s="187"/>
      <c r="K902" s="187"/>
      <c r="L902" s="187"/>
      <c r="M902" s="187"/>
      <c r="N902" s="187"/>
      <c r="O902" s="187"/>
      <c r="P902" s="187"/>
      <c r="Q902" s="187"/>
      <c r="R902" s="182"/>
      <c r="S902" s="182"/>
      <c r="T902" s="182"/>
      <c r="U902" s="182"/>
      <c r="V902" s="188"/>
      <c r="W902" s="188"/>
      <c r="X902" s="182"/>
      <c r="Y902" s="182"/>
      <c r="Z902" s="182"/>
      <c r="AA902" s="182"/>
      <c r="AB902" s="182"/>
      <c r="AC902" s="182"/>
      <c r="AD902" s="182"/>
      <c r="AE902" s="182"/>
      <c r="AH902" s="43"/>
    </row>
    <row r="903" spans="6:34" s="179" customFormat="1" x14ac:dyDescent="0.25">
      <c r="F903" s="119"/>
      <c r="G903" s="119"/>
      <c r="H903" s="186"/>
      <c r="J903" s="187"/>
      <c r="K903" s="187"/>
      <c r="L903" s="187"/>
      <c r="M903" s="187"/>
      <c r="N903" s="187"/>
      <c r="O903" s="187"/>
      <c r="P903" s="187"/>
      <c r="Q903" s="187"/>
      <c r="R903" s="182"/>
      <c r="S903" s="182"/>
      <c r="T903" s="182"/>
      <c r="U903" s="182"/>
      <c r="V903" s="188"/>
      <c r="W903" s="188"/>
      <c r="X903" s="182"/>
      <c r="Y903" s="182"/>
      <c r="Z903" s="182"/>
      <c r="AA903" s="182"/>
      <c r="AB903" s="182"/>
      <c r="AC903" s="182"/>
      <c r="AD903" s="182"/>
      <c r="AE903" s="182"/>
      <c r="AH903" s="43"/>
    </row>
    <row r="904" spans="6:34" s="179" customFormat="1" x14ac:dyDescent="0.25">
      <c r="F904" s="119"/>
      <c r="G904" s="119"/>
      <c r="H904" s="186"/>
      <c r="J904" s="187"/>
      <c r="K904" s="187"/>
      <c r="L904" s="187"/>
      <c r="M904" s="187"/>
      <c r="N904" s="187"/>
      <c r="O904" s="187"/>
      <c r="P904" s="187"/>
      <c r="Q904" s="187"/>
      <c r="R904" s="182"/>
      <c r="S904" s="182"/>
      <c r="T904" s="182"/>
      <c r="U904" s="182"/>
      <c r="V904" s="188"/>
      <c r="W904" s="188"/>
      <c r="X904" s="182"/>
      <c r="Y904" s="182"/>
      <c r="Z904" s="182"/>
      <c r="AA904" s="182"/>
      <c r="AB904" s="182"/>
      <c r="AC904" s="182"/>
      <c r="AD904" s="182"/>
      <c r="AE904" s="182"/>
      <c r="AH904" s="43"/>
    </row>
    <row r="905" spans="6:34" s="179" customFormat="1" x14ac:dyDescent="0.25">
      <c r="F905" s="119"/>
      <c r="G905" s="119"/>
      <c r="H905" s="186"/>
      <c r="J905" s="187"/>
      <c r="K905" s="187"/>
      <c r="L905" s="187"/>
      <c r="M905" s="187"/>
      <c r="N905" s="187"/>
      <c r="O905" s="187"/>
      <c r="P905" s="187"/>
      <c r="Q905" s="187"/>
      <c r="R905" s="182"/>
      <c r="S905" s="182"/>
      <c r="T905" s="182"/>
      <c r="U905" s="182"/>
      <c r="V905" s="188"/>
      <c r="W905" s="188"/>
      <c r="X905" s="182"/>
      <c r="Y905" s="182"/>
      <c r="Z905" s="182"/>
      <c r="AA905" s="182"/>
      <c r="AB905" s="182"/>
      <c r="AC905" s="182"/>
      <c r="AD905" s="182"/>
      <c r="AE905" s="182"/>
      <c r="AH905" s="43"/>
    </row>
    <row r="906" spans="6:34" s="179" customFormat="1" x14ac:dyDescent="0.25">
      <c r="F906" s="119"/>
      <c r="G906" s="119"/>
      <c r="H906" s="186"/>
      <c r="J906" s="187"/>
      <c r="K906" s="187"/>
      <c r="L906" s="187"/>
      <c r="M906" s="187"/>
      <c r="N906" s="187"/>
      <c r="O906" s="187"/>
      <c r="P906" s="187"/>
      <c r="Q906" s="187"/>
      <c r="R906" s="182"/>
      <c r="S906" s="182"/>
      <c r="T906" s="182"/>
      <c r="U906" s="182"/>
      <c r="V906" s="188"/>
      <c r="W906" s="188"/>
      <c r="X906" s="182"/>
      <c r="Y906" s="182"/>
      <c r="Z906" s="182"/>
      <c r="AA906" s="182"/>
      <c r="AB906" s="182"/>
      <c r="AC906" s="182"/>
      <c r="AD906" s="182"/>
      <c r="AE906" s="182"/>
      <c r="AH906" s="43"/>
    </row>
    <row r="907" spans="6:34" s="179" customFormat="1" x14ac:dyDescent="0.25">
      <c r="F907" s="119"/>
      <c r="G907" s="119"/>
      <c r="H907" s="186"/>
      <c r="J907" s="187"/>
      <c r="K907" s="187"/>
      <c r="L907" s="187"/>
      <c r="M907" s="187"/>
      <c r="N907" s="187"/>
      <c r="O907" s="187"/>
      <c r="P907" s="187"/>
      <c r="Q907" s="187"/>
      <c r="R907" s="182"/>
      <c r="S907" s="182"/>
      <c r="T907" s="182"/>
      <c r="U907" s="182"/>
      <c r="V907" s="188"/>
      <c r="W907" s="188"/>
      <c r="X907" s="182"/>
      <c r="Y907" s="182"/>
      <c r="Z907" s="182"/>
      <c r="AA907" s="182"/>
      <c r="AB907" s="182"/>
      <c r="AC907" s="182"/>
      <c r="AD907" s="182"/>
      <c r="AE907" s="182"/>
      <c r="AH907" s="43"/>
    </row>
    <row r="908" spans="6:34" s="179" customFormat="1" x14ac:dyDescent="0.25">
      <c r="F908" s="119"/>
      <c r="G908" s="119"/>
      <c r="H908" s="186"/>
      <c r="J908" s="187"/>
      <c r="K908" s="187"/>
      <c r="L908" s="187"/>
      <c r="M908" s="187"/>
      <c r="N908" s="187"/>
      <c r="O908" s="187"/>
      <c r="P908" s="187"/>
      <c r="Q908" s="187"/>
      <c r="R908" s="182"/>
      <c r="S908" s="182"/>
      <c r="T908" s="182"/>
      <c r="U908" s="182"/>
      <c r="V908" s="188"/>
      <c r="W908" s="188"/>
      <c r="X908" s="182"/>
      <c r="Y908" s="182"/>
      <c r="Z908" s="182"/>
      <c r="AA908" s="182"/>
      <c r="AB908" s="182"/>
      <c r="AC908" s="182"/>
      <c r="AD908" s="182"/>
      <c r="AE908" s="182"/>
      <c r="AH908" s="43"/>
    </row>
    <row r="909" spans="6:34" s="179" customFormat="1" x14ac:dyDescent="0.25">
      <c r="F909" s="119"/>
      <c r="G909" s="119"/>
      <c r="H909" s="186"/>
      <c r="J909" s="187"/>
      <c r="K909" s="187"/>
      <c r="L909" s="187"/>
      <c r="M909" s="187"/>
      <c r="N909" s="187"/>
      <c r="O909" s="187"/>
      <c r="P909" s="187"/>
      <c r="Q909" s="187"/>
      <c r="R909" s="182"/>
      <c r="S909" s="182"/>
      <c r="T909" s="182"/>
      <c r="U909" s="182"/>
      <c r="V909" s="188"/>
      <c r="W909" s="188"/>
      <c r="X909" s="182"/>
      <c r="Y909" s="182"/>
      <c r="Z909" s="182"/>
      <c r="AA909" s="182"/>
      <c r="AB909" s="182"/>
      <c r="AC909" s="182"/>
      <c r="AD909" s="182"/>
      <c r="AE909" s="182"/>
      <c r="AH909" s="43"/>
    </row>
    <row r="910" spans="6:34" s="179" customFormat="1" x14ac:dyDescent="0.25">
      <c r="F910" s="119"/>
      <c r="G910" s="119"/>
      <c r="H910" s="186"/>
      <c r="J910" s="187"/>
      <c r="K910" s="187"/>
      <c r="L910" s="187"/>
      <c r="M910" s="187"/>
      <c r="N910" s="187"/>
      <c r="O910" s="187"/>
      <c r="P910" s="187"/>
      <c r="Q910" s="187"/>
      <c r="V910" s="188"/>
      <c r="W910" s="188"/>
      <c r="AH910" s="43"/>
    </row>
    <row r="911" spans="6:34" s="179" customFormat="1" x14ac:dyDescent="0.25">
      <c r="F911" s="119"/>
      <c r="G911" s="119"/>
      <c r="H911" s="186"/>
      <c r="J911" s="187"/>
      <c r="K911" s="187"/>
      <c r="L911" s="187"/>
      <c r="M911" s="187"/>
      <c r="N911" s="187"/>
      <c r="O911" s="187"/>
      <c r="P911" s="187"/>
      <c r="Q911" s="187"/>
      <c r="V911" s="188"/>
      <c r="W911" s="188"/>
      <c r="AH911" s="43"/>
    </row>
    <row r="912" spans="6:34" s="179" customFormat="1" x14ac:dyDescent="0.25">
      <c r="F912" s="119"/>
      <c r="G912" s="119"/>
      <c r="H912" s="186"/>
      <c r="J912" s="187"/>
      <c r="K912" s="187"/>
      <c r="L912" s="187"/>
      <c r="M912" s="187"/>
      <c r="N912" s="187"/>
      <c r="O912" s="187"/>
      <c r="P912" s="187"/>
      <c r="Q912" s="187"/>
      <c r="V912" s="188"/>
      <c r="W912" s="188"/>
      <c r="AH912" s="43"/>
    </row>
    <row r="913" spans="6:34" s="179" customFormat="1" x14ac:dyDescent="0.25">
      <c r="F913" s="119"/>
      <c r="G913" s="119"/>
      <c r="H913" s="186"/>
      <c r="J913" s="187"/>
      <c r="K913" s="187"/>
      <c r="L913" s="187"/>
      <c r="M913" s="187"/>
      <c r="N913" s="187"/>
      <c r="O913" s="187"/>
      <c r="P913" s="187"/>
      <c r="Q913" s="187"/>
      <c r="V913" s="188"/>
      <c r="W913" s="188"/>
      <c r="AH913" s="43"/>
    </row>
    <row r="914" spans="6:34" s="179" customFormat="1" x14ac:dyDescent="0.25">
      <c r="F914" s="119"/>
      <c r="G914" s="119"/>
      <c r="H914" s="186"/>
      <c r="J914" s="187"/>
      <c r="K914" s="187"/>
      <c r="L914" s="187"/>
      <c r="M914" s="187"/>
      <c r="N914" s="187"/>
      <c r="O914" s="187"/>
      <c r="P914" s="187"/>
      <c r="Q914" s="187"/>
      <c r="V914" s="188"/>
      <c r="W914" s="188"/>
      <c r="AH914" s="43"/>
    </row>
    <row r="915" spans="6:34" s="179" customFormat="1" x14ac:dyDescent="0.25">
      <c r="F915" s="119"/>
      <c r="G915" s="119"/>
      <c r="H915" s="186"/>
      <c r="J915" s="187"/>
      <c r="K915" s="187"/>
      <c r="L915" s="187"/>
      <c r="M915" s="187"/>
      <c r="N915" s="187"/>
      <c r="O915" s="187"/>
      <c r="P915" s="187"/>
      <c r="Q915" s="187"/>
      <c r="V915" s="188"/>
      <c r="W915" s="188"/>
      <c r="AH915" s="43"/>
    </row>
    <row r="916" spans="6:34" s="179" customFormat="1" x14ac:dyDescent="0.25">
      <c r="F916" s="119"/>
      <c r="G916" s="119"/>
      <c r="H916" s="186"/>
      <c r="J916" s="187"/>
      <c r="K916" s="187"/>
      <c r="L916" s="187"/>
      <c r="M916" s="187"/>
      <c r="N916" s="187"/>
      <c r="O916" s="187"/>
      <c r="P916" s="187"/>
      <c r="Q916" s="187"/>
      <c r="V916" s="188"/>
      <c r="W916" s="188"/>
      <c r="AH916" s="43"/>
    </row>
    <row r="917" spans="6:34" s="179" customFormat="1" x14ac:dyDescent="0.25">
      <c r="F917" s="119"/>
      <c r="G917" s="119"/>
      <c r="H917" s="186"/>
      <c r="J917" s="187"/>
      <c r="K917" s="187"/>
      <c r="L917" s="187"/>
      <c r="M917" s="187"/>
      <c r="N917" s="187"/>
      <c r="O917" s="187"/>
      <c r="P917" s="187"/>
      <c r="Q917" s="187"/>
      <c r="V917" s="188"/>
      <c r="W917" s="188"/>
      <c r="AH917" s="43"/>
    </row>
    <row r="918" spans="6:34" s="179" customFormat="1" x14ac:dyDescent="0.25">
      <c r="F918" s="119"/>
      <c r="G918" s="119"/>
      <c r="H918" s="186"/>
      <c r="J918" s="187"/>
      <c r="K918" s="187"/>
      <c r="L918" s="187"/>
      <c r="M918" s="187"/>
      <c r="N918" s="187"/>
      <c r="O918" s="187"/>
      <c r="P918" s="187"/>
      <c r="Q918" s="187"/>
      <c r="V918" s="188"/>
      <c r="W918" s="188"/>
      <c r="AH918" s="43"/>
    </row>
    <row r="919" spans="6:34" s="179" customFormat="1" x14ac:dyDescent="0.25">
      <c r="F919" s="119"/>
      <c r="G919" s="119"/>
      <c r="H919" s="186"/>
      <c r="J919" s="187"/>
      <c r="K919" s="187"/>
      <c r="L919" s="187"/>
      <c r="M919" s="187"/>
      <c r="N919" s="187"/>
      <c r="O919" s="187"/>
      <c r="P919" s="187"/>
      <c r="Q919" s="187"/>
      <c r="V919" s="188"/>
      <c r="W919" s="188"/>
      <c r="AH919" s="43"/>
    </row>
    <row r="920" spans="6:34" s="179" customFormat="1" x14ac:dyDescent="0.25">
      <c r="F920" s="119"/>
      <c r="G920" s="119"/>
      <c r="H920" s="186"/>
      <c r="J920" s="187"/>
      <c r="K920" s="187"/>
      <c r="L920" s="187"/>
      <c r="M920" s="187"/>
      <c r="N920" s="187"/>
      <c r="O920" s="187"/>
      <c r="P920" s="187"/>
      <c r="Q920" s="187"/>
      <c r="V920" s="188"/>
      <c r="W920" s="188"/>
      <c r="AH920" s="43"/>
    </row>
    <row r="921" spans="6:34" s="179" customFormat="1" x14ac:dyDescent="0.25">
      <c r="F921" s="119"/>
      <c r="G921" s="119"/>
      <c r="H921" s="186"/>
      <c r="J921" s="187"/>
      <c r="K921" s="187"/>
      <c r="L921" s="187"/>
      <c r="M921" s="187"/>
      <c r="N921" s="187"/>
      <c r="O921" s="187"/>
      <c r="P921" s="187"/>
      <c r="Q921" s="187"/>
      <c r="V921" s="188"/>
      <c r="W921" s="188"/>
      <c r="AH921" s="43"/>
    </row>
    <row r="922" spans="6:34" s="179" customFormat="1" x14ac:dyDescent="0.25">
      <c r="F922" s="119"/>
      <c r="G922" s="119"/>
      <c r="H922" s="186"/>
      <c r="J922" s="187"/>
      <c r="K922" s="187"/>
      <c r="L922" s="187"/>
      <c r="M922" s="187"/>
      <c r="N922" s="187"/>
      <c r="O922" s="187"/>
      <c r="P922" s="187"/>
      <c r="Q922" s="187"/>
      <c r="V922" s="188"/>
      <c r="W922" s="188"/>
      <c r="AH922" s="43"/>
    </row>
    <row r="923" spans="6:34" s="179" customFormat="1" x14ac:dyDescent="0.25">
      <c r="F923" s="119"/>
      <c r="G923" s="119"/>
      <c r="H923" s="186"/>
      <c r="J923" s="187"/>
      <c r="K923" s="187"/>
      <c r="L923" s="187"/>
      <c r="M923" s="187"/>
      <c r="N923" s="187"/>
      <c r="O923" s="187"/>
      <c r="P923" s="187"/>
      <c r="Q923" s="187"/>
      <c r="V923" s="188"/>
      <c r="W923" s="188"/>
      <c r="AH923" s="43"/>
    </row>
    <row r="924" spans="6:34" s="179" customFormat="1" x14ac:dyDescent="0.25">
      <c r="F924" s="119"/>
      <c r="G924" s="119"/>
      <c r="H924" s="186"/>
      <c r="J924" s="187"/>
      <c r="K924" s="187"/>
      <c r="L924" s="187"/>
      <c r="M924" s="187"/>
      <c r="N924" s="187"/>
      <c r="O924" s="187"/>
      <c r="P924" s="187"/>
      <c r="Q924" s="187"/>
      <c r="V924" s="188"/>
      <c r="W924" s="188"/>
      <c r="AH924" s="43"/>
    </row>
    <row r="925" spans="6:34" s="179" customFormat="1" x14ac:dyDescent="0.25">
      <c r="F925" s="119"/>
      <c r="G925" s="119"/>
      <c r="H925" s="186"/>
      <c r="J925" s="187"/>
      <c r="K925" s="187"/>
      <c r="L925" s="187"/>
      <c r="M925" s="187"/>
      <c r="N925" s="187"/>
      <c r="O925" s="187"/>
      <c r="P925" s="187"/>
      <c r="Q925" s="187"/>
      <c r="V925" s="188"/>
      <c r="W925" s="188"/>
      <c r="AH925" s="43"/>
    </row>
    <row r="926" spans="6:34" s="179" customFormat="1" x14ac:dyDescent="0.25">
      <c r="F926" s="119"/>
      <c r="G926" s="119"/>
      <c r="H926" s="186"/>
      <c r="J926" s="187"/>
      <c r="K926" s="187"/>
      <c r="L926" s="187"/>
      <c r="M926" s="187"/>
      <c r="N926" s="187"/>
      <c r="O926" s="187"/>
      <c r="P926" s="187"/>
      <c r="Q926" s="187"/>
      <c r="V926" s="188"/>
      <c r="W926" s="188"/>
      <c r="AH926" s="43"/>
    </row>
    <row r="927" spans="6:34" s="179" customFormat="1" x14ac:dyDescent="0.25">
      <c r="F927" s="119"/>
      <c r="G927" s="119"/>
      <c r="H927" s="186"/>
      <c r="J927" s="187"/>
      <c r="K927" s="187"/>
      <c r="L927" s="187"/>
      <c r="M927" s="187"/>
      <c r="N927" s="187"/>
      <c r="O927" s="187"/>
      <c r="P927" s="187"/>
      <c r="Q927" s="187"/>
      <c r="V927" s="188"/>
      <c r="W927" s="188"/>
      <c r="AH927" s="43"/>
    </row>
    <row r="928" spans="6:34" s="179" customFormat="1" x14ac:dyDescent="0.25">
      <c r="F928" s="119"/>
      <c r="G928" s="119"/>
      <c r="H928" s="186"/>
      <c r="J928" s="187"/>
      <c r="K928" s="187"/>
      <c r="L928" s="187"/>
      <c r="M928" s="187"/>
      <c r="N928" s="187"/>
      <c r="O928" s="187"/>
      <c r="P928" s="187"/>
      <c r="Q928" s="187"/>
      <c r="V928" s="188"/>
      <c r="W928" s="188"/>
      <c r="AH928" s="43"/>
    </row>
    <row r="929" spans="6:34" s="179" customFormat="1" x14ac:dyDescent="0.25">
      <c r="F929" s="119"/>
      <c r="G929" s="119"/>
      <c r="H929" s="186"/>
      <c r="J929" s="187"/>
      <c r="K929" s="187"/>
      <c r="L929" s="187"/>
      <c r="M929" s="187"/>
      <c r="N929" s="187"/>
      <c r="O929" s="187"/>
      <c r="P929" s="187"/>
      <c r="Q929" s="187"/>
      <c r="V929" s="188"/>
      <c r="W929" s="188"/>
      <c r="AH929" s="43"/>
    </row>
    <row r="930" spans="6:34" s="179" customFormat="1" x14ac:dyDescent="0.25">
      <c r="F930" s="119"/>
      <c r="G930" s="119"/>
      <c r="H930" s="186"/>
      <c r="J930" s="187"/>
      <c r="K930" s="187"/>
      <c r="L930" s="187"/>
      <c r="M930" s="187"/>
      <c r="N930" s="187"/>
      <c r="O930" s="187"/>
      <c r="P930" s="187"/>
      <c r="Q930" s="187"/>
      <c r="V930" s="188"/>
      <c r="W930" s="188"/>
      <c r="AH930" s="43"/>
    </row>
    <row r="931" spans="6:34" s="179" customFormat="1" x14ac:dyDescent="0.25">
      <c r="F931" s="119"/>
      <c r="G931" s="119"/>
      <c r="H931" s="186"/>
      <c r="J931" s="187"/>
      <c r="K931" s="187"/>
      <c r="L931" s="187"/>
      <c r="M931" s="187"/>
      <c r="N931" s="187"/>
      <c r="O931" s="187"/>
      <c r="P931" s="187"/>
      <c r="Q931" s="187"/>
      <c r="V931" s="188"/>
      <c r="W931" s="188"/>
      <c r="AH931" s="43"/>
    </row>
    <row r="932" spans="6:34" s="179" customFormat="1" x14ac:dyDescent="0.25">
      <c r="F932" s="119"/>
      <c r="G932" s="119"/>
      <c r="H932" s="186"/>
      <c r="J932" s="187"/>
      <c r="K932" s="187"/>
      <c r="L932" s="187"/>
      <c r="M932" s="187"/>
      <c r="N932" s="187"/>
      <c r="O932" s="187"/>
      <c r="P932" s="187"/>
      <c r="Q932" s="187"/>
      <c r="V932" s="188"/>
      <c r="W932" s="188"/>
      <c r="AH932" s="43"/>
    </row>
    <row r="933" spans="6:34" s="179" customFormat="1" x14ac:dyDescent="0.25">
      <c r="F933" s="119"/>
      <c r="G933" s="119"/>
      <c r="H933" s="186"/>
      <c r="J933" s="187"/>
      <c r="K933" s="187"/>
      <c r="L933" s="187"/>
      <c r="M933" s="187"/>
      <c r="N933" s="187"/>
      <c r="O933" s="187"/>
      <c r="P933" s="187"/>
      <c r="Q933" s="187"/>
      <c r="V933" s="188"/>
      <c r="W933" s="188"/>
      <c r="AH933" s="43"/>
    </row>
    <row r="934" spans="6:34" s="179" customFormat="1" x14ac:dyDescent="0.25">
      <c r="F934" s="119"/>
      <c r="G934" s="119"/>
      <c r="H934" s="186"/>
      <c r="J934" s="187"/>
      <c r="K934" s="187"/>
      <c r="L934" s="187"/>
      <c r="M934" s="187"/>
      <c r="N934" s="187"/>
      <c r="O934" s="187"/>
      <c r="P934" s="187"/>
      <c r="Q934" s="187"/>
      <c r="V934" s="188"/>
      <c r="W934" s="188"/>
      <c r="AH934" s="43"/>
    </row>
    <row r="935" spans="6:34" s="179" customFormat="1" x14ac:dyDescent="0.25">
      <c r="F935" s="119"/>
      <c r="G935" s="119"/>
      <c r="H935" s="186"/>
      <c r="J935" s="187"/>
      <c r="K935" s="187"/>
      <c r="L935" s="187"/>
      <c r="M935" s="187"/>
      <c r="N935" s="187"/>
      <c r="O935" s="187"/>
      <c r="P935" s="187"/>
      <c r="Q935" s="187"/>
      <c r="V935" s="188"/>
      <c r="W935" s="188"/>
      <c r="AH935" s="43"/>
    </row>
    <row r="936" spans="6:34" s="179" customFormat="1" x14ac:dyDescent="0.25">
      <c r="F936" s="119"/>
      <c r="G936" s="119"/>
      <c r="H936" s="186"/>
      <c r="J936" s="187"/>
      <c r="K936" s="187"/>
      <c r="L936" s="187"/>
      <c r="M936" s="187"/>
      <c r="N936" s="187"/>
      <c r="O936" s="187"/>
      <c r="P936" s="187"/>
      <c r="Q936" s="187"/>
      <c r="V936" s="188"/>
      <c r="W936" s="188"/>
      <c r="AH936" s="43"/>
    </row>
    <row r="937" spans="6:34" s="179" customFormat="1" x14ac:dyDescent="0.25">
      <c r="F937" s="119"/>
      <c r="G937" s="119"/>
      <c r="H937" s="186"/>
      <c r="J937" s="187"/>
      <c r="K937" s="187"/>
      <c r="L937" s="187"/>
      <c r="M937" s="187"/>
      <c r="N937" s="187"/>
      <c r="O937" s="187"/>
      <c r="P937" s="187"/>
      <c r="Q937" s="187"/>
      <c r="V937" s="188"/>
      <c r="W937" s="188"/>
      <c r="AH937" s="43"/>
    </row>
    <row r="938" spans="6:34" s="179" customFormat="1" x14ac:dyDescent="0.25">
      <c r="F938" s="119"/>
      <c r="G938" s="119"/>
      <c r="H938" s="186"/>
      <c r="J938" s="187"/>
      <c r="K938" s="187"/>
      <c r="L938" s="187"/>
      <c r="M938" s="187"/>
      <c r="N938" s="187"/>
      <c r="O938" s="187"/>
      <c r="P938" s="187"/>
      <c r="Q938" s="187"/>
      <c r="V938" s="188"/>
      <c r="W938" s="188"/>
      <c r="AH938" s="43"/>
    </row>
    <row r="939" spans="6:34" s="179" customFormat="1" x14ac:dyDescent="0.25">
      <c r="F939" s="119"/>
      <c r="G939" s="119"/>
      <c r="H939" s="186"/>
      <c r="J939" s="187"/>
      <c r="K939" s="187"/>
      <c r="L939" s="187"/>
      <c r="M939" s="187"/>
      <c r="N939" s="187"/>
      <c r="O939" s="187"/>
      <c r="P939" s="187"/>
      <c r="Q939" s="187"/>
      <c r="V939" s="188"/>
      <c r="W939" s="188"/>
      <c r="AH939" s="43"/>
    </row>
    <row r="940" spans="6:34" s="179" customFormat="1" x14ac:dyDescent="0.25">
      <c r="F940" s="119"/>
      <c r="G940" s="119"/>
      <c r="H940" s="186"/>
      <c r="J940" s="187"/>
      <c r="K940" s="187"/>
      <c r="L940" s="187"/>
      <c r="M940" s="187"/>
      <c r="N940" s="187"/>
      <c r="O940" s="187"/>
      <c r="P940" s="187"/>
      <c r="Q940" s="187"/>
      <c r="V940" s="188"/>
      <c r="W940" s="188"/>
      <c r="AH940" s="43"/>
    </row>
    <row r="941" spans="6:34" s="179" customFormat="1" x14ac:dyDescent="0.25">
      <c r="F941" s="119"/>
      <c r="G941" s="119"/>
      <c r="H941" s="186"/>
      <c r="J941" s="187"/>
      <c r="K941" s="187"/>
      <c r="L941" s="187"/>
      <c r="M941" s="187"/>
      <c r="N941" s="187"/>
      <c r="O941" s="187"/>
      <c r="P941" s="187"/>
      <c r="Q941" s="187"/>
      <c r="V941" s="188"/>
      <c r="W941" s="188"/>
      <c r="AH941" s="43"/>
    </row>
    <row r="942" spans="6:34" s="179" customFormat="1" x14ac:dyDescent="0.25">
      <c r="F942" s="119"/>
      <c r="G942" s="119"/>
      <c r="H942" s="186"/>
      <c r="J942" s="187"/>
      <c r="K942" s="187"/>
      <c r="L942" s="187"/>
      <c r="M942" s="187"/>
      <c r="N942" s="187"/>
      <c r="O942" s="187"/>
      <c r="P942" s="187"/>
      <c r="Q942" s="187"/>
      <c r="V942" s="188"/>
      <c r="W942" s="188"/>
      <c r="AH942" s="43"/>
    </row>
    <row r="943" spans="6:34" s="179" customFormat="1" x14ac:dyDescent="0.25">
      <c r="F943" s="119"/>
      <c r="G943" s="119"/>
      <c r="H943" s="186"/>
      <c r="J943" s="187"/>
      <c r="K943" s="187"/>
      <c r="L943" s="187"/>
      <c r="M943" s="187"/>
      <c r="N943" s="187"/>
      <c r="O943" s="187"/>
      <c r="P943" s="187"/>
      <c r="Q943" s="187"/>
      <c r="V943" s="188"/>
      <c r="W943" s="188"/>
      <c r="AH943" s="43"/>
    </row>
    <row r="944" spans="6:34" s="179" customFormat="1" x14ac:dyDescent="0.25">
      <c r="F944" s="119"/>
      <c r="G944" s="119"/>
      <c r="H944" s="186"/>
      <c r="J944" s="187"/>
      <c r="K944" s="187"/>
      <c r="L944" s="187"/>
      <c r="M944" s="187"/>
      <c r="N944" s="187"/>
      <c r="O944" s="187"/>
      <c r="P944" s="187"/>
      <c r="Q944" s="187"/>
      <c r="V944" s="188"/>
      <c r="W944" s="188"/>
      <c r="AH944" s="43"/>
    </row>
    <row r="945" spans="6:34" s="179" customFormat="1" x14ac:dyDescent="0.25">
      <c r="F945" s="119"/>
      <c r="G945" s="119"/>
      <c r="H945" s="186"/>
      <c r="J945" s="187"/>
      <c r="K945" s="187"/>
      <c r="L945" s="187"/>
      <c r="M945" s="187"/>
      <c r="N945" s="187"/>
      <c r="O945" s="187"/>
      <c r="P945" s="187"/>
      <c r="Q945" s="187"/>
      <c r="V945" s="188"/>
      <c r="W945" s="188"/>
      <c r="AH945" s="43"/>
    </row>
    <row r="946" spans="6:34" s="179" customFormat="1" x14ac:dyDescent="0.25">
      <c r="F946" s="119"/>
      <c r="G946" s="119"/>
      <c r="H946" s="186"/>
      <c r="J946" s="187"/>
      <c r="K946" s="187"/>
      <c r="L946" s="187"/>
      <c r="M946" s="187"/>
      <c r="N946" s="187"/>
      <c r="O946" s="187"/>
      <c r="P946" s="187"/>
      <c r="Q946" s="187"/>
      <c r="V946" s="188"/>
      <c r="W946" s="188"/>
      <c r="AH946" s="43"/>
    </row>
    <row r="947" spans="6:34" s="179" customFormat="1" x14ac:dyDescent="0.25">
      <c r="F947" s="119"/>
      <c r="G947" s="119"/>
      <c r="H947" s="186"/>
      <c r="J947" s="187"/>
      <c r="K947" s="187"/>
      <c r="L947" s="187"/>
      <c r="M947" s="187"/>
      <c r="N947" s="187"/>
      <c r="O947" s="187"/>
      <c r="P947" s="187"/>
      <c r="Q947" s="187"/>
      <c r="V947" s="188"/>
      <c r="W947" s="188"/>
      <c r="AH947" s="43"/>
    </row>
    <row r="948" spans="6:34" s="179" customFormat="1" x14ac:dyDescent="0.25">
      <c r="F948" s="119"/>
      <c r="G948" s="119"/>
      <c r="H948" s="186"/>
      <c r="J948" s="187"/>
      <c r="K948" s="187"/>
      <c r="L948" s="187"/>
      <c r="M948" s="187"/>
      <c r="N948" s="187"/>
      <c r="O948" s="187"/>
      <c r="P948" s="187"/>
      <c r="Q948" s="187"/>
      <c r="V948" s="188"/>
      <c r="W948" s="188"/>
      <c r="AH948" s="43"/>
    </row>
    <row r="949" spans="6:34" s="179" customFormat="1" x14ac:dyDescent="0.25">
      <c r="F949" s="119"/>
      <c r="G949" s="119"/>
      <c r="H949" s="186"/>
      <c r="J949" s="187"/>
      <c r="K949" s="187"/>
      <c r="L949" s="187"/>
      <c r="M949" s="187"/>
      <c r="N949" s="187"/>
      <c r="O949" s="187"/>
      <c r="P949" s="187"/>
      <c r="Q949" s="187"/>
      <c r="V949" s="188"/>
      <c r="W949" s="188"/>
      <c r="AH949" s="43"/>
    </row>
    <row r="950" spans="6:34" s="179" customFormat="1" x14ac:dyDescent="0.25">
      <c r="F950" s="119"/>
      <c r="G950" s="119"/>
      <c r="H950" s="186"/>
      <c r="J950" s="187"/>
      <c r="K950" s="187"/>
      <c r="L950" s="187"/>
      <c r="M950" s="187"/>
      <c r="N950" s="187"/>
      <c r="O950" s="187"/>
      <c r="P950" s="187"/>
      <c r="Q950" s="187"/>
      <c r="V950" s="188"/>
      <c r="W950" s="188"/>
      <c r="AH950" s="43"/>
    </row>
    <row r="951" spans="6:34" s="179" customFormat="1" x14ac:dyDescent="0.25">
      <c r="F951" s="119"/>
      <c r="G951" s="119"/>
      <c r="H951" s="186"/>
      <c r="J951" s="187"/>
      <c r="K951" s="187"/>
      <c r="L951" s="187"/>
      <c r="M951" s="187"/>
      <c r="N951" s="187"/>
      <c r="O951" s="187"/>
      <c r="P951" s="187"/>
      <c r="Q951" s="187"/>
      <c r="V951" s="188"/>
      <c r="W951" s="188"/>
      <c r="AH951" s="43"/>
    </row>
    <row r="952" spans="6:34" s="179" customFormat="1" x14ac:dyDescent="0.25">
      <c r="F952" s="119"/>
      <c r="G952" s="119"/>
      <c r="H952" s="186"/>
      <c r="J952" s="187"/>
      <c r="K952" s="187"/>
      <c r="L952" s="187"/>
      <c r="M952" s="187"/>
      <c r="N952" s="187"/>
      <c r="O952" s="187"/>
      <c r="P952" s="187"/>
      <c r="Q952" s="187"/>
      <c r="V952" s="188"/>
      <c r="W952" s="188"/>
      <c r="AH952" s="43"/>
    </row>
    <row r="953" spans="6:34" s="179" customFormat="1" x14ac:dyDescent="0.25">
      <c r="F953" s="119"/>
      <c r="G953" s="119"/>
      <c r="H953" s="186"/>
      <c r="J953" s="187"/>
      <c r="K953" s="187"/>
      <c r="L953" s="187"/>
      <c r="M953" s="187"/>
      <c r="N953" s="187"/>
      <c r="O953" s="187"/>
      <c r="P953" s="187"/>
      <c r="Q953" s="187"/>
      <c r="V953" s="188"/>
      <c r="W953" s="188"/>
      <c r="AH953" s="43"/>
    </row>
    <row r="954" spans="6:34" s="179" customFormat="1" x14ac:dyDescent="0.25">
      <c r="F954" s="119"/>
      <c r="G954" s="119"/>
      <c r="H954" s="186"/>
      <c r="J954" s="187"/>
      <c r="K954" s="187"/>
      <c r="L954" s="187"/>
      <c r="M954" s="187"/>
      <c r="N954" s="187"/>
      <c r="O954" s="187"/>
      <c r="P954" s="187"/>
      <c r="Q954" s="187"/>
      <c r="V954" s="188"/>
      <c r="W954" s="188"/>
      <c r="AH954" s="43"/>
    </row>
    <row r="955" spans="6:34" s="179" customFormat="1" x14ac:dyDescent="0.25">
      <c r="F955" s="119"/>
      <c r="G955" s="119"/>
      <c r="H955" s="186"/>
      <c r="J955" s="187"/>
      <c r="K955" s="187"/>
      <c r="L955" s="187"/>
      <c r="M955" s="187"/>
      <c r="N955" s="187"/>
      <c r="O955" s="187"/>
      <c r="P955" s="187"/>
      <c r="Q955" s="187"/>
      <c r="V955" s="188"/>
      <c r="W955" s="188"/>
      <c r="AH955" s="43"/>
    </row>
    <row r="956" spans="6:34" s="179" customFormat="1" x14ac:dyDescent="0.25">
      <c r="F956" s="119"/>
      <c r="G956" s="119"/>
      <c r="H956" s="186"/>
      <c r="J956" s="187"/>
      <c r="K956" s="187"/>
      <c r="L956" s="187"/>
      <c r="M956" s="187"/>
      <c r="N956" s="187"/>
      <c r="O956" s="187"/>
      <c r="P956" s="187"/>
      <c r="Q956" s="187"/>
      <c r="V956" s="188"/>
      <c r="W956" s="188"/>
      <c r="AH956" s="43"/>
    </row>
    <row r="957" spans="6:34" s="179" customFormat="1" x14ac:dyDescent="0.25">
      <c r="F957" s="119"/>
      <c r="G957" s="119"/>
      <c r="H957" s="186"/>
      <c r="J957" s="187"/>
      <c r="K957" s="187"/>
      <c r="L957" s="187"/>
      <c r="M957" s="187"/>
      <c r="N957" s="187"/>
      <c r="O957" s="187"/>
      <c r="P957" s="187"/>
      <c r="Q957" s="187"/>
      <c r="V957" s="188"/>
      <c r="W957" s="188"/>
      <c r="AH957" s="43"/>
    </row>
    <row r="958" spans="6:34" s="179" customFormat="1" x14ac:dyDescent="0.25">
      <c r="F958" s="119"/>
      <c r="G958" s="119"/>
      <c r="H958" s="186"/>
      <c r="J958" s="187"/>
      <c r="K958" s="187"/>
      <c r="L958" s="187"/>
      <c r="M958" s="187"/>
      <c r="N958" s="187"/>
      <c r="O958" s="187"/>
      <c r="P958" s="187"/>
      <c r="Q958" s="187"/>
      <c r="V958" s="188"/>
      <c r="W958" s="188"/>
      <c r="AH958" s="43"/>
    </row>
    <row r="959" spans="6:34" s="179" customFormat="1" x14ac:dyDescent="0.25">
      <c r="F959" s="119"/>
      <c r="G959" s="119"/>
      <c r="H959" s="186"/>
      <c r="J959" s="187"/>
      <c r="K959" s="187"/>
      <c r="L959" s="187"/>
      <c r="M959" s="187"/>
      <c r="N959" s="187"/>
      <c r="O959" s="187"/>
      <c r="P959" s="187"/>
      <c r="Q959" s="187"/>
      <c r="V959" s="188"/>
      <c r="W959" s="188"/>
      <c r="AH959" s="43"/>
    </row>
    <row r="960" spans="6:34" s="179" customFormat="1" x14ac:dyDescent="0.25">
      <c r="F960" s="119"/>
      <c r="G960" s="119"/>
      <c r="H960" s="186"/>
      <c r="J960" s="187"/>
      <c r="K960" s="187"/>
      <c r="L960" s="187"/>
      <c r="M960" s="187"/>
      <c r="N960" s="187"/>
      <c r="O960" s="187"/>
      <c r="P960" s="187"/>
      <c r="Q960" s="187"/>
      <c r="V960" s="188"/>
      <c r="W960" s="188"/>
      <c r="AH960" s="43"/>
    </row>
    <row r="961" spans="6:34" s="179" customFormat="1" x14ac:dyDescent="0.25">
      <c r="F961" s="119"/>
      <c r="G961" s="119"/>
      <c r="H961" s="186"/>
      <c r="J961" s="187"/>
      <c r="K961" s="187"/>
      <c r="L961" s="187"/>
      <c r="M961" s="187"/>
      <c r="N961" s="187"/>
      <c r="O961" s="187"/>
      <c r="P961" s="187"/>
      <c r="Q961" s="187"/>
      <c r="V961" s="188"/>
      <c r="W961" s="188"/>
      <c r="AH961" s="43"/>
    </row>
    <row r="962" spans="6:34" s="179" customFormat="1" x14ac:dyDescent="0.25">
      <c r="F962" s="119"/>
      <c r="G962" s="119"/>
      <c r="H962" s="186"/>
      <c r="J962" s="187"/>
      <c r="K962" s="187"/>
      <c r="L962" s="187"/>
      <c r="M962" s="187"/>
      <c r="N962" s="187"/>
      <c r="O962" s="187"/>
      <c r="P962" s="187"/>
      <c r="Q962" s="187"/>
      <c r="V962" s="188"/>
      <c r="W962" s="188"/>
      <c r="AH962" s="43"/>
    </row>
    <row r="963" spans="6:34" s="179" customFormat="1" x14ac:dyDescent="0.25">
      <c r="F963" s="119"/>
      <c r="G963" s="119"/>
      <c r="H963" s="186"/>
      <c r="J963" s="187"/>
      <c r="K963" s="187"/>
      <c r="L963" s="187"/>
      <c r="M963" s="187"/>
      <c r="N963" s="187"/>
      <c r="O963" s="187"/>
      <c r="P963" s="187"/>
      <c r="Q963" s="187"/>
      <c r="V963" s="188"/>
      <c r="W963" s="188"/>
      <c r="AH963" s="43"/>
    </row>
    <row r="964" spans="6:34" s="179" customFormat="1" x14ac:dyDescent="0.25">
      <c r="F964" s="119"/>
      <c r="G964" s="119"/>
      <c r="H964" s="186"/>
      <c r="J964" s="187"/>
      <c r="K964" s="187"/>
      <c r="L964" s="187"/>
      <c r="M964" s="187"/>
      <c r="N964" s="187"/>
      <c r="O964" s="187"/>
      <c r="P964" s="187"/>
      <c r="Q964" s="187"/>
      <c r="V964" s="188"/>
      <c r="W964" s="188"/>
      <c r="AH964" s="43"/>
    </row>
    <row r="965" spans="6:34" s="179" customFormat="1" x14ac:dyDescent="0.25">
      <c r="F965" s="119"/>
      <c r="G965" s="119"/>
      <c r="H965" s="186"/>
      <c r="J965" s="187"/>
      <c r="K965" s="187"/>
      <c r="L965" s="187"/>
      <c r="M965" s="187"/>
      <c r="N965" s="187"/>
      <c r="O965" s="187"/>
      <c r="P965" s="187"/>
      <c r="Q965" s="187"/>
      <c r="V965" s="188"/>
      <c r="W965" s="188"/>
      <c r="AH965" s="43"/>
    </row>
    <row r="966" spans="6:34" s="179" customFormat="1" x14ac:dyDescent="0.25">
      <c r="F966" s="119"/>
      <c r="G966" s="119"/>
      <c r="H966" s="186"/>
      <c r="J966" s="187"/>
      <c r="K966" s="187"/>
      <c r="L966" s="187"/>
      <c r="M966" s="187"/>
      <c r="N966" s="187"/>
      <c r="O966" s="187"/>
      <c r="P966" s="187"/>
      <c r="Q966" s="187"/>
      <c r="V966" s="188"/>
      <c r="W966" s="188"/>
      <c r="AH966" s="43"/>
    </row>
    <row r="967" spans="6:34" s="179" customFormat="1" x14ac:dyDescent="0.25">
      <c r="F967" s="119"/>
      <c r="G967" s="119"/>
      <c r="H967" s="186"/>
      <c r="J967" s="187"/>
      <c r="K967" s="187"/>
      <c r="L967" s="187"/>
      <c r="M967" s="187"/>
      <c r="N967" s="187"/>
      <c r="O967" s="187"/>
      <c r="P967" s="187"/>
      <c r="Q967" s="187"/>
      <c r="V967" s="188"/>
      <c r="W967" s="188"/>
      <c r="AH967" s="43"/>
    </row>
    <row r="968" spans="6:34" s="179" customFormat="1" x14ac:dyDescent="0.25">
      <c r="F968" s="119"/>
      <c r="G968" s="119"/>
      <c r="H968" s="186"/>
      <c r="J968" s="187"/>
      <c r="K968" s="187"/>
      <c r="L968" s="187"/>
      <c r="M968" s="187"/>
      <c r="N968" s="187"/>
      <c r="O968" s="187"/>
      <c r="P968" s="187"/>
      <c r="Q968" s="187"/>
      <c r="V968" s="188"/>
      <c r="W968" s="188"/>
      <c r="AH968" s="43"/>
    </row>
    <row r="969" spans="6:34" s="179" customFormat="1" x14ac:dyDescent="0.25">
      <c r="F969" s="119"/>
      <c r="G969" s="119"/>
      <c r="H969" s="186"/>
      <c r="J969" s="187"/>
      <c r="K969" s="187"/>
      <c r="L969" s="187"/>
      <c r="M969" s="187"/>
      <c r="N969" s="187"/>
      <c r="O969" s="187"/>
      <c r="P969" s="187"/>
      <c r="Q969" s="187"/>
      <c r="V969" s="188"/>
      <c r="W969" s="188"/>
      <c r="AH969" s="43"/>
    </row>
    <row r="970" spans="6:34" s="179" customFormat="1" x14ac:dyDescent="0.25">
      <c r="F970" s="119"/>
      <c r="G970" s="119"/>
      <c r="H970" s="186"/>
      <c r="J970" s="187"/>
      <c r="K970" s="187"/>
      <c r="L970" s="187"/>
      <c r="M970" s="187"/>
      <c r="N970" s="187"/>
      <c r="O970" s="187"/>
      <c r="P970" s="187"/>
      <c r="Q970" s="187"/>
      <c r="V970" s="188"/>
      <c r="W970" s="188"/>
      <c r="AH970" s="43"/>
    </row>
    <row r="971" spans="6:34" s="179" customFormat="1" x14ac:dyDescent="0.25">
      <c r="F971" s="119"/>
      <c r="G971" s="119"/>
      <c r="H971" s="186"/>
      <c r="J971" s="187"/>
      <c r="K971" s="187"/>
      <c r="L971" s="187"/>
      <c r="M971" s="187"/>
      <c r="N971" s="187"/>
      <c r="O971" s="187"/>
      <c r="P971" s="187"/>
      <c r="Q971" s="187"/>
      <c r="V971" s="188"/>
      <c r="W971" s="188"/>
      <c r="AH971" s="43"/>
    </row>
    <row r="972" spans="6:34" s="179" customFormat="1" x14ac:dyDescent="0.25">
      <c r="F972" s="119"/>
      <c r="G972" s="119"/>
      <c r="H972" s="186"/>
      <c r="J972" s="187"/>
      <c r="K972" s="187"/>
      <c r="L972" s="187"/>
      <c r="M972" s="187"/>
      <c r="N972" s="187"/>
      <c r="O972" s="187"/>
      <c r="P972" s="187"/>
      <c r="Q972" s="187"/>
      <c r="V972" s="188"/>
      <c r="W972" s="188"/>
      <c r="AH972" s="43"/>
    </row>
    <row r="973" spans="6:34" s="179" customFormat="1" x14ac:dyDescent="0.25">
      <c r="F973" s="119"/>
      <c r="G973" s="119"/>
      <c r="H973" s="186"/>
      <c r="J973" s="187"/>
      <c r="K973" s="187"/>
      <c r="L973" s="187"/>
      <c r="M973" s="187"/>
      <c r="N973" s="187"/>
      <c r="O973" s="187"/>
      <c r="P973" s="187"/>
      <c r="Q973" s="187"/>
      <c r="V973" s="188"/>
      <c r="W973" s="188"/>
      <c r="AH973" s="43"/>
    </row>
    <row r="974" spans="6:34" s="179" customFormat="1" x14ac:dyDescent="0.25">
      <c r="F974" s="119"/>
      <c r="G974" s="119"/>
      <c r="H974" s="186"/>
      <c r="J974" s="187"/>
      <c r="K974" s="187"/>
      <c r="L974" s="187"/>
      <c r="M974" s="187"/>
      <c r="N974" s="187"/>
      <c r="O974" s="187"/>
      <c r="P974" s="187"/>
      <c r="Q974" s="187"/>
      <c r="V974" s="188"/>
      <c r="W974" s="188"/>
      <c r="AH974" s="43"/>
    </row>
    <row r="975" spans="6:34" s="179" customFormat="1" x14ac:dyDescent="0.25">
      <c r="F975" s="119"/>
      <c r="G975" s="119"/>
      <c r="H975" s="186"/>
      <c r="J975" s="187"/>
      <c r="K975" s="187"/>
      <c r="L975" s="187"/>
      <c r="M975" s="187"/>
      <c r="N975" s="187"/>
      <c r="O975" s="187"/>
      <c r="P975" s="187"/>
      <c r="Q975" s="187"/>
      <c r="V975" s="188"/>
      <c r="W975" s="188"/>
      <c r="AH975" s="43"/>
    </row>
    <row r="976" spans="6:34" s="179" customFormat="1" x14ac:dyDescent="0.25">
      <c r="F976" s="119"/>
      <c r="G976" s="119"/>
      <c r="H976" s="186"/>
      <c r="J976" s="187"/>
      <c r="K976" s="187"/>
      <c r="L976" s="187"/>
      <c r="M976" s="187"/>
      <c r="N976" s="187"/>
      <c r="O976" s="187"/>
      <c r="P976" s="187"/>
      <c r="Q976" s="187"/>
      <c r="V976" s="188"/>
      <c r="W976" s="188"/>
      <c r="AH976" s="43"/>
    </row>
    <row r="977" spans="6:34" s="179" customFormat="1" x14ac:dyDescent="0.25">
      <c r="F977" s="119"/>
      <c r="G977" s="119"/>
      <c r="H977" s="186"/>
      <c r="J977" s="187"/>
      <c r="K977" s="187"/>
      <c r="L977" s="187"/>
      <c r="M977" s="187"/>
      <c r="N977" s="187"/>
      <c r="O977" s="187"/>
      <c r="P977" s="187"/>
      <c r="Q977" s="187"/>
      <c r="V977" s="188"/>
      <c r="W977" s="188"/>
      <c r="AH977" s="43"/>
    </row>
    <row r="978" spans="6:34" s="179" customFormat="1" x14ac:dyDescent="0.25">
      <c r="F978" s="119"/>
      <c r="G978" s="119"/>
      <c r="H978" s="186"/>
      <c r="J978" s="187"/>
      <c r="K978" s="187"/>
      <c r="L978" s="187"/>
      <c r="M978" s="187"/>
      <c r="N978" s="187"/>
      <c r="O978" s="187"/>
      <c r="P978" s="187"/>
      <c r="Q978" s="187"/>
      <c r="V978" s="188"/>
      <c r="W978" s="188"/>
      <c r="AH978" s="43"/>
    </row>
    <row r="979" spans="6:34" s="179" customFormat="1" x14ac:dyDescent="0.25">
      <c r="F979" s="119"/>
      <c r="G979" s="119"/>
      <c r="H979" s="186"/>
      <c r="J979" s="187"/>
      <c r="K979" s="187"/>
      <c r="L979" s="187"/>
      <c r="M979" s="187"/>
      <c r="N979" s="187"/>
      <c r="O979" s="187"/>
      <c r="P979" s="187"/>
      <c r="Q979" s="187"/>
      <c r="V979" s="188"/>
      <c r="W979" s="188"/>
      <c r="AH979" s="43"/>
    </row>
    <row r="980" spans="6:34" s="179" customFormat="1" x14ac:dyDescent="0.25">
      <c r="F980" s="119"/>
      <c r="G980" s="119"/>
      <c r="H980" s="186"/>
      <c r="J980" s="187"/>
      <c r="K980" s="187"/>
      <c r="L980" s="187"/>
      <c r="M980" s="187"/>
      <c r="N980" s="187"/>
      <c r="O980" s="187"/>
      <c r="P980" s="187"/>
      <c r="Q980" s="187"/>
      <c r="V980" s="188"/>
      <c r="W980" s="188"/>
      <c r="AH980" s="43"/>
    </row>
    <row r="981" spans="6:34" s="179" customFormat="1" x14ac:dyDescent="0.25">
      <c r="F981" s="119"/>
      <c r="G981" s="119"/>
      <c r="H981" s="186"/>
      <c r="J981" s="187"/>
      <c r="K981" s="187"/>
      <c r="L981" s="187"/>
      <c r="M981" s="187"/>
      <c r="N981" s="187"/>
      <c r="O981" s="187"/>
      <c r="P981" s="187"/>
      <c r="Q981" s="187"/>
      <c r="V981" s="188"/>
      <c r="W981" s="188"/>
      <c r="AH981" s="43"/>
    </row>
    <row r="982" spans="6:34" s="179" customFormat="1" x14ac:dyDescent="0.25">
      <c r="F982" s="119"/>
      <c r="G982" s="119"/>
      <c r="H982" s="186"/>
      <c r="J982" s="187"/>
      <c r="K982" s="187"/>
      <c r="L982" s="187"/>
      <c r="M982" s="187"/>
      <c r="N982" s="187"/>
      <c r="O982" s="187"/>
      <c r="P982" s="187"/>
      <c r="Q982" s="187"/>
      <c r="V982" s="188"/>
      <c r="W982" s="188"/>
      <c r="AH982" s="43"/>
    </row>
    <row r="983" spans="6:34" s="179" customFormat="1" x14ac:dyDescent="0.25">
      <c r="F983" s="119"/>
      <c r="G983" s="119"/>
      <c r="H983" s="186"/>
      <c r="J983" s="187"/>
      <c r="K983" s="187"/>
      <c r="L983" s="187"/>
      <c r="M983" s="187"/>
      <c r="N983" s="187"/>
      <c r="O983" s="187"/>
      <c r="P983" s="187"/>
      <c r="Q983" s="187"/>
      <c r="V983" s="188"/>
      <c r="W983" s="188"/>
      <c r="AH983" s="43"/>
    </row>
    <row r="984" spans="6:34" s="179" customFormat="1" x14ac:dyDescent="0.25">
      <c r="F984" s="119"/>
      <c r="G984" s="119"/>
      <c r="H984" s="186"/>
      <c r="J984" s="187"/>
      <c r="K984" s="187"/>
      <c r="L984" s="187"/>
      <c r="M984" s="187"/>
      <c r="N984" s="187"/>
      <c r="O984" s="187"/>
      <c r="P984" s="187"/>
      <c r="Q984" s="187"/>
      <c r="V984" s="188"/>
      <c r="W984" s="188"/>
      <c r="AH984" s="43"/>
    </row>
    <row r="985" spans="6:34" s="179" customFormat="1" x14ac:dyDescent="0.25">
      <c r="F985" s="119"/>
      <c r="G985" s="119"/>
      <c r="H985" s="186"/>
      <c r="J985" s="187"/>
      <c r="K985" s="187"/>
      <c r="L985" s="187"/>
      <c r="M985" s="187"/>
      <c r="N985" s="187"/>
      <c r="O985" s="187"/>
      <c r="P985" s="187"/>
      <c r="Q985" s="187"/>
      <c r="V985" s="188"/>
      <c r="W985" s="188"/>
      <c r="AH985" s="43"/>
    </row>
    <row r="986" spans="6:34" s="179" customFormat="1" x14ac:dyDescent="0.25">
      <c r="F986" s="119"/>
      <c r="G986" s="119"/>
      <c r="H986" s="186"/>
      <c r="J986" s="187"/>
      <c r="K986" s="187"/>
      <c r="L986" s="187"/>
      <c r="M986" s="187"/>
      <c r="N986" s="187"/>
      <c r="O986" s="187"/>
      <c r="P986" s="187"/>
      <c r="Q986" s="187"/>
      <c r="V986" s="188"/>
      <c r="W986" s="188"/>
      <c r="AH986" s="43"/>
    </row>
    <row r="987" spans="6:34" s="179" customFormat="1" x14ac:dyDescent="0.25">
      <c r="F987" s="119"/>
      <c r="G987" s="119"/>
      <c r="H987" s="186"/>
      <c r="J987" s="187"/>
      <c r="K987" s="187"/>
      <c r="L987" s="187"/>
      <c r="M987" s="187"/>
      <c r="N987" s="187"/>
      <c r="O987" s="187"/>
      <c r="P987" s="187"/>
      <c r="Q987" s="187"/>
      <c r="V987" s="188"/>
      <c r="W987" s="188"/>
      <c r="AH987" s="43"/>
    </row>
    <row r="988" spans="6:34" s="179" customFormat="1" x14ac:dyDescent="0.25">
      <c r="F988" s="119"/>
      <c r="G988" s="119"/>
      <c r="H988" s="186"/>
      <c r="J988" s="187"/>
      <c r="K988" s="187"/>
      <c r="L988" s="187"/>
      <c r="M988" s="187"/>
      <c r="N988" s="187"/>
      <c r="O988" s="187"/>
      <c r="P988" s="187"/>
      <c r="Q988" s="187"/>
      <c r="V988" s="188"/>
      <c r="W988" s="188"/>
      <c r="AH988" s="43"/>
    </row>
    <row r="989" spans="6:34" s="179" customFormat="1" x14ac:dyDescent="0.25">
      <c r="F989" s="119"/>
      <c r="G989" s="119"/>
      <c r="H989" s="186"/>
      <c r="J989" s="187"/>
      <c r="K989" s="187"/>
      <c r="L989" s="187"/>
      <c r="M989" s="187"/>
      <c r="N989" s="187"/>
      <c r="O989" s="187"/>
      <c r="P989" s="187"/>
      <c r="Q989" s="187"/>
      <c r="V989" s="188"/>
      <c r="W989" s="188"/>
      <c r="AH989" s="43"/>
    </row>
    <row r="990" spans="6:34" s="179" customFormat="1" x14ac:dyDescent="0.25">
      <c r="F990" s="119"/>
      <c r="G990" s="119"/>
      <c r="H990" s="186"/>
      <c r="J990" s="187"/>
      <c r="K990" s="187"/>
      <c r="L990" s="187"/>
      <c r="M990" s="187"/>
      <c r="N990" s="187"/>
      <c r="O990" s="187"/>
      <c r="P990" s="187"/>
      <c r="Q990" s="187"/>
      <c r="V990" s="188"/>
      <c r="W990" s="188"/>
      <c r="AH990" s="43"/>
    </row>
    <row r="991" spans="6:34" s="179" customFormat="1" x14ac:dyDescent="0.25">
      <c r="F991" s="119"/>
      <c r="G991" s="119"/>
      <c r="H991" s="186"/>
      <c r="J991" s="187"/>
      <c r="K991" s="187"/>
      <c r="L991" s="187"/>
      <c r="M991" s="187"/>
      <c r="N991" s="187"/>
      <c r="O991" s="187"/>
      <c r="P991" s="187"/>
      <c r="Q991" s="187"/>
      <c r="V991" s="188"/>
      <c r="W991" s="188"/>
      <c r="AH991" s="43"/>
    </row>
    <row r="992" spans="6:34" s="179" customFormat="1" x14ac:dyDescent="0.25">
      <c r="F992" s="119"/>
      <c r="G992" s="119"/>
      <c r="H992" s="186"/>
      <c r="J992" s="187"/>
      <c r="K992" s="187"/>
      <c r="L992" s="187"/>
      <c r="M992" s="187"/>
      <c r="N992" s="187"/>
      <c r="O992" s="187"/>
      <c r="P992" s="187"/>
      <c r="Q992" s="187"/>
      <c r="V992" s="188"/>
      <c r="W992" s="188"/>
      <c r="AH992" s="43"/>
    </row>
    <row r="993" spans="6:34" s="179" customFormat="1" x14ac:dyDescent="0.25">
      <c r="F993" s="119"/>
      <c r="G993" s="119"/>
      <c r="H993" s="186"/>
      <c r="J993" s="187"/>
      <c r="K993" s="187"/>
      <c r="L993" s="187"/>
      <c r="M993" s="187"/>
      <c r="N993" s="187"/>
      <c r="O993" s="187"/>
      <c r="P993" s="187"/>
      <c r="Q993" s="187"/>
      <c r="V993" s="188"/>
      <c r="W993" s="188"/>
      <c r="AH993" s="43"/>
    </row>
    <row r="994" spans="6:34" s="179" customFormat="1" x14ac:dyDescent="0.25">
      <c r="F994" s="119"/>
      <c r="G994" s="119"/>
      <c r="H994" s="186"/>
      <c r="J994" s="187"/>
      <c r="K994" s="187"/>
      <c r="L994" s="187"/>
      <c r="M994" s="187"/>
      <c r="N994" s="187"/>
      <c r="O994" s="187"/>
      <c r="P994" s="187"/>
      <c r="Q994" s="187"/>
      <c r="V994" s="188"/>
      <c r="W994" s="188"/>
      <c r="AH994" s="43"/>
    </row>
    <row r="995" spans="6:34" s="179" customFormat="1" x14ac:dyDescent="0.25">
      <c r="F995" s="119"/>
      <c r="G995" s="119"/>
      <c r="H995" s="186"/>
      <c r="J995" s="187"/>
      <c r="K995" s="187"/>
      <c r="L995" s="187"/>
      <c r="M995" s="187"/>
      <c r="N995" s="187"/>
      <c r="O995" s="187"/>
      <c r="P995" s="187"/>
      <c r="Q995" s="187"/>
      <c r="V995" s="188"/>
      <c r="W995" s="188"/>
      <c r="AH995" s="43"/>
    </row>
    <row r="996" spans="6:34" s="179" customFormat="1" x14ac:dyDescent="0.25">
      <c r="F996" s="119"/>
      <c r="G996" s="119"/>
      <c r="H996" s="186"/>
      <c r="J996" s="187"/>
      <c r="K996" s="187"/>
      <c r="L996" s="187"/>
      <c r="M996" s="187"/>
      <c r="N996" s="187"/>
      <c r="O996" s="187"/>
      <c r="P996" s="187"/>
      <c r="Q996" s="187"/>
      <c r="V996" s="188"/>
      <c r="W996" s="188"/>
      <c r="AH996" s="43"/>
    </row>
    <row r="997" spans="6:34" s="179" customFormat="1" x14ac:dyDescent="0.25">
      <c r="F997" s="119"/>
      <c r="G997" s="119"/>
      <c r="H997" s="186"/>
      <c r="J997" s="187"/>
      <c r="K997" s="187"/>
      <c r="L997" s="187"/>
      <c r="M997" s="187"/>
      <c r="N997" s="187"/>
      <c r="O997" s="187"/>
      <c r="P997" s="187"/>
      <c r="Q997" s="187"/>
      <c r="V997" s="188"/>
      <c r="W997" s="188"/>
      <c r="AH997" s="43"/>
    </row>
    <row r="998" spans="6:34" s="179" customFormat="1" x14ac:dyDescent="0.25">
      <c r="F998" s="119"/>
      <c r="G998" s="119"/>
      <c r="H998" s="186"/>
      <c r="J998" s="187"/>
      <c r="K998" s="187"/>
      <c r="L998" s="187"/>
      <c r="M998" s="187"/>
      <c r="N998" s="187"/>
      <c r="O998" s="187"/>
      <c r="P998" s="187"/>
      <c r="Q998" s="187"/>
      <c r="V998" s="188"/>
      <c r="W998" s="188"/>
      <c r="AH998" s="43"/>
    </row>
    <row r="999" spans="6:34" s="179" customFormat="1" x14ac:dyDescent="0.25">
      <c r="F999" s="119"/>
      <c r="G999" s="119"/>
      <c r="H999" s="186"/>
      <c r="J999" s="187"/>
      <c r="K999" s="187"/>
      <c r="L999" s="187"/>
      <c r="M999" s="187"/>
      <c r="N999" s="187"/>
      <c r="O999" s="187"/>
      <c r="P999" s="187"/>
      <c r="Q999" s="187"/>
      <c r="V999" s="188"/>
      <c r="W999" s="188"/>
      <c r="AH999" s="43"/>
    </row>
    <row r="1000" spans="6:34" s="179" customFormat="1" x14ac:dyDescent="0.25">
      <c r="F1000" s="119"/>
      <c r="G1000" s="119"/>
      <c r="H1000" s="186"/>
      <c r="J1000" s="187"/>
      <c r="K1000" s="187"/>
      <c r="L1000" s="187"/>
      <c r="M1000" s="187"/>
      <c r="N1000" s="187"/>
      <c r="O1000" s="187"/>
      <c r="P1000" s="187"/>
      <c r="Q1000" s="187"/>
      <c r="V1000" s="188"/>
      <c r="W1000" s="188"/>
      <c r="AH1000" s="43"/>
    </row>
    <row r="1001" spans="6:34" s="179" customFormat="1" x14ac:dyDescent="0.25">
      <c r="F1001" s="119"/>
      <c r="G1001" s="119"/>
      <c r="H1001" s="186"/>
      <c r="J1001" s="187"/>
      <c r="K1001" s="187"/>
      <c r="L1001" s="187"/>
      <c r="M1001" s="187"/>
      <c r="N1001" s="187"/>
      <c r="O1001" s="187"/>
      <c r="P1001" s="187"/>
      <c r="Q1001" s="187"/>
      <c r="V1001" s="188"/>
      <c r="W1001" s="188"/>
      <c r="AH1001" s="43"/>
    </row>
    <row r="1002" spans="6:34" s="179" customFormat="1" x14ac:dyDescent="0.25">
      <c r="F1002" s="119"/>
      <c r="G1002" s="119"/>
      <c r="H1002" s="186"/>
      <c r="J1002" s="187"/>
      <c r="K1002" s="187"/>
      <c r="L1002" s="187"/>
      <c r="M1002" s="187"/>
      <c r="N1002" s="187"/>
      <c r="O1002" s="187"/>
      <c r="P1002" s="187"/>
      <c r="Q1002" s="187"/>
      <c r="V1002" s="188"/>
      <c r="W1002" s="188"/>
      <c r="AH1002" s="43"/>
    </row>
    <row r="1003" spans="6:34" s="179" customFormat="1" x14ac:dyDescent="0.25">
      <c r="F1003" s="119"/>
      <c r="G1003" s="119"/>
      <c r="H1003" s="186"/>
      <c r="J1003" s="187"/>
      <c r="K1003" s="187"/>
      <c r="L1003" s="187"/>
      <c r="M1003" s="187"/>
      <c r="N1003" s="187"/>
      <c r="O1003" s="187"/>
      <c r="P1003" s="187"/>
      <c r="Q1003" s="187"/>
      <c r="V1003" s="188"/>
      <c r="W1003" s="188"/>
      <c r="AH1003" s="43"/>
    </row>
    <row r="1004" spans="6:34" s="179" customFormat="1" x14ac:dyDescent="0.25">
      <c r="F1004" s="119"/>
      <c r="G1004" s="119"/>
      <c r="H1004" s="186"/>
      <c r="J1004" s="187"/>
      <c r="K1004" s="187"/>
      <c r="L1004" s="187"/>
      <c r="M1004" s="187"/>
      <c r="N1004" s="187"/>
      <c r="O1004" s="187"/>
      <c r="P1004" s="187"/>
      <c r="Q1004" s="187"/>
      <c r="V1004" s="188"/>
      <c r="W1004" s="188"/>
      <c r="AH1004" s="43"/>
    </row>
    <row r="1005" spans="6:34" s="179" customFormat="1" x14ac:dyDescent="0.25">
      <c r="F1005" s="119"/>
      <c r="G1005" s="119"/>
      <c r="H1005" s="186"/>
      <c r="J1005" s="187"/>
      <c r="K1005" s="187"/>
      <c r="L1005" s="187"/>
      <c r="M1005" s="187"/>
      <c r="N1005" s="187"/>
      <c r="O1005" s="187"/>
      <c r="P1005" s="187"/>
      <c r="Q1005" s="187"/>
      <c r="V1005" s="188"/>
      <c r="W1005" s="188"/>
      <c r="AH1005" s="43"/>
    </row>
    <row r="1006" spans="6:34" s="179" customFormat="1" x14ac:dyDescent="0.25">
      <c r="F1006" s="119"/>
      <c r="G1006" s="119"/>
      <c r="H1006" s="186"/>
      <c r="J1006" s="187"/>
      <c r="K1006" s="187"/>
      <c r="L1006" s="187"/>
      <c r="M1006" s="187"/>
      <c r="N1006" s="187"/>
      <c r="O1006" s="187"/>
      <c r="P1006" s="187"/>
      <c r="Q1006" s="187"/>
      <c r="V1006" s="188"/>
      <c r="W1006" s="188"/>
      <c r="AH1006" s="43"/>
    </row>
    <row r="1007" spans="6:34" s="179" customFormat="1" x14ac:dyDescent="0.25">
      <c r="F1007" s="119"/>
      <c r="G1007" s="119"/>
      <c r="H1007" s="186"/>
      <c r="J1007" s="187"/>
      <c r="K1007" s="187"/>
      <c r="L1007" s="187"/>
      <c r="M1007" s="187"/>
      <c r="N1007" s="187"/>
      <c r="O1007" s="187"/>
      <c r="P1007" s="187"/>
      <c r="Q1007" s="187"/>
      <c r="V1007" s="188"/>
      <c r="W1007" s="188"/>
      <c r="AH1007" s="43"/>
    </row>
    <row r="1008" spans="6:34" s="179" customFormat="1" x14ac:dyDescent="0.25">
      <c r="F1008" s="119"/>
      <c r="G1008" s="119"/>
      <c r="H1008" s="186"/>
      <c r="J1008" s="187"/>
      <c r="K1008" s="187"/>
      <c r="L1008" s="187"/>
      <c r="M1008" s="187"/>
      <c r="N1008" s="187"/>
      <c r="O1008" s="187"/>
      <c r="P1008" s="187"/>
      <c r="Q1008" s="187"/>
      <c r="V1008" s="188"/>
      <c r="W1008" s="188"/>
      <c r="AH1008" s="43"/>
    </row>
    <row r="1009" spans="6:34" s="179" customFormat="1" x14ac:dyDescent="0.25">
      <c r="F1009" s="119"/>
      <c r="G1009" s="119"/>
      <c r="H1009" s="186"/>
      <c r="J1009" s="187"/>
      <c r="K1009" s="187"/>
      <c r="L1009" s="187"/>
      <c r="M1009" s="187"/>
      <c r="N1009" s="187"/>
      <c r="O1009" s="187"/>
      <c r="P1009" s="187"/>
      <c r="Q1009" s="187"/>
      <c r="V1009" s="188"/>
      <c r="W1009" s="188"/>
      <c r="AH1009" s="43"/>
    </row>
    <row r="1010" spans="6:34" s="179" customFormat="1" x14ac:dyDescent="0.25">
      <c r="F1010" s="119"/>
      <c r="G1010" s="119"/>
      <c r="H1010" s="186"/>
      <c r="J1010" s="187"/>
      <c r="K1010" s="187"/>
      <c r="L1010" s="187"/>
      <c r="M1010" s="187"/>
      <c r="N1010" s="187"/>
      <c r="O1010" s="187"/>
      <c r="P1010" s="187"/>
      <c r="Q1010" s="187"/>
      <c r="V1010" s="188"/>
      <c r="W1010" s="188"/>
      <c r="AH1010" s="43"/>
    </row>
    <row r="1011" spans="6:34" s="179" customFormat="1" x14ac:dyDescent="0.25">
      <c r="F1011" s="119"/>
      <c r="G1011" s="119"/>
      <c r="H1011" s="186"/>
      <c r="J1011" s="187"/>
      <c r="K1011" s="187"/>
      <c r="L1011" s="187"/>
      <c r="M1011" s="187"/>
      <c r="N1011" s="187"/>
      <c r="O1011" s="187"/>
      <c r="P1011" s="187"/>
      <c r="Q1011" s="187"/>
      <c r="V1011" s="188"/>
      <c r="W1011" s="188"/>
      <c r="AH1011" s="43"/>
    </row>
    <row r="1012" spans="6:34" s="179" customFormat="1" x14ac:dyDescent="0.25">
      <c r="F1012" s="119"/>
      <c r="G1012" s="119"/>
      <c r="H1012" s="186"/>
      <c r="J1012" s="187"/>
      <c r="K1012" s="187"/>
      <c r="L1012" s="187"/>
      <c r="M1012" s="187"/>
      <c r="N1012" s="187"/>
      <c r="O1012" s="187"/>
      <c r="P1012" s="187"/>
      <c r="Q1012" s="187"/>
      <c r="V1012" s="188"/>
      <c r="W1012" s="188"/>
      <c r="AH1012" s="43"/>
    </row>
    <row r="1013" spans="6:34" s="179" customFormat="1" x14ac:dyDescent="0.25">
      <c r="F1013" s="119"/>
      <c r="G1013" s="119"/>
      <c r="H1013" s="186"/>
      <c r="J1013" s="187"/>
      <c r="K1013" s="187"/>
      <c r="L1013" s="187"/>
      <c r="M1013" s="187"/>
      <c r="N1013" s="187"/>
      <c r="O1013" s="187"/>
      <c r="P1013" s="187"/>
      <c r="Q1013" s="187"/>
      <c r="V1013" s="188"/>
      <c r="W1013" s="188"/>
      <c r="AH1013" s="43"/>
    </row>
    <row r="1014" spans="6:34" s="179" customFormat="1" x14ac:dyDescent="0.25">
      <c r="F1014" s="119"/>
      <c r="G1014" s="119"/>
      <c r="H1014" s="186"/>
      <c r="J1014" s="187"/>
      <c r="K1014" s="187"/>
      <c r="L1014" s="187"/>
      <c r="M1014" s="187"/>
      <c r="N1014" s="187"/>
      <c r="O1014" s="187"/>
      <c r="P1014" s="187"/>
      <c r="Q1014" s="187"/>
      <c r="V1014" s="188"/>
      <c r="W1014" s="188"/>
      <c r="AH1014" s="43"/>
    </row>
    <row r="1015" spans="6:34" s="179" customFormat="1" x14ac:dyDescent="0.25">
      <c r="F1015" s="119"/>
      <c r="G1015" s="119"/>
      <c r="H1015" s="186"/>
      <c r="J1015" s="187"/>
      <c r="K1015" s="187"/>
      <c r="L1015" s="187"/>
      <c r="M1015" s="187"/>
      <c r="N1015" s="187"/>
      <c r="O1015" s="187"/>
      <c r="P1015" s="187"/>
      <c r="Q1015" s="187"/>
      <c r="V1015" s="188"/>
      <c r="W1015" s="188"/>
      <c r="AH1015" s="43"/>
    </row>
    <row r="1016" spans="6:34" s="179" customFormat="1" x14ac:dyDescent="0.25">
      <c r="F1016" s="119"/>
      <c r="G1016" s="119"/>
      <c r="H1016" s="186"/>
      <c r="J1016" s="187"/>
      <c r="K1016" s="187"/>
      <c r="L1016" s="187"/>
      <c r="M1016" s="187"/>
      <c r="N1016" s="187"/>
      <c r="O1016" s="187"/>
      <c r="P1016" s="187"/>
      <c r="Q1016" s="187"/>
      <c r="V1016" s="188"/>
      <c r="W1016" s="188"/>
      <c r="AH1016" s="43"/>
    </row>
    <row r="1017" spans="6:34" s="179" customFormat="1" x14ac:dyDescent="0.25">
      <c r="F1017" s="119"/>
      <c r="G1017" s="119"/>
      <c r="H1017" s="186"/>
      <c r="J1017" s="187"/>
      <c r="K1017" s="187"/>
      <c r="L1017" s="187"/>
      <c r="M1017" s="187"/>
      <c r="N1017" s="187"/>
      <c r="O1017" s="187"/>
      <c r="P1017" s="187"/>
      <c r="Q1017" s="187"/>
      <c r="V1017" s="188"/>
      <c r="W1017" s="188"/>
      <c r="AH1017" s="43"/>
    </row>
    <row r="1018" spans="6:34" s="179" customFormat="1" x14ac:dyDescent="0.25">
      <c r="F1018" s="119"/>
      <c r="G1018" s="119"/>
      <c r="H1018" s="186"/>
      <c r="J1018" s="187"/>
      <c r="K1018" s="187"/>
      <c r="L1018" s="187"/>
      <c r="M1018" s="187"/>
      <c r="N1018" s="187"/>
      <c r="O1018" s="187"/>
      <c r="P1018" s="187"/>
      <c r="Q1018" s="187"/>
      <c r="V1018" s="188"/>
      <c r="W1018" s="188"/>
      <c r="AH1018" s="43"/>
    </row>
    <row r="1019" spans="6:34" s="179" customFormat="1" x14ac:dyDescent="0.25">
      <c r="F1019" s="119"/>
      <c r="G1019" s="119"/>
      <c r="H1019" s="186"/>
      <c r="J1019" s="187"/>
      <c r="K1019" s="187"/>
      <c r="L1019" s="187"/>
      <c r="M1019" s="187"/>
      <c r="N1019" s="187"/>
      <c r="O1019" s="187"/>
      <c r="P1019" s="187"/>
      <c r="Q1019" s="187"/>
      <c r="V1019" s="188"/>
      <c r="W1019" s="188"/>
      <c r="AH1019" s="43"/>
    </row>
    <row r="1020" spans="6:34" s="179" customFormat="1" x14ac:dyDescent="0.25">
      <c r="F1020" s="119"/>
      <c r="G1020" s="119"/>
      <c r="H1020" s="186"/>
      <c r="J1020" s="187"/>
      <c r="K1020" s="187"/>
      <c r="L1020" s="187"/>
      <c r="M1020" s="187"/>
      <c r="N1020" s="187"/>
      <c r="O1020" s="187"/>
      <c r="P1020" s="187"/>
      <c r="Q1020" s="187"/>
      <c r="V1020" s="188"/>
      <c r="W1020" s="188"/>
      <c r="AH1020" s="43"/>
    </row>
    <row r="1021" spans="6:34" s="179" customFormat="1" x14ac:dyDescent="0.25">
      <c r="F1021" s="119"/>
      <c r="G1021" s="119"/>
      <c r="H1021" s="186"/>
      <c r="J1021" s="187"/>
      <c r="K1021" s="187"/>
      <c r="L1021" s="187"/>
      <c r="M1021" s="187"/>
      <c r="N1021" s="187"/>
      <c r="O1021" s="187"/>
      <c r="P1021" s="187"/>
      <c r="Q1021" s="187"/>
      <c r="V1021" s="188"/>
      <c r="W1021" s="188"/>
      <c r="AH1021" s="43"/>
    </row>
    <row r="1022" spans="6:34" s="179" customFormat="1" x14ac:dyDescent="0.25">
      <c r="F1022" s="119"/>
      <c r="G1022" s="119"/>
      <c r="H1022" s="186"/>
      <c r="J1022" s="187"/>
      <c r="K1022" s="187"/>
      <c r="L1022" s="187"/>
      <c r="M1022" s="187"/>
      <c r="N1022" s="187"/>
      <c r="O1022" s="187"/>
      <c r="P1022" s="187"/>
      <c r="Q1022" s="187"/>
      <c r="V1022" s="188"/>
      <c r="W1022" s="188"/>
      <c r="AH1022" s="43"/>
    </row>
    <row r="1023" spans="6:34" s="179" customFormat="1" x14ac:dyDescent="0.25">
      <c r="F1023" s="119"/>
      <c r="G1023" s="119"/>
      <c r="H1023" s="186"/>
      <c r="J1023" s="187"/>
      <c r="K1023" s="187"/>
      <c r="L1023" s="187"/>
      <c r="M1023" s="187"/>
      <c r="N1023" s="187"/>
      <c r="O1023" s="187"/>
      <c r="P1023" s="187"/>
      <c r="Q1023" s="187"/>
      <c r="V1023" s="188"/>
      <c r="W1023" s="188"/>
      <c r="AH1023" s="43"/>
    </row>
    <row r="1024" spans="6:34" s="179" customFormat="1" x14ac:dyDescent="0.25">
      <c r="F1024" s="119"/>
      <c r="G1024" s="119"/>
      <c r="H1024" s="186"/>
      <c r="J1024" s="187"/>
      <c r="K1024" s="187"/>
      <c r="L1024" s="187"/>
      <c r="M1024" s="187"/>
      <c r="N1024" s="187"/>
      <c r="O1024" s="187"/>
      <c r="P1024" s="187"/>
      <c r="Q1024" s="187"/>
      <c r="V1024" s="188"/>
      <c r="W1024" s="188"/>
      <c r="AH1024" s="43"/>
    </row>
    <row r="1025" spans="6:34" s="179" customFormat="1" x14ac:dyDescent="0.25">
      <c r="F1025" s="119"/>
      <c r="G1025" s="119"/>
      <c r="H1025" s="186"/>
      <c r="J1025" s="187"/>
      <c r="K1025" s="187"/>
      <c r="L1025" s="187"/>
      <c r="M1025" s="187"/>
      <c r="N1025" s="187"/>
      <c r="O1025" s="187"/>
      <c r="P1025" s="187"/>
      <c r="Q1025" s="187"/>
      <c r="V1025" s="188"/>
      <c r="W1025" s="188"/>
      <c r="AH1025" s="43"/>
    </row>
    <row r="1026" spans="6:34" s="179" customFormat="1" x14ac:dyDescent="0.25">
      <c r="F1026" s="119"/>
      <c r="G1026" s="119"/>
      <c r="H1026" s="186"/>
      <c r="J1026" s="187"/>
      <c r="K1026" s="187"/>
      <c r="L1026" s="187"/>
      <c r="M1026" s="187"/>
      <c r="N1026" s="187"/>
      <c r="O1026" s="187"/>
      <c r="P1026" s="187"/>
      <c r="Q1026" s="187"/>
      <c r="V1026" s="188"/>
      <c r="W1026" s="188"/>
      <c r="AH1026" s="43"/>
    </row>
    <row r="1027" spans="6:34" s="179" customFormat="1" x14ac:dyDescent="0.25">
      <c r="F1027" s="119"/>
      <c r="G1027" s="119"/>
      <c r="H1027" s="186"/>
      <c r="J1027" s="187"/>
      <c r="K1027" s="187"/>
      <c r="L1027" s="187"/>
      <c r="M1027" s="187"/>
      <c r="N1027" s="187"/>
      <c r="O1027" s="187"/>
      <c r="P1027" s="187"/>
      <c r="Q1027" s="187"/>
      <c r="V1027" s="188"/>
      <c r="W1027" s="188"/>
      <c r="AH1027" s="43"/>
    </row>
    <row r="1028" spans="6:34" s="179" customFormat="1" x14ac:dyDescent="0.25">
      <c r="F1028" s="119"/>
      <c r="G1028" s="119"/>
      <c r="H1028" s="186"/>
      <c r="J1028" s="187"/>
      <c r="K1028" s="187"/>
      <c r="L1028" s="187"/>
      <c r="M1028" s="187"/>
      <c r="N1028" s="187"/>
      <c r="O1028" s="187"/>
      <c r="P1028" s="187"/>
      <c r="Q1028" s="187"/>
      <c r="V1028" s="188"/>
      <c r="W1028" s="188"/>
      <c r="AH1028" s="43"/>
    </row>
    <row r="1029" spans="6:34" s="179" customFormat="1" x14ac:dyDescent="0.25">
      <c r="F1029" s="119"/>
      <c r="G1029" s="119"/>
      <c r="H1029" s="186"/>
      <c r="J1029" s="187"/>
      <c r="K1029" s="187"/>
      <c r="L1029" s="187"/>
      <c r="M1029" s="187"/>
      <c r="N1029" s="187"/>
      <c r="O1029" s="187"/>
      <c r="P1029" s="187"/>
      <c r="Q1029" s="187"/>
      <c r="V1029" s="188"/>
      <c r="W1029" s="188"/>
      <c r="AH1029" s="43"/>
    </row>
    <row r="1030" spans="6:34" s="179" customFormat="1" x14ac:dyDescent="0.25">
      <c r="F1030" s="119"/>
      <c r="G1030" s="119"/>
      <c r="H1030" s="186"/>
      <c r="J1030" s="187"/>
      <c r="K1030" s="187"/>
      <c r="L1030" s="187"/>
      <c r="M1030" s="187"/>
      <c r="N1030" s="187"/>
      <c r="O1030" s="187"/>
      <c r="P1030" s="187"/>
      <c r="Q1030" s="187"/>
      <c r="V1030" s="188"/>
      <c r="W1030" s="188"/>
      <c r="AH1030" s="43"/>
    </row>
    <row r="1031" spans="6:34" s="179" customFormat="1" x14ac:dyDescent="0.25">
      <c r="F1031" s="119"/>
      <c r="G1031" s="119"/>
      <c r="H1031" s="186"/>
      <c r="J1031" s="187"/>
      <c r="K1031" s="187"/>
      <c r="L1031" s="187"/>
      <c r="M1031" s="187"/>
      <c r="N1031" s="187"/>
      <c r="O1031" s="187"/>
      <c r="P1031" s="187"/>
      <c r="Q1031" s="187"/>
      <c r="V1031" s="188"/>
      <c r="W1031" s="188"/>
      <c r="AH1031" s="43"/>
    </row>
    <row r="1032" spans="6:34" s="179" customFormat="1" x14ac:dyDescent="0.25">
      <c r="F1032" s="119"/>
      <c r="G1032" s="119"/>
      <c r="H1032" s="186"/>
      <c r="J1032" s="187"/>
      <c r="K1032" s="187"/>
      <c r="L1032" s="187"/>
      <c r="M1032" s="187"/>
      <c r="N1032" s="187"/>
      <c r="O1032" s="187"/>
      <c r="P1032" s="187"/>
      <c r="Q1032" s="187"/>
      <c r="V1032" s="188"/>
      <c r="W1032" s="188"/>
      <c r="AH1032" s="43"/>
    </row>
    <row r="1033" spans="6:34" s="179" customFormat="1" x14ac:dyDescent="0.25">
      <c r="F1033" s="119"/>
      <c r="G1033" s="119"/>
      <c r="H1033" s="186"/>
      <c r="J1033" s="187"/>
      <c r="K1033" s="187"/>
      <c r="L1033" s="187"/>
      <c r="M1033" s="187"/>
      <c r="N1033" s="187"/>
      <c r="O1033" s="187"/>
      <c r="P1033" s="187"/>
      <c r="Q1033" s="187"/>
      <c r="V1033" s="188"/>
      <c r="W1033" s="188"/>
      <c r="AH1033" s="43"/>
    </row>
    <row r="1034" spans="6:34" s="179" customFormat="1" x14ac:dyDescent="0.25">
      <c r="F1034" s="119"/>
      <c r="G1034" s="119"/>
      <c r="H1034" s="186"/>
      <c r="J1034" s="187"/>
      <c r="K1034" s="187"/>
      <c r="L1034" s="187"/>
      <c r="M1034" s="187"/>
      <c r="N1034" s="187"/>
      <c r="O1034" s="187"/>
      <c r="P1034" s="187"/>
      <c r="Q1034" s="187"/>
      <c r="V1034" s="188"/>
      <c r="W1034" s="188"/>
      <c r="AH1034" s="43"/>
    </row>
    <row r="1035" spans="6:34" s="179" customFormat="1" x14ac:dyDescent="0.25">
      <c r="F1035" s="119"/>
      <c r="G1035" s="119"/>
      <c r="H1035" s="186"/>
      <c r="J1035" s="187"/>
      <c r="K1035" s="187"/>
      <c r="L1035" s="187"/>
      <c r="M1035" s="187"/>
      <c r="N1035" s="187"/>
      <c r="O1035" s="187"/>
      <c r="P1035" s="187"/>
      <c r="Q1035" s="187"/>
      <c r="V1035" s="188"/>
      <c r="W1035" s="188"/>
      <c r="AH1035" s="43"/>
    </row>
    <row r="1036" spans="6:34" s="179" customFormat="1" x14ac:dyDescent="0.25">
      <c r="F1036" s="119"/>
      <c r="G1036" s="119"/>
      <c r="H1036" s="186"/>
      <c r="J1036" s="187"/>
      <c r="K1036" s="187"/>
      <c r="L1036" s="187"/>
      <c r="M1036" s="187"/>
      <c r="N1036" s="187"/>
      <c r="O1036" s="187"/>
      <c r="P1036" s="187"/>
      <c r="Q1036" s="187"/>
      <c r="V1036" s="188"/>
      <c r="W1036" s="188"/>
      <c r="AH1036" s="43"/>
    </row>
    <row r="1037" spans="6:34" s="179" customFormat="1" x14ac:dyDescent="0.25">
      <c r="F1037" s="119"/>
      <c r="G1037" s="119"/>
      <c r="H1037" s="186"/>
      <c r="J1037" s="187"/>
      <c r="K1037" s="187"/>
      <c r="L1037" s="187"/>
      <c r="M1037" s="187"/>
      <c r="N1037" s="187"/>
      <c r="O1037" s="187"/>
      <c r="P1037" s="187"/>
      <c r="Q1037" s="187"/>
      <c r="V1037" s="188"/>
      <c r="W1037" s="188"/>
      <c r="AH1037" s="43"/>
    </row>
    <row r="1038" spans="6:34" s="179" customFormat="1" x14ac:dyDescent="0.25">
      <c r="F1038" s="119"/>
      <c r="G1038" s="119"/>
      <c r="H1038" s="186"/>
      <c r="J1038" s="187"/>
      <c r="K1038" s="187"/>
      <c r="L1038" s="187"/>
      <c r="M1038" s="187"/>
      <c r="N1038" s="187"/>
      <c r="O1038" s="187"/>
      <c r="P1038" s="187"/>
      <c r="Q1038" s="187"/>
      <c r="V1038" s="188"/>
      <c r="W1038" s="188"/>
      <c r="AH1038" s="43"/>
    </row>
    <row r="1039" spans="6:34" s="179" customFormat="1" x14ac:dyDescent="0.25">
      <c r="F1039" s="119"/>
      <c r="G1039" s="119"/>
      <c r="H1039" s="186"/>
      <c r="J1039" s="187"/>
      <c r="K1039" s="187"/>
      <c r="L1039" s="187"/>
      <c r="M1039" s="187"/>
      <c r="N1039" s="187"/>
      <c r="O1039" s="187"/>
      <c r="P1039" s="187"/>
      <c r="Q1039" s="187"/>
      <c r="V1039" s="188"/>
      <c r="W1039" s="188"/>
      <c r="AH1039" s="43"/>
    </row>
    <row r="1040" spans="6:34" s="179" customFormat="1" x14ac:dyDescent="0.25">
      <c r="F1040" s="119"/>
      <c r="G1040" s="119"/>
      <c r="H1040" s="186"/>
      <c r="J1040" s="187"/>
      <c r="K1040" s="187"/>
      <c r="L1040" s="187"/>
      <c r="M1040" s="187"/>
      <c r="N1040" s="187"/>
      <c r="O1040" s="187"/>
      <c r="P1040" s="187"/>
      <c r="Q1040" s="187"/>
      <c r="V1040" s="188"/>
      <c r="W1040" s="188"/>
      <c r="AH1040" s="43"/>
    </row>
    <row r="1041" spans="6:34" s="179" customFormat="1" x14ac:dyDescent="0.25">
      <c r="F1041" s="119"/>
      <c r="G1041" s="119"/>
      <c r="H1041" s="186"/>
      <c r="J1041" s="187"/>
      <c r="K1041" s="187"/>
      <c r="L1041" s="187"/>
      <c r="M1041" s="187"/>
      <c r="N1041" s="187"/>
      <c r="O1041" s="187"/>
      <c r="P1041" s="187"/>
      <c r="Q1041" s="187"/>
      <c r="V1041" s="188"/>
      <c r="W1041" s="188"/>
      <c r="AH1041" s="43"/>
    </row>
    <row r="1042" spans="6:34" s="179" customFormat="1" x14ac:dyDescent="0.25">
      <c r="F1042" s="119"/>
      <c r="G1042" s="119"/>
      <c r="H1042" s="186"/>
      <c r="J1042" s="187"/>
      <c r="K1042" s="187"/>
      <c r="L1042" s="187"/>
      <c r="M1042" s="187"/>
      <c r="N1042" s="187"/>
      <c r="O1042" s="187"/>
      <c r="P1042" s="187"/>
      <c r="Q1042" s="187"/>
      <c r="V1042" s="188"/>
      <c r="W1042" s="188"/>
      <c r="AH1042" s="43"/>
    </row>
    <row r="1043" spans="6:34" s="179" customFormat="1" x14ac:dyDescent="0.25">
      <c r="F1043" s="119"/>
      <c r="G1043" s="119"/>
      <c r="H1043" s="186"/>
      <c r="J1043" s="187"/>
      <c r="K1043" s="187"/>
      <c r="L1043" s="187"/>
      <c r="M1043" s="187"/>
      <c r="N1043" s="187"/>
      <c r="O1043" s="187"/>
      <c r="P1043" s="187"/>
      <c r="Q1043" s="187"/>
      <c r="V1043" s="188"/>
      <c r="W1043" s="188"/>
      <c r="AH1043" s="43"/>
    </row>
    <row r="1044" spans="6:34" s="179" customFormat="1" x14ac:dyDescent="0.25">
      <c r="F1044" s="119"/>
      <c r="G1044" s="119"/>
      <c r="H1044" s="186"/>
      <c r="J1044" s="187"/>
      <c r="K1044" s="187"/>
      <c r="L1044" s="187"/>
      <c r="M1044" s="187"/>
      <c r="N1044" s="187"/>
      <c r="O1044" s="187"/>
      <c r="P1044" s="187"/>
      <c r="Q1044" s="187"/>
      <c r="V1044" s="188"/>
      <c r="W1044" s="188"/>
      <c r="AH1044" s="43"/>
    </row>
    <row r="1045" spans="6:34" s="179" customFormat="1" x14ac:dyDescent="0.25">
      <c r="F1045" s="119"/>
      <c r="G1045" s="119"/>
      <c r="H1045" s="186"/>
      <c r="J1045" s="187"/>
      <c r="K1045" s="187"/>
      <c r="L1045" s="187"/>
      <c r="M1045" s="187"/>
      <c r="N1045" s="187"/>
      <c r="O1045" s="187"/>
      <c r="P1045" s="187"/>
      <c r="Q1045" s="187"/>
      <c r="V1045" s="188"/>
      <c r="W1045" s="188"/>
      <c r="AH1045" s="43"/>
    </row>
    <row r="1046" spans="6:34" s="179" customFormat="1" x14ac:dyDescent="0.25">
      <c r="F1046" s="119"/>
      <c r="G1046" s="119"/>
      <c r="H1046" s="186"/>
      <c r="J1046" s="187"/>
      <c r="K1046" s="187"/>
      <c r="L1046" s="187"/>
      <c r="M1046" s="187"/>
      <c r="N1046" s="187"/>
      <c r="O1046" s="187"/>
      <c r="P1046" s="187"/>
      <c r="Q1046" s="187"/>
      <c r="V1046" s="188"/>
      <c r="W1046" s="188"/>
      <c r="AH1046" s="43"/>
    </row>
    <row r="1047" spans="6:34" s="179" customFormat="1" x14ac:dyDescent="0.25">
      <c r="F1047" s="119"/>
      <c r="G1047" s="119"/>
      <c r="H1047" s="186"/>
      <c r="J1047" s="187"/>
      <c r="K1047" s="187"/>
      <c r="L1047" s="187"/>
      <c r="M1047" s="187"/>
      <c r="N1047" s="187"/>
      <c r="O1047" s="187"/>
      <c r="P1047" s="187"/>
      <c r="Q1047" s="187"/>
      <c r="V1047" s="188"/>
      <c r="W1047" s="188"/>
      <c r="AH1047" s="43"/>
    </row>
    <row r="1048" spans="6:34" s="179" customFormat="1" x14ac:dyDescent="0.25">
      <c r="F1048" s="119"/>
      <c r="G1048" s="119"/>
      <c r="H1048" s="186"/>
      <c r="J1048" s="187"/>
      <c r="K1048" s="187"/>
      <c r="L1048" s="187"/>
      <c r="M1048" s="187"/>
      <c r="N1048" s="187"/>
      <c r="O1048" s="187"/>
      <c r="P1048" s="187"/>
      <c r="Q1048" s="187"/>
      <c r="V1048" s="188"/>
      <c r="W1048" s="188"/>
      <c r="AH1048" s="43"/>
    </row>
    <row r="1049" spans="6:34" s="179" customFormat="1" x14ac:dyDescent="0.25">
      <c r="F1049" s="119"/>
      <c r="G1049" s="119"/>
      <c r="H1049" s="186"/>
      <c r="J1049" s="187"/>
      <c r="K1049" s="187"/>
      <c r="L1049" s="187"/>
      <c r="M1049" s="187"/>
      <c r="N1049" s="187"/>
      <c r="O1049" s="187"/>
      <c r="P1049" s="187"/>
      <c r="Q1049" s="187"/>
      <c r="V1049" s="188"/>
      <c r="W1049" s="188"/>
      <c r="AH1049" s="43"/>
    </row>
    <row r="1050" spans="6:34" s="179" customFormat="1" x14ac:dyDescent="0.25">
      <c r="F1050" s="119"/>
      <c r="G1050" s="119"/>
      <c r="H1050" s="186"/>
      <c r="J1050" s="187"/>
      <c r="K1050" s="187"/>
      <c r="L1050" s="187"/>
      <c r="M1050" s="187"/>
      <c r="N1050" s="187"/>
      <c r="O1050" s="187"/>
      <c r="P1050" s="187"/>
      <c r="Q1050" s="187"/>
      <c r="V1050" s="188"/>
      <c r="W1050" s="188"/>
      <c r="AH1050" s="43"/>
    </row>
    <row r="1051" spans="6:34" s="179" customFormat="1" x14ac:dyDescent="0.25">
      <c r="F1051" s="119"/>
      <c r="G1051" s="119"/>
      <c r="H1051" s="186"/>
      <c r="J1051" s="187"/>
      <c r="K1051" s="187"/>
      <c r="L1051" s="187"/>
      <c r="M1051" s="187"/>
      <c r="N1051" s="187"/>
      <c r="O1051" s="187"/>
      <c r="P1051" s="187"/>
      <c r="Q1051" s="187"/>
      <c r="V1051" s="188"/>
      <c r="W1051" s="188"/>
      <c r="AH1051" s="43"/>
    </row>
    <row r="1052" spans="6:34" s="179" customFormat="1" x14ac:dyDescent="0.25">
      <c r="F1052" s="119"/>
      <c r="G1052" s="119"/>
      <c r="H1052" s="186"/>
      <c r="J1052" s="187"/>
      <c r="K1052" s="187"/>
      <c r="L1052" s="187"/>
      <c r="M1052" s="187"/>
      <c r="N1052" s="187"/>
      <c r="O1052" s="187"/>
      <c r="P1052" s="187"/>
      <c r="Q1052" s="187"/>
      <c r="V1052" s="188"/>
      <c r="W1052" s="188"/>
      <c r="AH1052" s="43"/>
    </row>
    <row r="1053" spans="6:34" s="179" customFormat="1" x14ac:dyDescent="0.25">
      <c r="F1053" s="119"/>
      <c r="G1053" s="119"/>
      <c r="H1053" s="186"/>
      <c r="J1053" s="187"/>
      <c r="K1053" s="187"/>
      <c r="L1053" s="187"/>
      <c r="M1053" s="187"/>
      <c r="N1053" s="187"/>
      <c r="O1053" s="187"/>
      <c r="P1053" s="187"/>
      <c r="Q1053" s="187"/>
      <c r="V1053" s="188"/>
      <c r="W1053" s="188"/>
      <c r="AH1053" s="43"/>
    </row>
    <row r="1054" spans="6:34" s="179" customFormat="1" x14ac:dyDescent="0.25">
      <c r="F1054" s="119"/>
      <c r="G1054" s="119"/>
      <c r="H1054" s="186"/>
      <c r="J1054" s="187"/>
      <c r="K1054" s="187"/>
      <c r="L1054" s="187"/>
      <c r="M1054" s="187"/>
      <c r="N1054" s="187"/>
      <c r="O1054" s="187"/>
      <c r="P1054" s="187"/>
      <c r="Q1054" s="187"/>
      <c r="V1054" s="188"/>
      <c r="W1054" s="188"/>
      <c r="AH1054" s="43"/>
    </row>
    <row r="1055" spans="6:34" s="179" customFormat="1" x14ac:dyDescent="0.25">
      <c r="F1055" s="119"/>
      <c r="G1055" s="119"/>
      <c r="H1055" s="186"/>
      <c r="J1055" s="187"/>
      <c r="K1055" s="187"/>
      <c r="L1055" s="187"/>
      <c r="M1055" s="187"/>
      <c r="N1055" s="187"/>
      <c r="O1055" s="187"/>
      <c r="P1055" s="187"/>
      <c r="Q1055" s="187"/>
      <c r="V1055" s="188"/>
      <c r="W1055" s="188"/>
      <c r="AH1055" s="43"/>
    </row>
    <row r="1056" spans="6:34" s="179" customFormat="1" x14ac:dyDescent="0.25">
      <c r="F1056" s="119"/>
      <c r="G1056" s="119"/>
      <c r="H1056" s="186"/>
      <c r="J1056" s="187"/>
      <c r="K1056" s="187"/>
      <c r="L1056" s="187"/>
      <c r="M1056" s="187"/>
      <c r="N1056" s="187"/>
      <c r="O1056" s="187"/>
      <c r="P1056" s="187"/>
      <c r="Q1056" s="187"/>
      <c r="V1056" s="188"/>
      <c r="W1056" s="188"/>
      <c r="AH1056" s="43"/>
    </row>
    <row r="1057" spans="6:34" s="179" customFormat="1" x14ac:dyDescent="0.25">
      <c r="F1057" s="119"/>
      <c r="G1057" s="119"/>
      <c r="H1057" s="186"/>
      <c r="J1057" s="187"/>
      <c r="K1057" s="187"/>
      <c r="L1057" s="187"/>
      <c r="M1057" s="187"/>
      <c r="N1057" s="187"/>
      <c r="O1057" s="187"/>
      <c r="P1057" s="187"/>
      <c r="Q1057" s="187"/>
      <c r="V1057" s="188"/>
      <c r="W1057" s="188"/>
      <c r="AH1057" s="43"/>
    </row>
    <row r="1058" spans="6:34" s="179" customFormat="1" x14ac:dyDescent="0.25">
      <c r="F1058" s="119"/>
      <c r="G1058" s="119"/>
      <c r="H1058" s="186"/>
      <c r="J1058" s="187"/>
      <c r="K1058" s="187"/>
      <c r="L1058" s="187"/>
      <c r="M1058" s="187"/>
      <c r="N1058" s="187"/>
      <c r="O1058" s="187"/>
      <c r="P1058" s="187"/>
      <c r="Q1058" s="187"/>
      <c r="V1058" s="188"/>
      <c r="W1058" s="188"/>
      <c r="AH1058" s="43"/>
    </row>
    <row r="1059" spans="6:34" s="179" customFormat="1" x14ac:dyDescent="0.25">
      <c r="F1059" s="119"/>
      <c r="G1059" s="119"/>
      <c r="H1059" s="186"/>
      <c r="J1059" s="187"/>
      <c r="K1059" s="187"/>
      <c r="L1059" s="187"/>
      <c r="M1059" s="187"/>
      <c r="N1059" s="187"/>
      <c r="O1059" s="187"/>
      <c r="P1059" s="187"/>
      <c r="Q1059" s="187"/>
      <c r="V1059" s="188"/>
      <c r="W1059" s="188"/>
      <c r="AH1059" s="43"/>
    </row>
    <row r="1060" spans="6:34" s="179" customFormat="1" x14ac:dyDescent="0.25">
      <c r="F1060" s="119"/>
      <c r="G1060" s="119"/>
      <c r="H1060" s="186"/>
      <c r="J1060" s="187"/>
      <c r="K1060" s="187"/>
      <c r="L1060" s="187"/>
      <c r="M1060" s="187"/>
      <c r="N1060" s="187"/>
      <c r="O1060" s="187"/>
      <c r="P1060" s="187"/>
      <c r="Q1060" s="187"/>
      <c r="V1060" s="188"/>
      <c r="W1060" s="188"/>
      <c r="AH1060" s="43"/>
    </row>
    <row r="1061" spans="6:34" s="179" customFormat="1" x14ac:dyDescent="0.25">
      <c r="F1061" s="119"/>
      <c r="G1061" s="119"/>
      <c r="H1061" s="186"/>
      <c r="J1061" s="187"/>
      <c r="K1061" s="187"/>
      <c r="L1061" s="187"/>
      <c r="M1061" s="187"/>
      <c r="N1061" s="187"/>
      <c r="O1061" s="187"/>
      <c r="P1061" s="187"/>
      <c r="Q1061" s="187"/>
      <c r="V1061" s="188"/>
      <c r="W1061" s="188"/>
      <c r="AH1061" s="43"/>
    </row>
    <row r="1062" spans="6:34" s="179" customFormat="1" x14ac:dyDescent="0.25">
      <c r="F1062" s="119"/>
      <c r="G1062" s="119"/>
      <c r="H1062" s="186"/>
      <c r="J1062" s="187"/>
      <c r="K1062" s="187"/>
      <c r="L1062" s="187"/>
      <c r="M1062" s="187"/>
      <c r="N1062" s="187"/>
      <c r="O1062" s="187"/>
      <c r="P1062" s="187"/>
      <c r="Q1062" s="187"/>
      <c r="V1062" s="188"/>
      <c r="W1062" s="188"/>
      <c r="AH1062" s="43"/>
    </row>
    <row r="1063" spans="6:34" s="179" customFormat="1" x14ac:dyDescent="0.25">
      <c r="F1063" s="119"/>
      <c r="G1063" s="119"/>
      <c r="H1063" s="186"/>
      <c r="J1063" s="187"/>
      <c r="K1063" s="187"/>
      <c r="L1063" s="187"/>
      <c r="M1063" s="187"/>
      <c r="N1063" s="187"/>
      <c r="O1063" s="187"/>
      <c r="P1063" s="187"/>
      <c r="Q1063" s="187"/>
      <c r="V1063" s="188"/>
      <c r="W1063" s="188"/>
      <c r="AH1063" s="43"/>
    </row>
    <row r="1064" spans="6:34" s="179" customFormat="1" x14ac:dyDescent="0.25">
      <c r="F1064" s="119"/>
      <c r="G1064" s="119"/>
      <c r="H1064" s="186"/>
      <c r="J1064" s="187"/>
      <c r="K1064" s="187"/>
      <c r="L1064" s="187"/>
      <c r="M1064" s="187"/>
      <c r="N1064" s="187"/>
      <c r="O1064" s="187"/>
      <c r="P1064" s="187"/>
      <c r="Q1064" s="187"/>
      <c r="V1064" s="188"/>
      <c r="W1064" s="188"/>
      <c r="AH1064" s="43"/>
    </row>
    <row r="1065" spans="6:34" s="179" customFormat="1" x14ac:dyDescent="0.25">
      <c r="F1065" s="119"/>
      <c r="G1065" s="119"/>
      <c r="H1065" s="186"/>
      <c r="J1065" s="187"/>
      <c r="K1065" s="187"/>
      <c r="L1065" s="187"/>
      <c r="M1065" s="187"/>
      <c r="N1065" s="187"/>
      <c r="O1065" s="187"/>
      <c r="P1065" s="187"/>
      <c r="Q1065" s="187"/>
      <c r="V1065" s="188"/>
      <c r="W1065" s="188"/>
      <c r="AH1065" s="43"/>
    </row>
    <row r="1066" spans="6:34" s="179" customFormat="1" x14ac:dyDescent="0.25">
      <c r="F1066" s="119"/>
      <c r="G1066" s="119"/>
      <c r="H1066" s="186"/>
      <c r="J1066" s="187"/>
      <c r="K1066" s="187"/>
      <c r="L1066" s="187"/>
      <c r="M1066" s="187"/>
      <c r="N1066" s="187"/>
      <c r="O1066" s="187"/>
      <c r="P1066" s="187"/>
      <c r="Q1066" s="187"/>
      <c r="V1066" s="188"/>
      <c r="W1066" s="188"/>
      <c r="AH1066" s="43"/>
    </row>
    <row r="1067" spans="6:34" s="179" customFormat="1" x14ac:dyDescent="0.25">
      <c r="F1067" s="119"/>
      <c r="G1067" s="119"/>
      <c r="H1067" s="186"/>
      <c r="J1067" s="187"/>
      <c r="K1067" s="187"/>
      <c r="L1067" s="187"/>
      <c r="M1067" s="187"/>
      <c r="N1067" s="187"/>
      <c r="O1067" s="187"/>
      <c r="P1067" s="187"/>
      <c r="Q1067" s="187"/>
      <c r="V1067" s="188"/>
      <c r="W1067" s="188"/>
      <c r="AH1067" s="43"/>
    </row>
    <row r="1068" spans="6:34" s="179" customFormat="1" x14ac:dyDescent="0.25">
      <c r="F1068" s="119"/>
      <c r="G1068" s="119"/>
      <c r="H1068" s="186"/>
      <c r="J1068" s="187"/>
      <c r="K1068" s="187"/>
      <c r="L1068" s="187"/>
      <c r="M1068" s="187"/>
      <c r="N1068" s="187"/>
      <c r="O1068" s="187"/>
      <c r="P1068" s="187"/>
      <c r="Q1068" s="187"/>
      <c r="V1068" s="188"/>
      <c r="W1068" s="188"/>
      <c r="AH1068" s="43"/>
    </row>
    <row r="1069" spans="6:34" s="179" customFormat="1" x14ac:dyDescent="0.25">
      <c r="F1069" s="119"/>
      <c r="G1069" s="119"/>
      <c r="H1069" s="186"/>
      <c r="J1069" s="187"/>
      <c r="K1069" s="187"/>
      <c r="L1069" s="187"/>
      <c r="M1069" s="187"/>
      <c r="N1069" s="187"/>
      <c r="O1069" s="187"/>
      <c r="P1069" s="187"/>
      <c r="Q1069" s="187"/>
      <c r="V1069" s="188"/>
      <c r="W1069" s="188"/>
      <c r="AH1069" s="43"/>
    </row>
    <row r="1070" spans="6:34" s="179" customFormat="1" x14ac:dyDescent="0.25">
      <c r="F1070" s="119"/>
      <c r="G1070" s="119"/>
      <c r="H1070" s="186"/>
      <c r="J1070" s="187"/>
      <c r="K1070" s="187"/>
      <c r="L1070" s="187"/>
      <c r="M1070" s="187"/>
      <c r="N1070" s="187"/>
      <c r="O1070" s="187"/>
      <c r="P1070" s="187"/>
      <c r="Q1070" s="187"/>
      <c r="V1070" s="188"/>
      <c r="W1070" s="188"/>
      <c r="AH1070" s="43"/>
    </row>
    <row r="1071" spans="6:34" s="179" customFormat="1" x14ac:dyDescent="0.25">
      <c r="F1071" s="119"/>
      <c r="G1071" s="119"/>
      <c r="H1071" s="186"/>
      <c r="J1071" s="187"/>
      <c r="K1071" s="187"/>
      <c r="L1071" s="187"/>
      <c r="M1071" s="187"/>
      <c r="N1071" s="187"/>
      <c r="O1071" s="187"/>
      <c r="P1071" s="187"/>
      <c r="Q1071" s="187"/>
      <c r="V1071" s="188"/>
      <c r="W1071" s="188"/>
      <c r="AH1071" s="43"/>
    </row>
    <row r="1072" spans="6:34" s="179" customFormat="1" x14ac:dyDescent="0.25">
      <c r="F1072" s="119"/>
      <c r="G1072" s="119"/>
      <c r="H1072" s="186"/>
      <c r="J1072" s="187"/>
      <c r="K1072" s="187"/>
      <c r="L1072" s="187"/>
      <c r="M1072" s="187"/>
      <c r="N1072" s="187"/>
      <c r="O1072" s="187"/>
      <c r="P1072" s="187"/>
      <c r="Q1072" s="187"/>
      <c r="V1072" s="188"/>
      <c r="W1072" s="188"/>
      <c r="AH1072" s="43"/>
    </row>
    <row r="1073" spans="6:34" s="179" customFormat="1" x14ac:dyDescent="0.25">
      <c r="F1073" s="119"/>
      <c r="G1073" s="119"/>
      <c r="H1073" s="186"/>
      <c r="J1073" s="187"/>
      <c r="K1073" s="187"/>
      <c r="L1073" s="187"/>
      <c r="M1073" s="187"/>
      <c r="N1073" s="187"/>
      <c r="O1073" s="187"/>
      <c r="P1073" s="187"/>
      <c r="Q1073" s="187"/>
      <c r="V1073" s="188"/>
      <c r="W1073" s="188"/>
      <c r="AH1073" s="43"/>
    </row>
    <row r="1074" spans="6:34" s="179" customFormat="1" x14ac:dyDescent="0.25">
      <c r="F1074" s="119"/>
      <c r="G1074" s="119"/>
      <c r="H1074" s="186"/>
      <c r="J1074" s="187"/>
      <c r="K1074" s="187"/>
      <c r="L1074" s="187"/>
      <c r="M1074" s="187"/>
      <c r="N1074" s="187"/>
      <c r="O1074" s="187"/>
      <c r="P1074" s="187"/>
      <c r="Q1074" s="187"/>
      <c r="V1074" s="188"/>
      <c r="W1074" s="188"/>
      <c r="AH1074" s="43"/>
    </row>
    <row r="1075" spans="6:34" s="179" customFormat="1" x14ac:dyDescent="0.25">
      <c r="F1075" s="119"/>
      <c r="G1075" s="119"/>
      <c r="H1075" s="186"/>
      <c r="J1075" s="187"/>
      <c r="K1075" s="187"/>
      <c r="L1075" s="187"/>
      <c r="M1075" s="187"/>
      <c r="N1075" s="187"/>
      <c r="O1075" s="187"/>
      <c r="P1075" s="187"/>
      <c r="Q1075" s="187"/>
      <c r="V1075" s="188"/>
      <c r="W1075" s="188"/>
      <c r="AH1075" s="43"/>
    </row>
  </sheetData>
  <protectedRanges>
    <protectedRange sqref="H1:H2 AH681:XFD681 AH674:AJ674 AE672:AE674 S672:T674 V672:W674 Y673:Z674 AB672:AC674 Y7:Z11 V7:W11 S7:T11 AE7:AE11 B29:C29 S21:T22 V21:W22 Y21:Z22 AB21:AC22 AE21:AE22 C747:C759 W29 Z29 AB29:AC29 F751:K752 B235:C241 AE29 AE747:AE766 AH29 S330:T330 S281 V281 Y281 AE200:AE207 AH202:AH207 AB219:AC223 I210:K211 S313:T316 AE235 W210:W212 S318:T328 B71:C75 AH130:AH138 O237 M281 Y181:Z187 T210:T212 B259:C262 B139:B141 F210:F211 V219:W223 T219:T223 S209:T209 V209:W209 Y209:Z209 S235:T235 V235:W235 Y235:Z235 C275 AB181:AC187 B347:C353 C280 O181:O183 AH281:AH286 AB288:AC292 AE288:AE292 S288:T292 V318:W328 V337:Z338 P341 B417:C425 AE79:AE91 F79:F91 F673:K673 B34:C37 T676 AK672:XFD674 E674:K674 E676:K676 V676:W688 S677:T688 AE676:AE688 F677:K678 Y676:Z685 V35:W37 AB47:AC53 Y35:Z37 AB35:AC37 D681:G681 F689:G689 S689:AC689 AB691:AC693 Y318:Z328 AB314:AC316 W131 E700 Y697:Z699 V690:W699 S690:T699 AE690:AE699 C383 AB695:AC699 E697:G699 AH691:AJ692 B21:C22 D701:K703 C374 AH703:AJ703 C346 B216:B218 D710:K710 Q713 Q701:Q710 R120:T120 W120 AE281:AE286 AB281:AC286 E235:G235 R29:T29 Q681:Q699 F313 E29:G29 E457:G457 AH715:AJ715 AB130:AC135 W346:Z346 K346:K353 AK346:XFD353 C305 I47:K53 M29:P29 AE276:AE279 AH275:AH279 F121:K121 AE219:AE223 AH235 E238:K238 E181:G182 M21:M22 AE35:AE37 E12:E13 AE181:AE187 M235:P235 M294:M295 M318:Q318 P294:Q295 F6:K6 E21:G22 P21:P22 AH21:AH22 AK21:XFD22 Q457 V765:W766 AE305 AB765:AC766 E34:G37 G750 F384:G384 F747:G749 Q747:Q766 F209:K209 R130:T131 AB93:AC95 AE605 E748:E755 D706 E383:G383 E294:F295 E680:K680 D690:G690 S305:T305 Y305:Z305 E759:E766 F761:G763 R331:T331 Y219:Z223 AH72:AH75 AH164:AH166 AK181:XFD187 AK200:XFD207 AH259:AH269 AK288:XFD292 AK313:XFD316 B14:C14 M120:P120 S35:T37 F131:K131 E93:G93 I1:XFD3 C329 E768:E770 AH729:AJ731 AE304:AF304 Y747:Z766 AB747:AC747 S747:T766 V747:W763 H748:K750 E439:G440 B120:C123 AB79:AC91 AB209:AC214 AB200:AC202 P202 Z210:Z212 S200:T207 M209:M211 S259:T262 AB259:AC262 AE259:AE262 AH314 AE314:AE316 E236:F237 S236 V236 Y236 M236:N237 C337:C338 E314:G314 I313:K316 Q313 AE337:AE338 AB337:AC338 AB7:AC11 V121:W123 AB123:AC123 AB430:AC430 AH678 AK677:XFD678 AH680 AK680:XFD680 AH682:AH686 AK682:XFD686 AH689:AH690 AH696:AJ696 AH693:AH695 AH697:AH699 AH701:AH702 AH705:AJ705 AH704 AH707:AJ708 AH706 AH709:AH714 AH723:AJ723 AH716:AH722 AH724:AH728 AH732:AH733 AH753:AH754 AI751:AJ754 AK71:XFD75 AH7:AH11 AB71:AC75 E71:F73 I71:K75 B130:C135 V329:Z329 Y71:Z75 AE71:AE75 E99 AB440:AC449 E448:G448 M194:P194 AE452:AE453 B452:C453 AB347:AC363 F452:G453 R452:T453 V452:Z453 AB452:AC453 I452:K453 AH453:XFD453 B164:C166 Y313:Z316 AB178:AC179 S181:T187 I181:K187 AB294:AC297 S294:T303 AE294:AE303 E80:E83 S585:AC591 E385:G385 V189:W195 AE189:AE198 AB189:AC191 Y189:Z196 S189:T196 B62:C64 E190:K190 F196:K196 F133:G135 F259:K259 E430:E433 S238:T241 Y238:Z241 AB238:AC239 V238:W241 E65 E62:K63 AE62:AE64 AH62:AH64 AB270:AC279 S270:S274 E270 S62:T69 AB62:AC69 B209:C212 W196 AE365:AE425 AB365:AC374 B318:C328 Y14:Z14 S14:T14 AB14:AC14 AH14:AH19 E14:F14 M238:O241 F95:G95 Y605:Z605 S605:T605 E151:E152 O259:O262 M259:M262 AH605 B276:C279 AH178:AH179 AB164:AC166 C332 Q332 S332:T332 V330:W332 AE318:AE332 Y330:Z332 AB318:AC332 AB701:AC706 Y457:Z457 AE457 V457:W457 S457:T457 Q725:Q743 E731:K731 AK14:XFD19 B79:C91 AK189:XFD198 B375:C382 AI452:XFD452 S592:AB592 AK333:XFD336 B605 E354:G355 AB677:AC680 AK796:XFD809 AB39:AC45 I39:K45 E39:G39 E204:K204 M331:M332 M34:P37 AK219:XFD223 M130:N130 M374:Q374 M121:T123 M337:T337 M329:T329 AB226:AC233 AH225:AH233 E226:E227 M192:Q193 G24:G26 AE14 V71:W75 V200:W207 V288:W292 V14:W14 V62:W69 V79:W91 V605:W605 V130:W130 V132:W135 V259:W262 V181:W187 V313:W316 Y122:AC122 Y123:Z123 Y130:Z135 Y259:Z262 Y270:Z279 Y304:AC304 B100:B119 AK29:XFD29 B200:C207 B181:C187 B219:C223 AK235:XFD242 Q585:Q603 AH318:AH322 AK318:XFD322 AK7:XFD11 B39:C45 C543 I105:K120 AK79:XFD91 AK605:XFD605 AK225:XFD233 B189:C198 B458:C542 S595:V603 B6:C11 C761:C766 AH679:XFD679 E811:E822 AB241:AC241 AB376:AC383 AB682:AC687 AB457:AC457 AB730:AC730 AB732:AC745 AB750:AC759 AB761:AC763 AB97:AC98 AB100:AC121 AB193:AC198 AB204:AC204 E55:E56 V294:W311 E315:F316 E796:E809 AH734:AJ745 AH755:AJ767 AI676:XFD676 E825:E893 E9:G9 I605:K605 G263:G269 F40:G40 O39:P40 B313:C316 F41:F45 AE209:AE214 E416:G419 F420:G425 E288:K289 F290:G292 I290:K292 M288:Q289 AH288:AH289 E296:G296 M296:Q297 Y306:AC311 C676:C699 F379:K379 E219:G221 F222:K223 G136:G138 R136:R138 AE131:AE138 F183:F187 M181:M183 M354:T355 V270:W279 M195:Q196 F356:G363 R356:T358 AE346:AE363 T359:T363 AE439:AE449 AH306:AH311 E47:G51 AH366:XFD419 F74:F75 B365:C373 F368:K368 M335:M336 AH335:AH336 M346:P353 R346:T353 H98:K98 H101:K101 V93:W98 V100:W119 AH93:AH98 AH100:AH123 S93:T98 S100:T119 Y93:Z98 B98 AE93:AE98 E772:E780 AB708:AC728 S701:T745 V701:W745 AE701:AE745 Y702:Z745 AK689:XFD745 Q716:Q721 E713:K713 C703:C745 F449:K449 E132:G132 AK164:XFD179 E178:G178 E275:G277 E281:G281 E282:I282 E304:G304 E306:G306 E330:F330 E365:G367 E707:K708 E682:K683 D693:K693 E691:G692 O78:O79 E331:G332 E164:G166 E346:I347 F351:G353 G38 E11:G11 E10:F10 I14:K14 E94:F94 F96 F97:G97 G216 G218 F305:K305 E739:K739 E738:F738 H738:K738 G65 G317 E319:K319 E298:G298 E297:F297 O873 G612 G632 G648 G651:G653 G663 G787 G818 G826 G829 G833 G869 E729:F730 H729:K730 O81 P93:Q93 M96:Q98 M93:M95 P95:Q95 N450 M453:O453 N454:O454 N604:O604 M605:Q605 N606:O638 N640:O640 N642:O643 N645:O648 N651:O653 N675:O676 M678:O679 M701:O718 N745:O746 M747:O749 F766:K766 F764 H764:K764 E374:G377 M375:N380 M219:M223 O219:P223 H66 E337:G338 M340:M342 F441:G447 O247:O248 X593:AC603 S71:T75 F172:G177 F283:I283 H83:K84 AH294:AH304 F299:G303 Y294:Z303 F169:K171 F307:G311 M305:N309 M290:P292 B288:C292 Y288:Z292 F7:G8 I7:K11 I21:K22 I29:K29 I34:K37 E64:G64 I64:K64 I79:K82 I85:K91 I93:K97 I100:K100 H103:K104 I102:K102 F120:G120 I122:K123 F130:G130 I130:K130 I132:K135 F167:G168 I164:K168 O172:O176 I172:K179 E189:G189 I189:K189 E192:K192 E191:G191 I191:K191 E194:K194 E193:G193 I193:K193 F195:G195 I195:K195 E200:G203 I200:K203 I219:K221 I235:K237 E239:G241 I239:K241 E260:G262 I260:K262 I275:K281 F284:G286 I284:I286 I294:K304 I306:K311 E318:G318 I318:K318 E320:G323 I320:K327 I329:K332 I337:K338 E349:I349 E348:G348 I348 E350:G350 I350:I353 I354:K363 I365:K367 F378:G378 F380:G382 I416:K425 I439:K448 F672:G672 I672:K672 E679:G679 I679:K679 I681:K681 E685:K685 E684:G684 I684:K684 E687:K687 E686:G686 I686:K686 E688:G688 I688:K692 D695:K696 D694:G694 I694:K694 I697:K699 E704:G706 I704:K706 D709:G709 I709:K709 D712:K712 D711:G711 I711:K711 E715:K716 E714:G714 I714:K714 E719:K721 E717:G718 I717:K718 E727:K728 E722:G726 I722:K726 E734:K734 E732:G733 I732:K733 E737:K737 E735:G736 I735:K736 E741:K742 E740:G740 I740:K740 E744:K744 E743:G743 I743:K743 E745:G745 I745:K745 I747:K747 F754:K755 F753:G753 I753:K753 F757:K759 F756:G756 I756:K756 I761:K763 F765:G765 I765:K765 M62:P62 F324:G329 F369:G373 E122:G123 G126:G127 M63:Q63 M64:P64 M751:O753 M750 O750 O94:Q94 M452 O452 M754:M755 P165:Q166 P164 O168 M728:O733 M727 O727 O170 M680 O680 M694:O699 M693 M735:O738 M734 M131:M135 N131:N137 O130:P131 O132:T135 O136 M720:O726 M719 O719 O744 M298:M303 O298:Q298 M740:O743 M739 O299:P303 O305 O306:T306 M681:O692 M304:T304 O307:P309 O332 O331:P331 N330:N336 O340:P340 M338 O338:T338 O342:Q342 N338:N342 M756:O766 O375:P375 O376:Q377 N673:O673 O378:P380 N700 O417:Q419 O420:O425 F52:G53 F205:K205 AI420:XFD425 N65:N69 AE100:AE123 Y62:Z69 D585:G603 P207 AK209:XFD214 M100:Q119 C672:C674 I457:K515 D458:G488 M457:O603 AK751:XFD794 E783:E794 B294:C304 C354:C363 AH457:XFD603 AH687:XFD688 B384:C398 AK130:XFD138 F278:G280 G98:G119 Y100:Z121 AB385:AC418 C399:C416 AE164:AE179 Y164:Z179 V164:W179 S164:T179 C167:C177 F386:G415 B439:C449 S365:T425 V365:W425 Y365:Z425 M253:O253 I369:K378 F179:G179 M178:Q179 B178:C179 P24:P26 F206:G207 I206:K207 Y200:Z207 AC205:AC207 O203:P206 M200:M207 M47:P53 B47:C53 I380:K414 M197:P198 S593:U594 AH192:AH198 C457 AK294:XFD311 AH323:XFD332 O365:P373 M365:M373 V439:Z449 M439:T449 M310:P311 B306:C311 AE306:AF311 R307:T311 O84:O90 N30:N33 P30:P33 AK34:XFD53 M417:N425 M164:M177 B93:C97 M39:M44 P41:P44 O284:O286 B281:C286 P343:P345 M343:N345 I524:K603 N138:O138 AK93:XFD123 M381:Q416 M356:O363 V347:Z363 R359:R363 B330:C331 S79:T91 Y79:Z91 M275:P279 S275:T279 AK259:XFD286 AK811:XFD893 AI365:XFD365 AK62:XFD69 AH354:XFD363 AH747:XFD750 AH439:XFD449 Q458:AC584 AH337:XFD338 A1:G3 B544:C603 F489:G515 I328:J328 I415:J415 H516:K516 H520:K520 I517:K519 H523:K523 I521:K522 A894:XFD896 AE689:AF689 AE130:AF130 AE458:AF603 A898:XFD1048576 A897:Y897 AB897:XFD897" name="maria" securityDescriptor="O:WDG:WDD:(A;;CC;;;S-1-5-21-3048853270-2157241324-869001692-3245)(A;;CC;;;S-1-5-21-3048853270-2157241324-869001692-1007)"/>
    <protectedRange sqref="R4:AH4 AA5:AA11 R12:T13 AA14 AB5:AC5 AH70 AH315:AH316 AE12:AE13 AH12:AH13 V12:W13 Y12:AC13 AG5:AG226 AG228:AG893 AD5:AD893" name="maria_1_1_1" securityDescriptor="O:WDG:WDD:(A;;CC;;;S-1-5-21-3048853270-2157241324-869001692-3245)(A;;CC;;;S-1-5-21-3048853270-2157241324-869001692-1007)"/>
    <protectedRange sqref="P5:Q6 Q305 Q78 Q164 Q217:Q218 Q375 Q666 Q722:Q724 Q745 P7:P11 P14 Q347:Q353 P19" name="maria_1_3" securityDescriptor="O:WDG:WDD:(A;;CC;;;S-1-5-21-3048853270-2157241324-869001692-3245)(A;;CC;;;S-1-5-21-3048853270-2157241324-869001692-1007)"/>
    <protectedRange sqref="R5:R11 R14 AF5:AF14 U5:U14 X5:X14 U605 X605 X420:X425 U420:U425 AF20:AF53 U20:U98 U270:U328 X270:X328 X20:X98 X100:X126 U100:U126 U130:U262 X130:X262" name="maria_1_1_2" securityDescriptor="O:WDG:WDD:(A;;CC;;;S-1-5-21-3048853270-2157241324-869001692-3245)(A;;CC;;;S-1-5-21-3048853270-2157241324-869001692-1007)"/>
    <protectedRange sqref="AK20:XFD20 AE20 S20:T20 V20:W20 Y20:AA20 I20:K20 AA21:AA22 I23:K23 B23:C23 N21:O22 E6 E20:G20 AK23:XFD23 AE23 S23:T23 V23:W23 Y23:AA23 M23:O26 E23:G23 M20:O20 B20:C20" name="maria_4" securityDescriptor="O:WDG:WDD:(A;;CC;;;S-1-5-21-3048853270-2157241324-869001692-3245)(A;;CC;;;S-1-5-21-3048853270-2157241324-869001692-1007)"/>
    <protectedRange sqref="P20:Q20 Q21:Q22 P23:Q23 Q29:Q31 Q7:Q11 Q34:Q37 Q14 Q378 Q335:Q336 Q222:Q223 Q299:Q303 Q24:Q26 Q47:Q53 Q307:Q311 Q39:Q44" name="maria_1_4" securityDescriptor="O:WDG:WDD:(A;;CC;;;S-1-5-21-3048853270-2157241324-869001692-3245)(A;;CC;;;S-1-5-21-3048853270-2157241324-869001692-1007)"/>
    <protectedRange sqref="AH20 R20:R23 AH23" name="maria_1_1_3" securityDescriptor="O:WDG:WDD:(A;;CC;;;S-1-5-21-3048853270-2157241324-869001692-3245)(A;;CC;;;S-1-5-21-3048853270-2157241324-869001692-1007)"/>
    <protectedRange sqref="E27 T28 AK28:XFD28 D448:D449 M28:O28 AB28:AC28 Y28:Z28 V28:W28 B27 AE28 AE124:AE126 S124:T126 V124:W126 Y124:Z126 AB125:AC126 AH124:AH129 AK124:XFD129 E124:G125 M124:O126 E126:F126 D605 O129 D196 D7:E8 D22 B28:G28 D35 D63 D79 D94:D95 D120:D121 D130:D131 D164 D181 D190 D192 D200 D209:D210 D218 D235:D236 D259:D260 D288 D295 D313 D319 D329 D346 D354 D376 D384:E384 D417 D429 D439 D621 D636 D645:D648 D738 D771 I124:K126 D451 D455:D457 D688 D691:D692 D704:D705 D707:D708 D715 D730:D731 D735 D743 D760:D761 D782 G27 I28:K28 B124:C126" name="maria_5" securityDescriptor="O:WDG:WDD:(A;;CC;;;S-1-5-21-3048853270-2157241324-869001692-3245)(A;;CC;;;S-1-5-21-3048853270-2157241324-869001692-1007)"/>
    <protectedRange sqref="P28:Q28 P124:Q126" name="maria_1_5" securityDescriptor="O:WDG:WDD:(A;;CC;;;S-1-5-21-3048853270-2157241324-869001692-3245)(A;;CC;;;S-1-5-21-3048853270-2157241324-869001692-1007)"/>
    <protectedRange sqref="AA39:AA45 F27 AA28:AA29 R28:S28 V29 Y29 AH27 I27:K27 AA35:AA37 R35:R37 S47:S53 V47:V53 Y47:Y53 S39:S45 V39:V45 Y39:Y45 M27:T27 R124:R126 AA124:AA126 AF124:AF126 AE27 V27:W27 Y27:AA27 AK27:XFD27 AA47:AA53 C27" name="maria_1_1_4" securityDescriptor="O:WDG:WDD:(A;;CC;;;S-1-5-21-3048853270-2157241324-869001692-3245)(A;;CC;;;S-1-5-21-3048853270-2157241324-869001692-1007)"/>
    <protectedRange sqref="AK54:XFD61 B46:C46 H75 N57:N61 E46:G46 E54:G54 M46:O46 F55:G56 G57:G61 H424 I46:K46 I54:K56 M54:N56 B54:C56" name="maria_6" securityDescriptor="O:WDG:WDD:(A;;CC;;;S-1-5-21-3048853270-2157241324-869001692-3245)(A;;CC;;;S-1-5-21-3048853270-2157241324-869001692-1007)"/>
    <protectedRange sqref="P46:Q46 Q62 Q64 P54:Q56" name="maria_1_6" securityDescriptor="O:WDG:WDD:(A;;CC;;;S-1-5-21-3048853270-2157241324-869001692-3245)(A;;CC;;;S-1-5-21-3048853270-2157241324-869001692-1007)"/>
    <protectedRange sqref="Z47:Z53 R34:T34 R46:T46 AH28 AH34:AH37 W47:W53 T47:T53 Z39:Z45 W39:W45 T39:T45 AE34 AE39:AE53 V34:W34 V46:W46 V54:W56 Y34:AC34 Y46:AA46 Y54:AA55 R54:T56 Y56:AC56 AH46:AH61 AF63:AF69 R63:R69 AA63:AA69 R47:R53 R39:R45 AA57:AC61 R57:R61 AE54:AF61" name="maria_1_1_5" securityDescriptor="O:WDG:WDD:(A;;CC;;;S-1-5-21-3048853270-2157241324-869001692-3245)(A;;CC;;;S-1-5-21-3048853270-2157241324-869001692-1007)"/>
    <protectedRange sqref="AK76:XFD76 M91:O91 E76:G76 M76:O76 O77 O80 O82:O83 I76:K76 N750 N77:N90 B76:C76" name="maria_8" securityDescriptor="O:WDG:WDD:(A;;CC;;;S-1-5-21-3048853270-2157241324-869001692-3245)(A;;CC;;;S-1-5-21-3048853270-2157241324-869001692-1007)"/>
    <protectedRange sqref="P76:Q76 P91:Q91" name="maria_1_8" securityDescriptor="O:WDG:WDD:(A;;CC;;;S-1-5-21-3048853270-2157241324-869001692-3245)(A;;CC;;;S-1-5-21-3048853270-2157241324-869001692-1007)"/>
    <protectedRange sqref="R76:T76 V76:W76 AB76:AC76 AH76 AF305 AF747:AF766 AF452:AF453 AF234:AF241 AF257:AF262 AF457 Y76:Z76 AF796:AF809 AF331:AF338 AF604:AF688 AF768:AF781 AF690:AF745 AF784:AF794 AF312:AF329 AF346:AF449 AF270:AF303 AF811:AF893 AF131:AF224 AF77:AF123 AE76:AF76" name="maria_1_1_7" securityDescriptor="O:WDG:WDD:(A;;CC;;;S-1-5-21-3048853270-2157241324-869001692-3245)(A;;CC;;;S-1-5-21-3048853270-2157241324-869001692-1007)"/>
    <protectedRange sqref="AE77:AE78 S77:T78 V77:W78 Y77:Z78 AB77:AC78 M77:M90 E77:G78 AH77:AH91 AK77:XFD78 G79:G91 I77:K78 B77:C78" name="maria_9" securityDescriptor="O:WDG:WDD:(A;;CC;;;S-1-5-21-3048853270-2157241324-869001692-3245)(A;;CC;;;S-1-5-21-3048853270-2157241324-869001692-1007)"/>
    <protectedRange sqref="P77:Q77 P78:P90" name="maria_1_9" securityDescriptor="O:WDG:WDD:(A;;CC;;;S-1-5-21-3048853270-2157241324-869001692-3245)(A;;CC;;;S-1-5-21-3048853270-2157241324-869001692-1007)"/>
    <protectedRange sqref="R77:R91" name="maria_1_1_8" securityDescriptor="O:WDG:WDD:(A;;CC;;;S-1-5-21-3048853270-2157241324-869001692-3245)(A;;CC;;;S-1-5-21-3048853270-2157241324-869001692-1007)"/>
    <protectedRange sqref="AH92 AE92 S92:T92 V92:W92 Y92:Z92 N754:O755 AB92:AC92 E92:G92 AK92:XFD92 G94 G96 M92:O92 O95 I92:K92 N93:O93 N94:N95 N452 N773:O773 B92:C92" name="maria_10" securityDescriptor="O:WDG:WDD:(A;;CC;;;S-1-5-21-3048853270-2157241324-869001692-3245)(A;;CC;;;S-1-5-21-3048853270-2157241324-869001692-1007)"/>
    <protectedRange sqref="P92:Q92 Q79:Q83" name="maria_1_10" securityDescriptor="O:WDG:WDD:(A;;CC;;;S-1-5-21-3048853270-2157241324-869001692-3245)(A;;CC;;;S-1-5-21-3048853270-2157241324-869001692-1007)"/>
    <protectedRange sqref="R92:R98 R100:R119" name="maria_1_1_9" securityDescriptor="O:WDG:WDD:(A;;CC;;;S-1-5-21-3048853270-2157241324-869001692-3245)(A;;CC;;;S-1-5-21-3048853270-2157241324-869001692-1007)"/>
    <protectedRange sqref="AE139:AE145 S139:T141 V139:W141 Y139:Z141 AH139:AH145 AB139:AC145 AK139:XFD145 E139:K139 I140:K141 M139:O141 F140:G141 G142:G145 O143:O145 C139:C141" name="maria_11" securityDescriptor="O:WDG:WDD:(A;;CC;;;S-1-5-21-3048853270-2157241324-869001692-3245)(A;;CC;;;S-1-5-21-3048853270-2157241324-869001692-1007)"/>
    <protectedRange sqref="Q120 Q130:Q131 Q209:Q211 P139:Q141" name="maria_1_11" securityDescriptor="O:WDG:WDD:(A;;CC;;;S-1-5-21-3048853270-2157241324-869001692-3245)(A;;CC;;;S-1-5-21-3048853270-2157241324-869001692-1007)"/>
    <protectedRange sqref="R139:R162" name="maria_1_1_10" securityDescriptor="O:WDG:WDD:(A;;CC;;;S-1-5-21-3048853270-2157241324-869001692-3245)(A;;CC;;;S-1-5-21-3048853270-2157241324-869001692-1007)"/>
    <protectedRange sqref="I146:K146 V146:W146 AH146 S146:T146 Y146:Z146 AE146 AK146:XFD146 E146:G146 M146:Q146 B146:C146" name="maria_12" securityDescriptor="O:WDG:WDD:(A;;CC;;;S-1-5-21-3048853270-2157241324-869001692-3245)(A;;CC;;;S-1-5-21-3048853270-2157241324-869001692-1007)"/>
    <protectedRange sqref="AH147 AE147 S147:T147 V147:W147 Y147:Z147 I147:K147 M147:O147 E147:G147 AK147:XFD147 O148 O150:O151 O157:O158 B147:C147" name="maria_13" securityDescriptor="O:WDG:WDD:(A;;CC;;;S-1-5-21-3048853270-2157241324-869001692-3245)(A;;CC;;;S-1-5-21-3048853270-2157241324-869001692-1007)"/>
    <protectedRange sqref="P147:Q147" name="maria_1_12" securityDescriptor="O:WDG:WDD:(A;;CC;;;S-1-5-21-3048853270-2157241324-869001692-3245)(A;;CC;;;S-1-5-21-3048853270-2157241324-869001692-1007)"/>
    <protectedRange sqref="S148:T162 V148:W162 Y148:Z162 AB148:AC162 E133:E135 M159:O162 AH148:AH151 E195:E196 E148:G150 E140:E141 AK148:XFD162 AE148:AE162 M149:O149 M148:N148 M152:O156 M150:N151 M157:N158 I148:K156 F151:G156 G157:G162 B148:C156" name="maria_14" securityDescriptor="O:WDG:WDD:(A;;CC;;;S-1-5-21-3048853270-2157241324-869001692-3245)(A;;CC;;;S-1-5-21-3048853270-2157241324-869001692-1007)"/>
    <protectedRange sqref="P148:Q152 P159:Q159" name="maria_1_13" securityDescriptor="O:WDG:WDD:(A;;CC;;;S-1-5-21-3048853270-2157241324-869001692-3245)(A;;CC;;;S-1-5-21-3048853270-2157241324-869001692-1007)"/>
    <protectedRange sqref="AE163 S163:T163 V163:W163 Y163:Z163 O177 AB163:AC163 E163:G163 AK163:XFD163 M163:O163 AH152:AH163 I163:K163 N727 N873 O164:O167 O169 O171 N164:N177 B163:C163" name="maria_15" securityDescriptor="O:WDG:WDD:(A;;CC;;;S-1-5-21-3048853270-2157241324-869001692-3245)(A;;CC;;;S-1-5-21-3048853270-2157241324-869001692-1007)"/>
    <protectedRange sqref="P163:Q163" name="maria_1_14" securityDescriptor="O:WDG:WDD:(A;;CC;;;S-1-5-21-3048853270-2157241324-869001692-3245)(A;;CC;;;S-1-5-21-3048853270-2157241324-869001692-1007)"/>
    <protectedRange sqref="R163:R166 R178:R179" name="maria_1_1_13" securityDescriptor="O:WDG:WDD:(A;;CC;;;S-1-5-21-3048853270-2157241324-869001692-3245)(A;;CC;;;S-1-5-21-3048853270-2157241324-869001692-1007)"/>
    <protectedRange sqref="AE180 M184:R187 V180:W180 E180:G180 K293 K426 AK180:XFD180 AH180:AH181 M180:T180 Y180:Z180 N181:N183 P181:R182 P183 R183 G183:G187 I180:K180 B180:C180" name="maria_16" securityDescriptor="O:WDG:WDD:(A;;CC;;;S-1-5-21-3048853270-2157241324-869001692-3245)(A;;CC;;;S-1-5-21-3048853270-2157241324-869001692-1007)"/>
    <protectedRange sqref="V199:W199 AE199 O200:R201 AH199:AH201 O202 E199:G199 K609 M199:T199 Y199:Z199 AK199:XFD199 I199:K199 N639 N680 N781 N200:N207 O207 Q202:R207 B199:C199" name="maria_17" securityDescriptor="O:WDG:WDD:(A;;CC;;;S-1-5-21-3048853270-2157241324-869001692-3245)(A;;CC;;;S-1-5-21-3048853270-2157241324-869001692-1007)"/>
    <protectedRange sqref="AK188:XFD188 I188:K188 E188:G188 M188:O191 B188:C188" name="maria_18" securityDescriptor="O:WDG:WDD:(A;;CC;;;S-1-5-21-3048853270-2157241324-869001692-3245)(A;;CC;;;S-1-5-21-3048853270-2157241324-869001692-1007)"/>
    <protectedRange sqref="P188:Q191" name="maria_1_16" securityDescriptor="O:WDG:WDD:(A;;CC;;;S-1-5-21-3048853270-2157241324-869001692-3245)(A;;CC;;;S-1-5-21-3048853270-2157241324-869001692-1007)"/>
    <protectedRange sqref="R188:T188 V188:W188 AE188 AH188:AH191 Y188:Z188 R189:R198" name="maria_1_1_14" securityDescriptor="O:WDG:WDD:(A;;CC;;;S-1-5-21-3048853270-2157241324-869001692-3245)(A;;CC;;;S-1-5-21-3048853270-2157241324-869001692-1007)"/>
    <protectedRange sqref="AH215 AE215 S215:T215 V215:W215 Y215:Z215 I215:K215 N216:O218 E215:G215 AK215:XFD215 M215:O215 N219:N223 C215" name="maria_19" securityDescriptor="O:WDG:WDD:(A;;CC;;;S-1-5-21-3048853270-2157241324-869001692-3245)(A;;CC;;;S-1-5-21-3048853270-2157241324-869001692-1007)"/>
    <protectedRange sqref="P215:Q215" name="maria_1_17" securityDescriptor="O:WDG:WDD:(A;;CC;;;S-1-5-21-3048853270-2157241324-869001692-3245)(A;;CC;;;S-1-5-21-3048853270-2157241324-869001692-1007)"/>
    <protectedRange sqref="S219:S223 R215:R223" name="maria_1_1_15" securityDescriptor="O:WDG:WDD:(A;;CC;;;S-1-5-21-3048853270-2157241324-869001692-3245)(A;;CC;;;S-1-5-21-3048853270-2157241324-869001692-1007)"/>
    <protectedRange sqref="AE208 S208:T208 V208:W208 Y208:Z208 N209:O214 B215 E208:G208 M208:O208 AK208:XFD208 G210:G212 AH420:AH425 AH208:AH214 AH290:AH292 I208:K208 B208:C208" name="maria_20" securityDescriptor="O:WDG:WDD:(A;;CC;;;S-1-5-21-3048853270-2157241324-869001692-3245)(A;;CC;;;S-1-5-21-3048853270-2157241324-869001692-1007)"/>
    <protectedRange sqref="P208:Q208 P209:P211" name="maria_1_18" securityDescriptor="O:WDG:WDD:(A;;CC;;;S-1-5-21-3048853270-2157241324-869001692-3245)(A;;CC;;;S-1-5-21-3048853270-2157241324-869001692-1007)"/>
    <protectedRange sqref="Y210:Y212 S210:S212 R208:R214" name="maria_1_1_16" securityDescriptor="O:WDG:WDD:(A;;CC;;;S-1-5-21-3048853270-2157241324-869001692-3245)(A;;CC;;;S-1-5-21-3048853270-2157241324-869001692-1007)"/>
    <protectedRange sqref="AK234:XFD234 I234:K234 B275 B280 B287 B257:B258 E234:G234 G236:G237 O236 M234:O234 B234:C234" name="maria_21" securityDescriptor="O:WDG:WDD:(A;;CC;;;S-1-5-21-3048853270-2157241324-869001692-3245)(A;;CC;;;S-1-5-21-3048853270-2157241324-869001692-1007)"/>
    <protectedRange sqref="P234:Q234 P236:P241 P253 P226:P233" name="maria_1_19" securityDescriptor="O:WDG:WDD:(A;;CC;;;S-1-5-21-3048853270-2157241324-869001692-3245)(A;;CC;;;S-1-5-21-3048853270-2157241324-869001692-1007)"/>
    <protectedRange sqref="R234:T234 V234:W234 AE234 AH234 W236 R235:R236 T236 Z236 R237:T237 V237:W237 AB237:AC237 AH236:AH241 R238:R241 AE236:AE241 Y234:Z234 Y237:Z237" name="maria_1_1_17" securityDescriptor="O:WDG:WDD:(A;;CC;;;S-1-5-21-3048853270-2157241324-869001692-3245)(A;;CC;;;S-1-5-21-3048853270-2157241324-869001692-1007)"/>
    <protectedRange sqref="AK224:XFD224 I224:K224 O224 E224:G224 M224 B224:C224" name="maria_22" securityDescriptor="O:WDG:WDD:(A;;CC;;;S-1-5-21-3048853270-2157241324-869001692-3245)(A;;CC;;;S-1-5-21-3048853270-2157241324-869001692-1007)"/>
    <protectedRange sqref="P224:Q224" name="maria_1_20" securityDescriptor="O:WDG:WDD:(A;;CC;;;S-1-5-21-3048853270-2157241324-869001692-3245)(A;;CC;;;S-1-5-21-3048853270-2157241324-869001692-1007)"/>
    <protectedRange sqref="R224:T224 V224:W224 AH224 Y224:Z224 R225:R233 AE224:AE233" name="maria_1_1_18" securityDescriptor="O:WDG:WDD:(A;;CC;;;S-1-5-21-3048853270-2157241324-869001692-3245)(A;;CC;;;S-1-5-21-3048853270-2157241324-869001692-1007)"/>
    <protectedRange sqref="AE257:AE258 T257:T258 V257:W258 Y257:Z258 AB258:AC258 E259 N258:N269 E257:G258 AH257:AH258 AK257:XFD258 M257:O257 I257:K258 M258 O258 C257:C258" name="maria_23" securityDescriptor="O:WDG:WDD:(A;;CC;;;S-1-5-21-3048853270-2157241324-869001692-3245)(A;;CC;;;S-1-5-21-3048853270-2157241324-869001692-1007)"/>
    <protectedRange sqref="Q270 P257:Q262 Q65:Q69" name="maria_1_21" securityDescriptor="O:WDG:WDD:(A;;CC;;;S-1-5-21-3048853270-2157241324-869001692-3245)(A;;CC;;;S-1-5-21-3048853270-2157241324-869001692-1007)"/>
    <protectedRange sqref="R257:S258 R259:R262 R270:R279 R281:R286" name="maria_1_1_19" securityDescriptor="O:WDG:WDD:(A;;CC;;;S-1-5-21-3048853270-2157241324-869001692-3245)(A;;CC;;;S-1-5-21-3048853270-2157241324-869001692-1007)"/>
    <protectedRange sqref="AH287 AE287 S287:T287 V287:W287 Y287:Z287 N744 N281:N286 AH280 AE280 S280:T280 V280:W280 Y280:Z280 M280:O280 AB280:AC280 AE275 Z281 E280 E287:G287 O281 T281 W281 M287:O287 AK287:XFD287 H292 I287:K287 N719 C287" name="maria_24" securityDescriptor="O:WDG:WDD:(A;;CC;;;S-1-5-21-3048853270-2157241324-869001692-3245)(A;;CC;;;S-1-5-21-3048853270-2157241324-869001692-1007)"/>
    <protectedRange sqref="P287:Q287 P280:Q281 Q275:Q279" name="maria_1_22" securityDescriptor="O:WDG:WDD:(A;;CC;;;S-1-5-21-3048853270-2157241324-869001692-3245)(A;;CC;;;S-1-5-21-3048853270-2157241324-869001692-1007)"/>
    <protectedRange sqref="R280 R296:R303 R287:R292" name="maria_1_1_20" securityDescriptor="O:WDG:WDD:(A;;CC;;;S-1-5-21-3048853270-2157241324-869001692-3245)(A;;CC;;;S-1-5-21-3048853270-2157241324-869001692-1007)"/>
    <protectedRange sqref="S312:T312 V312:W312 Y312:Z312 G315 B317 B329 B346 B354:B364 B374 B416 B383 G313 E313 AE312:AE313 AH312:AH313 E312:G312 E329 B337:B338 AK312:XFD312 G316:H316 M312:O316 I312:K312 B312:C312" name="maria_25" securityDescriptor="O:WDG:WDD:(A;;CC;;;S-1-5-21-3048853270-2157241324-869001692-3245)(A;;CC;;;S-1-5-21-3048853270-2157241324-869001692-1007)"/>
    <protectedRange sqref="P312:Q312 P313:P314 Q314 P315:Q316" name="maria_1_23" securityDescriptor="O:WDG:WDD:(A;;CC;;;S-1-5-21-3048853270-2157241324-869001692-3245)(A;;CC;;;S-1-5-21-3048853270-2157241324-869001692-1007)"/>
    <protectedRange sqref="R312:R316" name="maria_1_1_21" securityDescriptor="O:WDG:WDD:(A;;CC;;;S-1-5-21-3048853270-2157241324-869001692-3245)(A;;CC;;;S-1-5-21-3048853270-2157241324-869001692-1007)"/>
    <protectedRange sqref="AE70 S70:T70 V70:W70 Y70:AA70 AA62 E70:K70 G330 M330 AA123 AK70:XFD70 O330 AA452:AA453 Q330:Q331 AA337:AA338 AA257:AA259 AH71 AA130:AA166 AA275:AA303 AA604:AA613 G71:G75 AA312:AA331 Q70:Q75 AA71:AA98 M70:O75 AA178:AA241 AA346:AA449 AA100:AA121 B70:C70" name="maria_26" securityDescriptor="O:WDG:WDD:(A;;CC;;;S-1-5-21-3048853270-2157241324-869001692-3245)(A;;CC;;;S-1-5-21-3048853270-2157241324-869001692-1007)"/>
    <protectedRange sqref="P330 P70:P75" name="maria_1_24" securityDescriptor="O:WDG:WDD:(A;;CC;;;S-1-5-21-3048853270-2157241324-869001692-3245)(A;;CC;;;S-1-5-21-3048853270-2157241324-869001692-1007)"/>
    <protectedRange sqref="V210:V212 U329:U331 V120 R62 AF62 V346 V131 U452:U453 R330 AF330 X330:X331 U337:U338 AF70:AF75 R70:R75 U346:U419 U426:U449" name="maria_1_1_22" securityDescriptor="O:WDG:WDD:(A;;CC;;;S-1-5-21-3048853270-2157241324-869001692-3245)(A;;CC;;;S-1-5-21-3048853270-2157241324-869001692-1007)"/>
    <protectedRange sqref="R427:R438 V426:Z426 AE426 AH426 M426:T426 AK426:XFD426 E167 E426:G426 I426:J426 X427:X438 B426:C426" name="maria_28" securityDescriptor="O:WDG:WDD:(A;;CC;;;S-1-5-21-3048853270-2157241324-869001692-3245)(A;;CC;;;S-1-5-21-3048853270-2157241324-869001692-1007)"/>
    <protectedRange sqref="AE427:AE438 S427:T438 V427:W438 E79 E130:E131 E427:G429 AB431:AC431 AH427:AH428 AK427:XFD428 E209:E211 E225 AB433:AC438 E605 E115:E121 E95:E98 Y427:Z438 F430:G435 I427:K435 E278 E100:E108 E113 F436:K438 M427:O438 B427:C438 AH429:XFD438" name="maria_29" securityDescriptor="O:WDG:WDD:(A;;CC;;;S-1-5-21-3048853270-2157241324-869001692-3245)(A;;CC;;;S-1-5-21-3048853270-2157241324-869001692-1007)"/>
    <protectedRange sqref="Q219:Q221 P427:Q433 Q235:Q241 Q226:Q227 Q230 Q253 Q232 P434:P438" name="maria_1_25" securityDescriptor="O:WDG:WDD:(A;;CC;;;S-1-5-21-3048853270-2157241324-869001692-3245)(A;;CC;;;S-1-5-21-3048853270-2157241324-869001692-1007)"/>
    <protectedRange sqref="AH364 AE364 S364:T364 V364:W364 Y364:Z364 N365:N373 E364:G364 AK364:XFD364 J346:J353 M364:O364 AH346:AJ353 I364:K364 C364" name="maria_30" securityDescriptor="O:WDG:WDD:(A;;CC;;;S-1-5-21-3048853270-2157241324-869001692-3245)(A;;CC;;;S-1-5-21-3048853270-2157241324-869001692-1007)"/>
    <protectedRange sqref="P364:Q364 Q346 Q365:Q373" name="maria_1_26" securityDescriptor="O:WDG:WDD:(A;;CC;;;S-1-5-21-3048853270-2157241324-869001692-3245)(A;;CC;;;S-1-5-21-3048853270-2157241324-869001692-1007)"/>
    <protectedRange sqref="R374:R415 X364:X419" name="maria_1_1_24" securityDescriptor="O:WDG:WDD:(A;;CC;;;S-1-5-21-3048853270-2157241324-869001692-3245)(A;;CC;;;S-1-5-21-3048853270-2157241324-869001692-1007)"/>
    <protectedRange sqref="AH317 AE317 S317:T317 V317:W317 Y317:Z317 M319:O328 E317:F317 AK317:XFD317 M317:O317 H317:K317 C317" name="maria_31" securityDescriptor="O:WDG:WDD:(A;;CC;;;S-1-5-21-3048853270-2157241324-869001692-3245)(A;;CC;;;S-1-5-21-3048853270-2157241324-869001692-1007)"/>
    <protectedRange sqref="P317:Q317 Q194 P319:Q323 P324:P325 P326:Q327 P328" name="maria_1_27" securityDescriptor="O:WDG:WDD:(A;;CC;;;S-1-5-21-3048853270-2157241324-869001692-3245)(A;;CC;;;S-1-5-21-3048853270-2157241324-869001692-1007)"/>
    <protectedRange sqref="R294 R317:R328" name="maria_1_1_25" securityDescriptor="O:WDG:WDD:(A;;CC;;;S-1-5-21-3048853270-2157241324-869001692-3245)(A;;CC;;;S-1-5-21-3048853270-2157241324-869001692-1007)"/>
    <protectedRange sqref="B293 E293" name="maria_32" securityDescriptor="O:WDG:WDD:(A;;CC;;;S-1-5-21-3048853270-2157241324-869001692-3245)(A;;CC;;;S-1-5-21-3048853270-2157241324-869001692-1007)"/>
    <protectedRange sqref="N739:O739 F293:G293 V293:W293 AE293 AH293 R295 N294:O295 I293:J293 M293:T293 AK293:XFD293 Y293:Z293 G294:G295 G297 N298:N303 C293" name="maria_1_28" securityDescriptor="O:WDG:WDD:(A;;CC;;;S-1-5-21-3048853270-2157241324-869001692-3245)(A;;CC;;;S-1-5-21-3048853270-2157241324-869001692-1007)"/>
    <protectedRange sqref="D649:G649 S607:T653 V623:W653 Y623:Z653 H606:K608 AB614:AC614 V606:Z622 C701:C702 AA305 B305 R305 B761:B767 AK604:XFD604 U747:U766 R747:R766 B747:B759 AA747:AA766 X747:X766 AH604 H612:K612 H609:J609 M604 X99 U99 R99 R783 X783 T270:T274 R786:AC794 AA167:AA177 R457 AA457 X457 U457 B38 AA38 R38 B332:B336 R607:R705 AA614:AA688 X623:X688 U606:U688 AA99 R795 U795 X795 AA795 Y812 AA811:AC812 Y811:Z811 R811:X812 R802:AA802 AB619:AC619 AB641:AC641 R803:AC809 S604:Z604 G786 R813:AC836 AA332:AA336 R332:R336 X332:X336 U332:U336 AE604 AE606:AE653 B606:B699 B457 AA768:AA781 R768:R781 U768:U781 X768:X781 U690:U745 X691:X745 AA690:AA745 B703:B745 R707:R745 AH365 D638:G640 E636:G636 E645:K646 G777:G779 E621:G621 D642:K642 G795 D633:G635 G788 G821 G827 G832 G838 G844 G849 G860 D637:F637 D624:G630 D622:F623 D620:F620 D606:G611 G760 G864:G865 D612:F612 D631:F632 E648:F648 D650:F653 H650 P604:Q604 P606:T606 P607:Q638 M641:Q641 M606:M640 P640:Q640 M644:Q644 M642:M643 P642:Q643 M649:Q650 M645:M648 P645:Q648 M651:M653 P651:Q653 D641:F641 D613:G619 G884 I604:K604 I610:K611 H614:K617 I613:K613 H621:K623 I618:K620 H626:K626 I624:K625 H628:K631 I627:K627 H637:K638 I632:K636 I639:K641 D643:G643 I643:K643 E647:G647 I647:K653 O639:Q639 R796:AC801 D644:K644 R167:R177 R837:R893 AA837:AC893 R784:AA785 U837:X893 B399:B415 B167:B177 B604:G604 C606:C653 AH606:XFD653" name="maria_33" securityDescriptor="O:WDG:WDD:(A;;CC;;;S-1-5-21-3048853270-2157241324-869001692-3245)(A;;CC;;;S-1-5-21-3048853270-2157241324-869001692-1007)"/>
    <protectedRange sqref="AH654 AE654 S654:T654 V654:W654 Y654:Z654 AB654:AC654 M654:O654 D719:D722 AK654:XFD654 I654:K654 C654:G654" name="maria_34" securityDescriptor="O:WDG:WDD:(A;;CC;;;S-1-5-21-3048853270-2157241324-869001692-3245)(A;;CC;;;S-1-5-21-3048853270-2157241324-869001692-1007)"/>
    <protectedRange sqref="P654:Q654" name="maria_1_29" securityDescriptor="O:WDG:WDD:(A;;CC;;;S-1-5-21-3048853270-2157241324-869001692-3245)(A;;CC;;;S-1-5-21-3048853270-2157241324-869001692-1007)"/>
    <protectedRange sqref="E38:F38 Q333:Q334 AE333:AE336 S333:T336 V333:W336 Y334:Z336 Q711:Q712 Q714:Q715 M333:M334 C38 AH333:AH334 AB167:AC177 Q38 AE38 S38:T38 V38:W38 Y38:Z38 M38:O38 AB784:AC785 Z333 AB346:AC346 AB375:AC375 AB384:AC384 AB419:AC429 AB432:AC432 AB439:AC439 AB615:AC618 AB642:AC653 AB676:AC676 AB681:AC681 AB688:AC688 AB707:AC707 AB729:AC729 AB731:AC731 AB746:AC746 AB748:AC749 AB760:AC760 AB802:AC802 AB20:AC20 AB23:AC23 AB27:AC27 AB38:AC38 AB46:AC46 AB54:AC55 AB70:AC70 AB96:AC96 AB124:AC124 AB146:AC147 AB180:AC180 AB188:AC188 AB192:AC192 AB199:AC199 AB203:AC203 AB208:AC208 AB215:AC217 AB234:AC236 AB240:AC240 AB257:AC257 AB287:AC287 AB293:AC293 AB298:AC303 AB305:AC305 AB312:AC313 AB317:AC317 AB333:AC336 AB620:AC640 G41:G45 N39:N41 O41 AH182:AH187 AB604:AC613 H38:K38 F335:G336 E333:G334 I333:K336 AH167:AH177 Q167:Q177 N42:O44 Q45 M45:O45 AH38:AH45 AB224:AC225 C333:C336" name="maria_35" securityDescriptor="O:WDG:WDD:(A;;CC;;;S-1-5-21-3048853270-2157241324-869001692-3245)(A;;CC;;;S-1-5-21-3048853270-2157241324-869001692-1007)"/>
    <protectedRange sqref="P38 P333:P336 P45" name="maria_1_30" securityDescriptor="O:WDG:WDD:(A;;CC;;;S-1-5-21-3048853270-2157241324-869001692-3245)(A;;CC;;;S-1-5-21-3048853270-2157241324-869001692-1007)"/>
    <protectedRange sqref="Y333" name="maria_1_1_27" securityDescriptor="O:WDG:WDD:(A;;CC;;;S-1-5-21-3048853270-2157241324-869001692-3245)(A;;CC;;;S-1-5-21-3048853270-2157241324-869001692-1007)"/>
    <protectedRange sqref="AE655:AE662 S655:T662 V655:W662 Y655:Z662 AB655:AC662 D658:K659 M655:O662 D666 D671:D673 D677:D678 D680 D682:D686 D689 D697:D699 D713:D714 D744:D745 D748:D755 D723:D729 D759 D739:D742 D762:D766 AH655:AH662 AK655:XFD662 D778:D779 D781:E781 D788:D794 D732:D734 D796:D809 D811:D822 D716:D718 D736:D737 D655:G657 I655:K657 D661:K662 D660:G660 I660:K660 D825:D893 C655:C662" name="maria_36" securityDescriptor="O:WDG:WDD:(A;;CC;;;S-1-5-21-3048853270-2157241324-869001692-3245)(A;;CC;;;S-1-5-21-3048853270-2157241324-869001692-1007)"/>
    <protectedRange sqref="P655:Q662" name="maria_1_31" securityDescriptor="O:WDG:WDD:(A;;CC;;;S-1-5-21-3048853270-2157241324-869001692-3245)(A;;CC;;;S-1-5-21-3048853270-2157241324-869001692-1007)"/>
    <protectedRange sqref="AE663:AE664 S663:T664 V663:W664 Y664 Z663:Z664 D664:G664 AB663:AC664 M663:O663 AE675 S675:T675 V675:W675 Z675 AB675:AC675 AH675:XFD675 D674 D676 AH676 D687 D679 AH664 AK664:XFD664 D663:F663 H675:K675 M675:M676 I663:K664 M664 C675:F675 C663:C664 AH663:XFD663" name="maria_37" securityDescriptor="O:WDG:WDD:(A;;CC;;;S-1-5-21-3048853270-2157241324-869001692-3245)(A;;CC;;;S-1-5-21-3048853270-2157241324-869001692-1007)"/>
    <protectedRange sqref="P663:Q664 P675:Q676" name="maria_1_32" securityDescriptor="O:WDG:WDD:(A;;CC;;;S-1-5-21-3048853270-2157241324-869001692-3245)(A;;CC;;;S-1-5-21-3048853270-2157241324-869001692-1007)"/>
    <protectedRange sqref="Y663 Y675" name="maria_1_1_29" securityDescriptor="O:WDG:WDD:(A;;CC;;;S-1-5-21-3048853270-2157241324-869001692-3245)(A;;CC;;;S-1-5-21-3048853270-2157241324-869001692-1007)"/>
    <protectedRange sqref="AE665:AE666 S665:T666 V665:W666 Y666:Z666 AB665:AC666 D665:G665 M665:O666 I665:K666 E666:G666 AH665:AH666 AK665:XFD666 C665:C666" name="maria_38" securityDescriptor="O:WDG:WDD:(A;;CC;;;S-1-5-21-3048853270-2157241324-869001692-3245)(A;;CC;;;S-1-5-21-3048853270-2157241324-869001692-1007)"/>
    <protectedRange sqref="P665:Q665 P666" name="maria_1_33" securityDescriptor="O:WDG:WDD:(A;;CC;;;S-1-5-21-3048853270-2157241324-869001692-3245)(A;;CC;;;S-1-5-21-3048853270-2157241324-869001692-1007)"/>
    <protectedRange sqref="G669:H669 F668:H668 AE667:AE669 S667:T669 V667:W669 Y667:Z669 I667:K669 AB667:AC669 M674:O674 M667:O669 AH667:AH668 AK667:XFD668 F667:G667 C667:E669 AH669:XFD669" name="maria_39" securityDescriptor="O:WDG:WDD:(A;;CC;;;S-1-5-21-3048853270-2157241324-869001692-3245)(A;;CC;;;S-1-5-21-3048853270-2157241324-869001692-1007)"/>
    <protectedRange sqref="P667:Q669 Q674" name="maria_1_34" securityDescriptor="O:WDG:WDD:(A;;CC;;;S-1-5-21-3048853270-2157241324-869001692-3245)(A;;CC;;;S-1-5-21-3048853270-2157241324-869001692-1007)"/>
    <protectedRange sqref="AE670:AE671 S670:T671 V670:W671 D670:G670 AB670:AC671 Y670:Z672 AH672:AJ672 AH677 M677:O677 N273:O274 E671:G671 E672:E673 E677:E678 E689 AH671 AK671:XFD671 AH673 I670:K671 N270:N272 N734:O734 N693:O693 M670:O672 N664:O664 O271 M673 C670:C671 AH670:XFD670" name="maria_40" securityDescriptor="O:WDG:WDD:(A;;CC;;;S-1-5-21-3048853270-2157241324-869001692-3245)(A;;CC;;;S-1-5-21-3048853270-2157241324-869001692-1007)"/>
    <protectedRange sqref="P670:Q673 P677:Q677 Q678:Q680" name="maria_1_35" securityDescriptor="O:WDG:WDD:(A;;CC;;;S-1-5-21-3048853270-2157241324-869001692-3245)(A;;CC;;;S-1-5-21-3048853270-2157241324-869001692-1007)"/>
    <protectedRange sqref="AE216:AE218 S216:T218 V216:W218 Y216:Z218 AB218:AC218 I217:K218 E217:G217 M216:M218 AK216:XFD218 AH216:AH223 E216:F216 H216:K216 E218:F218 C216:C218" name="maria_42" securityDescriptor="O:WDG:WDD:(A;;CC;;;S-1-5-21-3048853270-2157241324-869001692-3245)(A;;CC;;;S-1-5-21-3048853270-2157241324-869001692-1007)"/>
    <protectedRange sqref="P216:Q216 P217:P218" name="maria_1_37" securityDescriptor="O:WDG:WDD:(A;;CC;;;S-1-5-21-3048853270-2157241324-869001692-3245)(A;;CC;;;S-1-5-21-3048853270-2157241324-869001692-1007)"/>
    <protectedRange sqref="S746:T746 V746:W746 AE746 Y746:Z746 AK746:XFD746 M746 AH746 E746:K746 E747 E756:E758 C746" name="maria_7" securityDescriptor="O:WDG:WDD:(A;;CC;;;S-1-5-21-3048853270-2157241324-869001692-3245)(A;;CC;;;S-1-5-21-3048853270-2157241324-869001692-1007)"/>
    <protectedRange sqref="P746" name="maria_1_7" securityDescriptor="O:WDG:WDD:(A;;CC;;;S-1-5-21-3048853270-2157241324-869001692-3245)(A;;CC;;;S-1-5-21-3048853270-2157241324-869001692-1007)"/>
    <protectedRange sqref="AF746" name="maria_1_1_7_1" securityDescriptor="O:WDG:WDD:(A;;CC;;;S-1-5-21-3048853270-2157241324-869001692-3245)(A;;CC;;;S-1-5-21-3048853270-2157241324-869001692-1007)"/>
    <protectedRange sqref="U746 X746 AA746 B746 R746" name="maria_33_1" securityDescriptor="O:WDG:WDD:(A;;CC;;;S-1-5-21-3048853270-2157241324-869001692-3245)(A;;CC;;;S-1-5-21-3048853270-2157241324-869001692-1007)"/>
    <protectedRange sqref="D746:D747 D756:D758" name="maria_36_1" securityDescriptor="O:WDG:WDD:(A;;CC;;;S-1-5-21-3048853270-2157241324-869001692-3245)(A;;CC;;;S-1-5-21-3048853270-2157241324-869001692-1007)"/>
    <protectedRange sqref="S782:T782 V782:W782 AE782 Y782:Z782 AB782:AC782 C782 E782:F782 AH782:AJ782" name="maria_27" securityDescriptor="O:WDG:WDD:(A;;CC;;;S-1-5-21-3048853270-2157241324-869001692-3245)(A;;CC;;;S-1-5-21-3048853270-2157241324-869001692-1007)"/>
    <protectedRange sqref="AF782:AF783" name="maria_1_1_7_2" securityDescriptor="O:WDG:WDD:(A;;CC;;;S-1-5-21-3048853270-2157241324-869001692-3245)(A;;CC;;;S-1-5-21-3048853270-2157241324-869001692-1007)"/>
    <protectedRange sqref="X782 B782 R782 AA782:AA783 U782:U783" name="maria_33_2" securityDescriptor="O:WDG:WDD:(A;;CC;;;S-1-5-21-3048853270-2157241324-869001692-3245)(A;;CC;;;S-1-5-21-3048853270-2157241324-869001692-1007)"/>
    <protectedRange sqref="N782:O782" name="maria_10_1" securityDescriptor="O:WDG:WDD:(A;;CC;;;S-1-5-21-3048853270-2157241324-869001692-3245)(A;;CC;;;S-1-5-21-3048853270-2157241324-869001692-1007)"/>
    <protectedRange sqref="F225:G233 B225:C233" name="maria_41" securityDescriptor="O:WDG:WDD:(A;;CC;;;S-1-5-21-3048853270-2157241324-869001692-3245)(A;;CC;;;S-1-5-21-3048853270-2157241324-869001692-1007)"/>
    <protectedRange sqref="I225:I233" name="maria_43" securityDescriptor="O:WDG:WDD:(A;;CC;;;S-1-5-21-3048853270-2157241324-869001692-3245)(A;;CC;;;S-1-5-21-3048853270-2157241324-869001692-1007)"/>
    <protectedRange sqref="J225:K233" name="maria_44" securityDescriptor="O:WDG:WDD:(A;;CC;;;S-1-5-21-3048853270-2157241324-869001692-3245)(A;;CC;;;S-1-5-21-3048853270-2157241324-869001692-1007)"/>
    <protectedRange sqref="M225:M233" name="maria_22_3" securityDescriptor="O:WDG:WDD:(A;;CC;;;S-1-5-21-3048853270-2157241324-869001692-3245)(A;;CC;;;S-1-5-21-3048853270-2157241324-869001692-1007)"/>
    <protectedRange sqref="P225:Q225" name="maria_1_20_1" securityDescriptor="O:WDG:WDD:(A;;CC;;;S-1-5-21-3048853270-2157241324-869001692-3245)(A;;CC;;;S-1-5-21-3048853270-2157241324-869001692-1007)"/>
    <protectedRange sqref="S225:T233" name="maria_45" securityDescriptor="O:WDG:WDD:(A;;CC;;;S-1-5-21-3048853270-2157241324-869001692-3245)(A;;CC;;;S-1-5-21-3048853270-2157241324-869001692-1007)"/>
    <protectedRange sqref="V225:W233" name="maria_46" securityDescriptor="O:WDG:WDD:(A;;CC;;;S-1-5-21-3048853270-2157241324-869001692-3245)(A;;CC;;;S-1-5-21-3048853270-2157241324-869001692-1007)"/>
    <protectedRange sqref="Y225:Z233" name="maria_47" securityDescriptor="O:WDG:WDD:(A;;CC;;;S-1-5-21-3048853270-2157241324-869001692-3245)(A;;CC;;;S-1-5-21-3048853270-2157241324-869001692-1007)"/>
    <protectedRange sqref="AF225:AF233" name="maria_1_1_7_3" securityDescriptor="O:WDG:WDD:(A;;CC;;;S-1-5-21-3048853270-2157241324-869001692-3245)(A;;CC;;;S-1-5-21-3048853270-2157241324-869001692-1007)"/>
    <protectedRange sqref="V767:W767 AE767 AB767:AC767 N783:O809 S767:T767 Y767:Z767 E767:K767 N771:O771 M767:O770 Q767:Q770 Q772:Q775 M99:O99 N810 O270 M772:O772 N811:O872 M774:O780 M773 M781 O781 O272 O65:O69 N874:O893 C767" name="maria_48" securityDescriptor="O:WDG:WDD:(A;;CC;;;S-1-5-21-3048853270-2157241324-869001692-3245)(A;;CC;;;S-1-5-21-3048853270-2157241324-869001692-1007)"/>
    <protectedRange sqref="P99 P767:P781" name="maria_1_36" securityDescriptor="O:WDG:WDD:(A;;CC;;;S-1-5-21-3048853270-2157241324-869001692-3245)(A;;CC;;;S-1-5-21-3048853270-2157241324-869001692-1007)"/>
    <protectedRange sqref="AF767" name="maria_1_1_7_4" securityDescriptor="O:WDG:WDD:(A;;CC;;;S-1-5-21-3048853270-2157241324-869001692-3245)(A;;CC;;;S-1-5-21-3048853270-2157241324-869001692-1007)"/>
    <protectedRange sqref="X767 AA767 R767 U767" name="maria_33_3" securityDescriptor="O:WDG:WDD:(A;;CC;;;S-1-5-21-3048853270-2157241324-869001692-3245)(A;;CC;;;S-1-5-21-3048853270-2157241324-869001692-1007)"/>
    <protectedRange sqref="D767" name="maria_36_2" securityDescriptor="O:WDG:WDD:(A;;CC;;;S-1-5-21-3048853270-2157241324-869001692-3245)(A;;CC;;;S-1-5-21-3048853270-2157241324-869001692-1007)"/>
    <protectedRange sqref="E771" name="maria_49" securityDescriptor="O:WDG:WDD:(A;;CC;;;S-1-5-21-3048853270-2157241324-869001692-3245)(A;;CC;;;S-1-5-21-3048853270-2157241324-869001692-1007)"/>
    <protectedRange sqref="M771" name="maria_2_1" securityDescriptor="O:WDG:WDD:(A;;CC;;;S-1-5-21-3048853270-2157241324-869001692-3245)(A;;CC;;;S-1-5-21-3048853270-2157241324-869001692-1007)"/>
    <protectedRange sqref="Q771 Q99 Q776:Q781" name="maria_3_1" securityDescriptor="O:WDG:WDD:(A;;CC;;;S-1-5-21-3048853270-2157241324-869001692-3245)(A;;CC;;;S-1-5-21-3048853270-2157241324-869001692-1007)"/>
    <protectedRange sqref="AI654:AJ654" name="maria_34_2" securityDescriptor="O:WDG:WDD:(A;;CC;;;S-1-5-21-3048853270-2157241324-869001692-3245)(A;;CC;;;S-1-5-21-3048853270-2157241324-869001692-1007)"/>
    <protectedRange sqref="AI655:AJ655" name="maria_36_4" securityDescriptor="O:WDG:WDD:(A;;CC;;;S-1-5-21-3048853270-2157241324-869001692-3245)(A;;CC;;;S-1-5-21-3048853270-2157241324-869001692-1007)"/>
    <protectedRange sqref="AI656:AJ656" name="maria_36_6" securityDescriptor="O:WDG:WDD:(A;;CC;;;S-1-5-21-3048853270-2157241324-869001692-3245)(A;;CC;;;S-1-5-21-3048853270-2157241324-869001692-1007)"/>
    <protectedRange sqref="AI657:AJ657" name="maria_36_7" securityDescriptor="O:WDG:WDD:(A;;CC;;;S-1-5-21-3048853270-2157241324-869001692-3245)(A;;CC;;;S-1-5-21-3048853270-2157241324-869001692-1007)"/>
    <protectedRange sqref="AI658:AJ658" name="maria_36_8" securityDescriptor="O:WDG:WDD:(A;;CC;;;S-1-5-21-3048853270-2157241324-869001692-3245)(A;;CC;;;S-1-5-21-3048853270-2157241324-869001692-1007)"/>
    <protectedRange sqref="AI659:AJ659" name="maria_36_9" securityDescriptor="O:WDG:WDD:(A;;CC;;;S-1-5-21-3048853270-2157241324-869001692-3245)(A;;CC;;;S-1-5-21-3048853270-2157241324-869001692-1007)"/>
    <protectedRange sqref="AI660:AJ660" name="maria_36_10" securityDescriptor="O:WDG:WDD:(A;;CC;;;S-1-5-21-3048853270-2157241324-869001692-3245)(A;;CC;;;S-1-5-21-3048853270-2157241324-869001692-1007)"/>
    <protectedRange sqref="AI661:AJ661" name="maria_36_12" securityDescriptor="O:WDG:WDD:(A;;CC;;;S-1-5-21-3048853270-2157241324-869001692-3245)(A;;CC;;;S-1-5-21-3048853270-2157241324-869001692-1007)"/>
    <protectedRange sqref="AI662:AJ662" name="maria_36_14" securityDescriptor="O:WDG:WDD:(A;;CC;;;S-1-5-21-3048853270-2157241324-869001692-3245)(A;;CC;;;S-1-5-21-3048853270-2157241324-869001692-1007)"/>
    <protectedRange sqref="AI664:AJ664" name="maria_37_1" securityDescriptor="O:WDG:WDD:(A;;CC;;;S-1-5-21-3048853270-2157241324-869001692-3245)(A;;CC;;;S-1-5-21-3048853270-2157241324-869001692-1007)"/>
    <protectedRange sqref="AI665:AJ665" name="maria_38_1" securityDescriptor="O:WDG:WDD:(A;;CC;;;S-1-5-21-3048853270-2157241324-869001692-3245)(A;;CC;;;S-1-5-21-3048853270-2157241324-869001692-1007)"/>
    <protectedRange sqref="AI666:AJ666" name="maria_38_3" securityDescriptor="O:WDG:WDD:(A;;CC;;;S-1-5-21-3048853270-2157241324-869001692-3245)(A;;CC;;;S-1-5-21-3048853270-2157241324-869001692-1007)"/>
    <protectedRange sqref="AI667:AJ667" name="maria_39_2" securityDescriptor="O:WDG:WDD:(A;;CC;;;S-1-5-21-3048853270-2157241324-869001692-3245)(A;;CC;;;S-1-5-21-3048853270-2157241324-869001692-1007)"/>
    <protectedRange sqref="AI668:AJ668" name="maria_39_3" securityDescriptor="O:WDG:WDD:(A;;CC;;;S-1-5-21-3048853270-2157241324-869001692-3245)(A;;CC;;;S-1-5-21-3048853270-2157241324-869001692-1007)"/>
    <protectedRange sqref="AI671:AJ671" name="maria_40_1" securityDescriptor="O:WDG:WDD:(A;;CC;;;S-1-5-21-3048853270-2157241324-869001692-3245)(A;;CC;;;S-1-5-21-3048853270-2157241324-869001692-1007)"/>
    <protectedRange sqref="AI673:AJ673" name="maria_40_2" securityDescriptor="O:WDG:WDD:(A;;CC;;;S-1-5-21-3048853270-2157241324-869001692-3245)(A;;CC;;;S-1-5-21-3048853270-2157241324-869001692-1007)"/>
    <protectedRange sqref="AI677:AJ677" name="maria_40_4" securityDescriptor="O:WDG:WDD:(A;;CC;;;S-1-5-21-3048853270-2157241324-869001692-3245)(A;;CC;;;S-1-5-21-3048853270-2157241324-869001692-1007)"/>
    <protectedRange sqref="AI678:AJ678" name="maria_50" securityDescriptor="O:WDG:WDD:(A;;CC;;;S-1-5-21-3048853270-2157241324-869001692-3245)(A;;CC;;;S-1-5-21-3048853270-2157241324-869001692-1007)"/>
    <protectedRange sqref="AI680:AJ680" name="maria_51" securityDescriptor="O:WDG:WDD:(A;;CC;;;S-1-5-21-3048853270-2157241324-869001692-3245)(A;;CC;;;S-1-5-21-3048853270-2157241324-869001692-1007)"/>
    <protectedRange sqref="AI682:AJ682" name="maria_52" securityDescriptor="O:WDG:WDD:(A;;CC;;;S-1-5-21-3048853270-2157241324-869001692-3245)(A;;CC;;;S-1-5-21-3048853270-2157241324-869001692-1007)"/>
    <protectedRange sqref="AI683:AJ683" name="maria_53" securityDescriptor="O:WDG:WDD:(A;;CC;;;S-1-5-21-3048853270-2157241324-869001692-3245)(A;;CC;;;S-1-5-21-3048853270-2157241324-869001692-1007)"/>
    <protectedRange sqref="AI684:AJ684" name="maria_54" securityDescriptor="O:WDG:WDD:(A;;CC;;;S-1-5-21-3048853270-2157241324-869001692-3245)(A;;CC;;;S-1-5-21-3048853270-2157241324-869001692-1007)"/>
    <protectedRange sqref="AI685:AJ685" name="maria_55" securityDescriptor="O:WDG:WDD:(A;;CC;;;S-1-5-21-3048853270-2157241324-869001692-3245)(A;;CC;;;S-1-5-21-3048853270-2157241324-869001692-1007)"/>
    <protectedRange sqref="AI686:AJ686" name="maria_57" securityDescriptor="O:WDG:WDD:(A;;CC;;;S-1-5-21-3048853270-2157241324-869001692-3245)(A;;CC;;;S-1-5-21-3048853270-2157241324-869001692-1007)"/>
    <protectedRange sqref="AI689:AJ689" name="maria_58" securityDescriptor="O:WDG:WDD:(A;;CC;;;S-1-5-21-3048853270-2157241324-869001692-3245)(A;;CC;;;S-1-5-21-3048853270-2157241324-869001692-1007)"/>
    <protectedRange sqref="AI690:AJ690" name="maria_60" securityDescriptor="O:WDG:WDD:(A;;CC;;;S-1-5-21-3048853270-2157241324-869001692-3245)(A;;CC;;;S-1-5-21-3048853270-2157241324-869001692-1007)"/>
    <protectedRange sqref="AI693:AJ693" name="maria_62" securityDescriptor="O:WDG:WDD:(A;;CC;;;S-1-5-21-3048853270-2157241324-869001692-3245)(A;;CC;;;S-1-5-21-3048853270-2157241324-869001692-1007)"/>
    <protectedRange sqref="AI694:AJ694" name="maria_64" securityDescriptor="O:WDG:WDD:(A;;CC;;;S-1-5-21-3048853270-2157241324-869001692-3245)(A;;CC;;;S-1-5-21-3048853270-2157241324-869001692-1007)"/>
    <protectedRange sqref="AI695:AJ695" name="maria_65" securityDescriptor="O:WDG:WDD:(A;;CC;;;S-1-5-21-3048853270-2157241324-869001692-3245)(A;;CC;;;S-1-5-21-3048853270-2157241324-869001692-1007)"/>
    <protectedRange sqref="AI697:AJ697" name="maria_66" securityDescriptor="O:WDG:WDD:(A;;CC;;;S-1-5-21-3048853270-2157241324-869001692-3245)(A;;CC;;;S-1-5-21-3048853270-2157241324-869001692-1007)"/>
    <protectedRange sqref="AI698:AJ698" name="maria_68" securityDescriptor="O:WDG:WDD:(A;;CC;;;S-1-5-21-3048853270-2157241324-869001692-3245)(A;;CC;;;S-1-5-21-3048853270-2157241324-869001692-1007)"/>
    <protectedRange sqref="AI699:AJ699" name="maria_69" securityDescriptor="O:WDG:WDD:(A;;CC;;;S-1-5-21-3048853270-2157241324-869001692-3245)(A;;CC;;;S-1-5-21-3048853270-2157241324-869001692-1007)"/>
    <protectedRange sqref="AI701:AJ701" name="maria_70" securityDescriptor="O:WDG:WDD:(A;;CC;;;S-1-5-21-3048853270-2157241324-869001692-3245)(A;;CC;;;S-1-5-21-3048853270-2157241324-869001692-1007)"/>
    <protectedRange sqref="AI702:AJ702" name="maria_71" securityDescriptor="O:WDG:WDD:(A;;CC;;;S-1-5-21-3048853270-2157241324-869001692-3245)(A;;CC;;;S-1-5-21-3048853270-2157241324-869001692-1007)"/>
    <protectedRange sqref="AI704:AJ704" name="maria_72" securityDescriptor="O:WDG:WDD:(A;;CC;;;S-1-5-21-3048853270-2157241324-869001692-3245)(A;;CC;;;S-1-5-21-3048853270-2157241324-869001692-1007)"/>
    <protectedRange sqref="AI706:AJ706" name="maria_74" securityDescriptor="O:WDG:WDD:(A;;CC;;;S-1-5-21-3048853270-2157241324-869001692-3245)(A;;CC;;;S-1-5-21-3048853270-2157241324-869001692-1007)"/>
    <protectedRange sqref="AI709:AJ709" name="maria_76" securityDescriptor="O:WDG:WDD:(A;;CC;;;S-1-5-21-3048853270-2157241324-869001692-3245)(A;;CC;;;S-1-5-21-3048853270-2157241324-869001692-1007)"/>
    <protectedRange sqref="AI710:AJ710" name="maria_77" securityDescriptor="O:WDG:WDD:(A;;CC;;;S-1-5-21-3048853270-2157241324-869001692-3245)(A;;CC;;;S-1-5-21-3048853270-2157241324-869001692-1007)"/>
    <protectedRange sqref="AI711:AJ711" name="maria_78" securityDescriptor="O:WDG:WDD:(A;;CC;;;S-1-5-21-3048853270-2157241324-869001692-3245)(A;;CC;;;S-1-5-21-3048853270-2157241324-869001692-1007)"/>
    <protectedRange sqref="AI712:AJ712" name="maria_79" securityDescriptor="O:WDG:WDD:(A;;CC;;;S-1-5-21-3048853270-2157241324-869001692-3245)(A;;CC;;;S-1-5-21-3048853270-2157241324-869001692-1007)"/>
    <protectedRange sqref="AI713:AJ713" name="maria_80" securityDescriptor="O:WDG:WDD:(A;;CC;;;S-1-5-21-3048853270-2157241324-869001692-3245)(A;;CC;;;S-1-5-21-3048853270-2157241324-869001692-1007)"/>
    <protectedRange sqref="AI714:AJ714" name="maria_81" securityDescriptor="O:WDG:WDD:(A;;CC;;;S-1-5-21-3048853270-2157241324-869001692-3245)(A;;CC;;;S-1-5-21-3048853270-2157241324-869001692-1007)"/>
    <protectedRange sqref="AI716:AJ716" name="maria_82" securityDescriptor="O:WDG:WDD:(A;;CC;;;S-1-5-21-3048853270-2157241324-869001692-3245)(A;;CC;;;S-1-5-21-3048853270-2157241324-869001692-1007)"/>
    <protectedRange sqref="AI717:AJ717" name="maria_83" securityDescriptor="O:WDG:WDD:(A;;CC;;;S-1-5-21-3048853270-2157241324-869001692-3245)(A;;CC;;;S-1-5-21-3048853270-2157241324-869001692-1007)"/>
    <protectedRange sqref="AI718:AJ718" name="maria_84" securityDescriptor="O:WDG:WDD:(A;;CC;;;S-1-5-21-3048853270-2157241324-869001692-3245)(A;;CC;;;S-1-5-21-3048853270-2157241324-869001692-1007)"/>
    <protectedRange sqref="AI719:AJ719" name="maria_85" securityDescriptor="O:WDG:WDD:(A;;CC;;;S-1-5-21-3048853270-2157241324-869001692-3245)(A;;CC;;;S-1-5-21-3048853270-2157241324-869001692-1007)"/>
    <protectedRange sqref="AI720:AJ720" name="maria_87" securityDescriptor="O:WDG:WDD:(A;;CC;;;S-1-5-21-3048853270-2157241324-869001692-3245)(A;;CC;;;S-1-5-21-3048853270-2157241324-869001692-1007)"/>
    <protectedRange sqref="AI721:AJ721" name="maria_88" securityDescriptor="O:WDG:WDD:(A;;CC;;;S-1-5-21-3048853270-2157241324-869001692-3245)(A;;CC;;;S-1-5-21-3048853270-2157241324-869001692-1007)"/>
    <protectedRange sqref="AI722:AJ722" name="maria_89" securityDescriptor="O:WDG:WDD:(A;;CC;;;S-1-5-21-3048853270-2157241324-869001692-3245)(A;;CC;;;S-1-5-21-3048853270-2157241324-869001692-1007)"/>
    <protectedRange sqref="AI724:AJ724" name="maria_91" securityDescriptor="O:WDG:WDD:(A;;CC;;;S-1-5-21-3048853270-2157241324-869001692-3245)(A;;CC;;;S-1-5-21-3048853270-2157241324-869001692-1007)"/>
    <protectedRange sqref="AI725:AJ725" name="maria_92" securityDescriptor="O:WDG:WDD:(A;;CC;;;S-1-5-21-3048853270-2157241324-869001692-3245)(A;;CC;;;S-1-5-21-3048853270-2157241324-869001692-1007)"/>
    <protectedRange sqref="AI726:AJ726" name="maria_93" securityDescriptor="O:WDG:WDD:(A;;CC;;;S-1-5-21-3048853270-2157241324-869001692-3245)(A;;CC;;;S-1-5-21-3048853270-2157241324-869001692-1007)"/>
    <protectedRange sqref="AI727:AJ727" name="maria_95" securityDescriptor="O:WDG:WDD:(A;;CC;;;S-1-5-21-3048853270-2157241324-869001692-3245)(A;;CC;;;S-1-5-21-3048853270-2157241324-869001692-1007)"/>
    <protectedRange sqref="AI728:AJ728" name="maria_96" securityDescriptor="O:WDG:WDD:(A;;CC;;;S-1-5-21-3048853270-2157241324-869001692-3245)(A;;CC;;;S-1-5-21-3048853270-2157241324-869001692-1007)"/>
    <protectedRange sqref="AI732:AJ732" name="maria_98" securityDescriptor="O:WDG:WDD:(A;;CC;;;S-1-5-21-3048853270-2157241324-869001692-3245)(A;;CC;;;S-1-5-21-3048853270-2157241324-869001692-1007)"/>
    <protectedRange sqref="AI733:AJ733 G853" name="maria_99" securityDescriptor="O:WDG:WDD:(A;;CC;;;S-1-5-21-3048853270-2157241324-869001692-3245)(A;;CC;;;S-1-5-21-3048853270-2157241324-869001692-1007)"/>
    <protectedRange sqref="AI746:AJ746" name="maria_7_1" securityDescriptor="O:WDG:WDD:(A;;CC;;;S-1-5-21-3048853270-2157241324-869001692-3245)(A;;CC;;;S-1-5-21-3048853270-2157241324-869001692-1007)"/>
    <protectedRange sqref="AI364:AJ364" name="maria_30_1" securityDescriptor="O:WDG:WDD:(A;;CC;;;S-1-5-21-3048853270-2157241324-869001692-3245)(A;;CC;;;S-1-5-21-3048853270-2157241324-869001692-1007)"/>
    <protectedRange sqref="AI426:AJ426" name="maria_28_1" securityDescriptor="O:WDG:WDD:(A;;CC;;;S-1-5-21-3048853270-2157241324-869001692-3245)(A;;CC;;;S-1-5-21-3048853270-2157241324-869001692-1007)"/>
    <protectedRange sqref="AI427:AJ427" name="maria_29_1" securityDescriptor="O:WDG:WDD:(A;;CC;;;S-1-5-21-3048853270-2157241324-869001692-3245)(A;;CC;;;S-1-5-21-3048853270-2157241324-869001692-1007)"/>
    <protectedRange sqref="AI428:AJ428" name="maria_29_2" securityDescriptor="O:WDG:WDD:(A;;CC;;;S-1-5-21-3048853270-2157241324-869001692-3245)(A;;CC;;;S-1-5-21-3048853270-2157241324-869001692-1007)"/>
    <protectedRange sqref="AI333:AJ333" name="maria_35_3" securityDescriptor="O:WDG:WDD:(A;;CC;;;S-1-5-21-3048853270-2157241324-869001692-3245)(A;;CC;;;S-1-5-21-3048853270-2157241324-869001692-1007)"/>
    <protectedRange sqref="AI334:AJ336" name="maria_35_4" securityDescriptor="O:WDG:WDD:(A;;CC;;;S-1-5-21-3048853270-2157241324-869001692-3245)(A;;CC;;;S-1-5-21-3048853270-2157241324-869001692-1007)"/>
    <protectedRange sqref="AI604:AJ604" name="maria_33_4" securityDescriptor="O:WDG:WDD:(A;;CC;;;S-1-5-21-3048853270-2157241324-869001692-3245)(A;;CC;;;S-1-5-21-3048853270-2157241324-869001692-1007)"/>
    <protectedRange sqref="AK450:XFD451 E450:E453 P450:Q453" name="maria_56" securityDescriptor="O:WDG:WDD:(A;;CC;;;S-1-5-21-3048853270-2157241324-869001692-3245)(A;;CC;;;S-1-5-21-3048853270-2157241324-869001692-1007)"/>
    <protectedRange sqref="D450 D452:D453" name="maria_5_1" securityDescriptor="O:WDG:WDD:(A;;CC;;;S-1-5-21-3048853270-2157241324-869001692-3245)(A;;CC;;;S-1-5-21-3048853270-2157241324-869001692-1007)"/>
    <protectedRange sqref="AF450:AF451" name="maria_1_1_7_5" securityDescriptor="O:WDG:WDD:(A;;CC;;;S-1-5-21-3048853270-2157241324-869001692-3245)(A;;CC;;;S-1-5-21-3048853270-2157241324-869001692-1007)"/>
    <protectedRange sqref="R450:AC451" name="maria_33_5" securityDescriptor="O:WDG:WDD:(A;;CC;;;S-1-5-21-3048853270-2157241324-869001692-3245)(A;;CC;;;S-1-5-21-3048853270-2157241324-869001692-1007)"/>
    <protectedRange sqref="M451:O451 M450 O450" name="maria_48_1" securityDescriptor="O:WDG:WDD:(A;;CC;;;S-1-5-21-3048853270-2157241324-869001692-3245)(A;;CC;;;S-1-5-21-3048853270-2157241324-869001692-1007)"/>
    <protectedRange sqref="F454:G456 R454:T456 V454:Z456 AB454:AC456 I454:K456 M455:O456 AE454:AE456 M454 B454:C456 AH454:XFD456" name="maria_59" securityDescriptor="O:WDG:WDD:(A;;CC;;;S-1-5-21-3048853270-2157241324-869001692-3245)(A;;CC;;;S-1-5-21-3048853270-2157241324-869001692-1007)"/>
    <protectedRange sqref="AF454:AF456" name="maria_1_1_7_6" securityDescriptor="O:WDG:WDD:(A;;CC;;;S-1-5-21-3048853270-2157241324-869001692-3245)(A;;CC;;;S-1-5-21-3048853270-2157241324-869001692-1007)"/>
    <protectedRange sqref="AA454:AA456" name="maria_26_2" securityDescriptor="O:WDG:WDD:(A;;CC;;;S-1-5-21-3048853270-2157241324-869001692-3245)(A;;CC;;;S-1-5-21-3048853270-2157241324-869001692-1007)"/>
    <protectedRange sqref="U454:U456" name="maria_1_1_22_1" securityDescriptor="O:WDG:WDD:(A;;CC;;;S-1-5-21-3048853270-2157241324-869001692-3245)(A;;CC;;;S-1-5-21-3048853270-2157241324-869001692-1007)"/>
    <protectedRange sqref="P454:Q456 E454:E456" name="maria_56_1" securityDescriptor="O:WDG:WDD:(A;;CC;;;S-1-5-21-3048853270-2157241324-869001692-3245)(A;;CC;;;S-1-5-21-3048853270-2157241324-869001692-1007)"/>
    <protectedRange sqref="D454" name="maria_5_1_1" securityDescriptor="O:WDG:WDD:(A;;CC;;;S-1-5-21-3048853270-2157241324-869001692-3245)(A;;CC;;;S-1-5-21-3048853270-2157241324-869001692-1007)"/>
    <protectedRange sqref="V196" name="maria_61" securityDescriptor="O:WDG:WDD:(A;;CC;;;S-1-5-21-3048853270-2157241324-869001692-3245)(A;;CC;;;S-1-5-21-3048853270-2157241324-869001692-1007)"/>
    <protectedRange algorithmName="SHA-512" hashValue="lGxgJO7OrK4RnR9Q5GyLdphtXSoKHWuU/DeqTwJZs4H1lZxtBvfwyidbkva9W10WZdVConxSMgW/uAS6mxdKPg==" saltValue="rUT2GzIQhp6pti72S74yRQ==" spinCount="100000" sqref="C98" name="Aurelian" securityDescriptor="O:WDG:WDD:(A;;CC;;;S-1-5-21-3048853270-2157241324-869001692-3245)"/>
    <protectedRange algorithmName="SHA-512" hashValue="lGxgJO7OrK4RnR9Q5GyLdphtXSoKHWuU/DeqTwJZs4H1lZxtBvfwyidbkva9W10WZdVConxSMgW/uAS6mxdKPg==" saltValue="rUT2GzIQhp6pti72S74yRQ==" spinCount="100000" sqref="C605 C100" name="Aurelian_1" securityDescriptor="O:WDG:WDD:(A;;CC;;;S-1-5-21-3048853270-2157241324-869001692-3245)"/>
    <protectedRange algorithmName="SHA-512" hashValue="lGxgJO7OrK4RnR9Q5GyLdphtXSoKHWuU/DeqTwJZs4H1lZxtBvfwyidbkva9W10WZdVConxSMgW/uAS6mxdKPg==" saltValue="rUT2GzIQhp6pti72S74yRQ==" spinCount="100000" sqref="C101:C119" name="Aurelian_2" securityDescriptor="O:WDG:WDD:(A;;CC;;;S-1-5-21-3048853270-2157241324-869001692-3245)"/>
    <protectedRange algorithmName="SHA-512" hashValue="lGxgJO7OrK4RnR9Q5GyLdphtXSoKHWuU/DeqTwJZs4H1lZxtBvfwyidbkva9W10WZdVConxSMgW/uAS6mxdKPg==" saltValue="rUT2GzIQhp6pti72S74yRQ==" spinCount="100000" sqref="F98" name="Aurelian_3" securityDescriptor="O:WDG:WDD:(A;;CC;;;S-1-5-21-3048853270-2157241324-869001692-3245)"/>
    <protectedRange algorithmName="SHA-512" hashValue="lGxgJO7OrK4RnR9Q5GyLdphtXSoKHWuU/DeqTwJZs4H1lZxtBvfwyidbkva9W10WZdVConxSMgW/uAS6mxdKPg==" saltValue="rUT2GzIQhp6pti72S74yRQ==" spinCount="100000" sqref="F605 F100" name="Aurelian_4" securityDescriptor="O:WDG:WDD:(A;;CC;;;S-1-5-21-3048853270-2157241324-869001692-3245)"/>
    <protectedRange algorithmName="SHA-512" hashValue="lGxgJO7OrK4RnR9Q5GyLdphtXSoKHWuU/DeqTwJZs4H1lZxtBvfwyidbkva9W10WZdVConxSMgW/uAS6mxdKPg==" saltValue="rUT2GzIQhp6pti72S74yRQ==" spinCount="100000" sqref="F101:F119" name="Aurelian_5" securityDescriptor="O:WDG:WDD:(A;;CC;;;S-1-5-21-3048853270-2157241324-869001692-3245)"/>
    <protectedRange sqref="AK243:XFD256 V242:W256 E242:E243 M242:O246 G242:G256 M247:N249 O249 AH242:AH256 I242:J256 K415 M250:O252 M254:O256 Y242:AC256 R242:T256 K256 K328 B242:C256 AE242:AF256" name="maria_67" securityDescriptor="O:WDG:WDD:(A;;CC;;;S-1-5-21-3048853270-2157241324-869001692-3245)(A;;CC;;;S-1-5-21-3048853270-2157241324-869001692-1007)"/>
    <protectedRange sqref="Q228:Q229 P242:Q252 Q231 P254:Q256 Q233" name="maria_1_2_2" securityDescriptor="O:WDG:WDD:(A;;CC;;;S-1-5-21-3048853270-2157241324-869001692-3245)(A;;CC;;;S-1-5-21-3048853270-2157241324-869001692-1007)"/>
    <protectedRange sqref="G339:G345 M339 I339:K345 O341 E339 R339:AC345 O339 O343:O345 B339:C345 AH339:XFD345 AE339:AF345" name="maria_1" securityDescriptor="O:WDG:WDD:(A;;CC;;;S-1-5-21-3048853270-2157241324-869001692-3245)(A;;CC;;;S-1-5-21-3048853270-2157241324-869001692-1007)"/>
    <protectedRange sqref="P339:Q339" name="maria_1_2_1" securityDescriptor="O:WDG:WDD:(A;;CC;;;S-1-5-21-3048853270-2157241324-869001692-3245)(A;;CC;;;S-1-5-21-3048853270-2157241324-869001692-1007)"/>
    <protectedRange sqref="R810:AC810 O810:P810 AK810:XFD810 AH810 I810:K810 B810:G810 AE810:AF810" name="maria_73" securityDescriptor="O:WDG:WDD:(A;;CC;;;S-1-5-21-3048853270-2157241324-869001692-3245)(A;;CC;;;S-1-5-21-3048853270-2157241324-869001692-1007)"/>
    <protectedRange sqref="Q810" name="maria_1_2_4" securityDescriptor="O:WDG:WDD:(A;;CC;;;S-1-5-21-3048853270-2157241324-869001692-3245)(A;;CC;;;S-1-5-21-3048853270-2157241324-869001692-1007)"/>
    <protectedRange sqref="J282:K286" name="maria_1_38" securityDescriptor="O:WDG:WDD:(A;;CC;;;S-1-5-21-3048853270-2157241324-869001692-3245)(A;;CC;;;S-1-5-21-3048853270-2157241324-869001692-1007)"/>
    <protectedRange sqref="M282:M283 O282:O283 M284:N286" name="maria_3_2" securityDescriptor="O:WDG:WDD:(A;;CC;;;S-1-5-21-3048853270-2157241324-869001692-3245)(A;;CC;;;S-1-5-21-3048853270-2157241324-869001692-1007)"/>
    <protectedRange sqref="P282:P286" name="maria_1_3_1" securityDescriptor="O:WDG:WDD:(A;;CC;;;S-1-5-21-3048853270-2157241324-869001692-3245)(A;;CC;;;S-1-5-21-3048853270-2157241324-869001692-1007)"/>
    <protectedRange sqref="Q282:Q286" name="maria_1_4_2" securityDescriptor="O:WDG:WDD:(A;;CC;;;S-1-5-21-3048853270-2157241324-869001692-3245)(A;;CC;;;S-1-5-21-3048853270-2157241324-869001692-1007)"/>
    <protectedRange sqref="S282:T286" name="maria_1_39" securityDescriptor="O:WDG:WDD:(A;;CC;;;S-1-5-21-3048853270-2157241324-869001692-3245)(A;;CC;;;S-1-5-21-3048853270-2157241324-869001692-1007)"/>
    <protectedRange sqref="V282:W286" name="maria_1_40" securityDescriptor="O:WDG:WDD:(A;;CC;;;S-1-5-21-3048853270-2157241324-869001692-3245)(A;;CC;;;S-1-5-21-3048853270-2157241324-869001692-1007)"/>
    <protectedRange sqref="Y282:Z286" name="maria_1_41" securityDescriptor="O:WDG:WDD:(A;;CC;;;S-1-5-21-3048853270-2157241324-869001692-3245)(A;;CC;;;S-1-5-21-3048853270-2157241324-869001692-1007)"/>
    <protectedRange sqref="E823:E824" name="maria_2" securityDescriptor="O:WDG:WDD:(A;;CC;;;S-1-5-21-3048853270-2157241324-869001692-3245)(A;;CC;;;S-1-5-21-3048853270-2157241324-869001692-1007)"/>
    <protectedRange sqref="D823:D824" name="maria_36_1_1" securityDescriptor="O:WDG:WDD:(A;;CC;;;S-1-5-21-3048853270-2157241324-869001692-3245)(A;;CC;;;S-1-5-21-3048853270-2157241324-869001692-1007)"/>
    <protectedRange sqref="G823" name="maria_1_42" securityDescriptor="O:WDG:WDD:(A;;CC;;;S-1-5-21-3048853270-2157241324-869001692-3245)(A;;CC;;;S-1-5-21-3048853270-2157241324-869001692-1007)"/>
    <protectedRange sqref="J835:K835" name="maria_1_44" securityDescriptor="O:WDG:WDD:(A;;CC;;;S-1-5-21-3048853270-2157241324-869001692-3245)(A;;CC;;;S-1-5-21-3048853270-2157241324-869001692-1007)"/>
    <protectedRange sqref="I835" name="maria_1_48" securityDescriptor="O:WDG:WDD:(A;;CC;;;S-1-5-21-3048853270-2157241324-869001692-3245)(A;;CC;;;S-1-5-21-3048853270-2157241324-869001692-1007)"/>
    <protectedRange sqref="J837:K852" name="maria_1_2" securityDescriptor="O:WDG:WDD:(A;;CC;;;S-1-5-21-3048853270-2157241324-869001692-3245)(A;;CC;;;S-1-5-21-3048853270-2157241324-869001692-1007)"/>
    <protectedRange sqref="S837:T846" name="maria_1_43" securityDescriptor="O:WDG:WDD:(A;;CC;;;S-1-5-21-3048853270-2157241324-869001692-3245)(A;;CC;;;S-1-5-21-3048853270-2157241324-869001692-1007)"/>
    <protectedRange sqref="Y837:Z852 Y854:Z893" name="maria_1_45" securityDescriptor="O:WDG:WDD:(A;;CC;;;S-1-5-21-3048853270-2157241324-869001692-3245)(A;;CC;;;S-1-5-21-3048853270-2157241324-869001692-1007)"/>
    <protectedRange sqref="B854:C893 B841:C852" name="maria_1_46" securityDescriptor="O:WDG:WDD:(A;;CC;;;S-1-5-21-3048853270-2157241324-869001692-3245)(A;;CC;;;S-1-5-21-3048853270-2157241324-869001692-1007)"/>
    <protectedRange sqref="H846:H849 G631 G856:G859 F844 H844:I844 G861:G863 G848 F841:I843 G830 G824 G806 G799 G675 G650 G637 G622:G623 G620 H854:H857 H851:H852 H863 G866:H866 H868:H872 H879:H881 H883:H885 H887" name="maria_1_47" securityDescriptor="O:WDG:WDD:(A;;CC;;;S-1-5-21-3048853270-2157241324-869001692-3245)(A;;CC;;;S-1-5-21-3048853270-2157241324-869001692-1007)"/>
    <protectedRange sqref="F845:G847 F854:G855 F856:F866 F850:G852 F848:F849" name="maria_1_49" securityDescriptor="O:WDG:WDD:(A;;CC;;;S-1-5-21-3048853270-2157241324-869001692-3245)(A;;CC;;;S-1-5-21-3048853270-2157241324-869001692-1007)"/>
    <protectedRange sqref="I845:I852 I854:I866" name="maria_1_50" securityDescriptor="O:WDG:WDD:(A;;CC;;;S-1-5-21-3048853270-2157241324-869001692-3245)(A;;CC;;;S-1-5-21-3048853270-2157241324-869001692-1007)"/>
    <protectedRange sqref="S847:T852 S854:T893" name="maria_1_51" securityDescriptor="O:WDG:WDD:(A;;CC;;;S-1-5-21-3048853270-2157241324-869001692-3245)(A;;CC;;;S-1-5-21-3048853270-2157241324-869001692-1007)"/>
    <protectedRange sqref="G15:G19" name="maria_63" securityDescriptor="O:WDG:WDD:(A;;CC;;;S-1-5-21-3048853270-2157241324-869001692-3245)(A;;CC;;;S-1-5-21-3048853270-2157241324-869001692-1007)"/>
    <protectedRange sqref="M212:M214 E212:F212 I212:K212 E15:F18 I15:K19 M15:O18 F19 B15:C19" name="maria_5_2" securityDescriptor="O:WDG:WDD:(A;;CC;;;S-1-5-21-3048853270-2157241324-869001692-3245)(A;;CC;;;S-1-5-21-3048853270-2157241324-869001692-1007)"/>
    <protectedRange sqref="P212:Q212 P15:Q18 Q290:Q292 Q19 P213:P214 P420:Q425" name="maria_1_5_1" securityDescriptor="O:WDG:WDD:(A;;CC;;;S-1-5-21-3048853270-2157241324-869001692-3245)(A;;CC;;;S-1-5-21-3048853270-2157241324-869001692-1007)"/>
    <protectedRange sqref="X15:X19 U15:U19" name="maria_1_1_2_1" securityDescriptor="O:WDG:WDD:(A;;CC;;;S-1-5-21-3048853270-2157241324-869001692-3245)(A;;CC;;;S-1-5-21-3048853270-2157241324-869001692-1007)"/>
    <protectedRange sqref="AE15:AE19 S15:T19 V15:W19 Y15:Z19 AB15:AC19" name="maria_5_3" securityDescriptor="O:WDG:WDD:(A;;CC;;;S-1-5-21-3048853270-2157241324-869001692-3245)(A;;CC;;;S-1-5-21-3048853270-2157241324-869001692-1007)"/>
    <protectedRange sqref="AA15:AA19 R15:R19 AF15:AF19" name="maria_1_1_4_1" securityDescriptor="O:WDG:WDD:(A;;CC;;;S-1-5-21-3048853270-2157241324-869001692-3245)(A;;CC;;;S-1-5-21-3048853270-2157241324-869001692-1007)"/>
    <protectedRange sqref="G128:G129" name="maria_75" securityDescriptor="O:WDG:WDD:(A;;CC;;;S-1-5-21-3048853270-2157241324-869001692-3245)(A;;CC;;;S-1-5-21-3048853270-2157241324-869001692-1007)"/>
    <protectedRange sqref="X127:X129 U127:U129" name="maria_1_1_2_2" securityDescriptor="O:WDG:WDD:(A;;CC;;;S-1-5-21-3048853270-2157241324-869001692-3245)(A;;CC;;;S-1-5-21-3048853270-2157241324-869001692-1007)"/>
    <protectedRange sqref="AE127:AE129 S127:T129 V127:W129 Y127:Z129 AB127:AC129 I127:K129 E66:E67 E127:F129 M127:O128 M129:N129 B127:C129" name="maria_5_4" securityDescriptor="O:WDG:WDD:(A;;CC;;;S-1-5-21-3048853270-2157241324-869001692-3245)(A;;CC;;;S-1-5-21-3048853270-2157241324-869001692-1007)"/>
    <protectedRange sqref="P127:Q129" name="maria_1_5_3" securityDescriptor="O:WDG:WDD:(A;;CC;;;S-1-5-21-3048853270-2157241324-869001692-3245)(A;;CC;;;S-1-5-21-3048853270-2157241324-869001692-1007)"/>
    <protectedRange sqref="AA127:AA129 R127:R129 AF127:AF129" name="maria_1_1_4_2" securityDescriptor="O:WDG:WDD:(A;;CC;;;S-1-5-21-3048853270-2157241324-869001692-3245)(A;;CC;;;S-1-5-21-3048853270-2157241324-869001692-1007)"/>
    <protectedRange sqref="X263:X269 U263:U269" name="maria_1_1_2_3" securityDescriptor="O:WDG:WDD:(A;;CC;;;S-1-5-21-3048853270-2157241324-869001692-3245)(A;;CC;;;S-1-5-21-3048853270-2157241324-869001692-1007)"/>
    <protectedRange sqref="AE263:AE269 S263:T269 V263:W269 AB263:AC269 O263:O269 E263:F266 I263:K269 F267:F269 Y263:Z269 M263:M269 B263:C269" name="maria_5_5" securityDescriptor="O:WDG:WDD:(A;;CC;;;S-1-5-21-3048853270-2157241324-869001692-3245)(A;;CC;;;S-1-5-21-3048853270-2157241324-869001692-1007)"/>
    <protectedRange sqref="P263:Q269" name="maria_1_5_4" securityDescriptor="O:WDG:WDD:(A;;CC;;;S-1-5-21-3048853270-2157241324-869001692-3245)(A;;CC;;;S-1-5-21-3048853270-2157241324-869001692-1007)"/>
    <protectedRange sqref="AA263:AA269 R263:R269 AF263:AF269" name="maria_1_1_4_3" securityDescriptor="O:WDG:WDD:(A;;CC;;;S-1-5-21-3048853270-2157241324-869001692-3245)(A;;CC;;;S-1-5-21-3048853270-2157241324-869001692-1007)"/>
    <protectedRange sqref="E351:E353" name="maria_5_6" securityDescriptor="O:WDG:WDD:(A;;CC;;;S-1-5-21-3048853270-2157241324-869001692-3245)(A;;CC;;;S-1-5-21-3048853270-2157241324-869001692-1007)"/>
    <protectedRange sqref="E244:E246 E228:E230" name="maria_5_7" securityDescriptor="O:WDG:WDD:(A;;CC;;;S-1-5-21-3048853270-2157241324-869001692-3245)(A;;CC;;;S-1-5-21-3048853270-2157241324-869001692-1007)"/>
    <protectedRange sqref="E378 E222 E290:E291 E283 E307:E308 E40:E42 E299:E302 E335:E336 E420:E424" name="maria_5_8" securityDescriptor="O:WDG:WDD:(A;;CC;;;S-1-5-21-3048853270-2157241324-869001692-3245)(A;;CC;;;S-1-5-21-3048853270-2157241324-869001692-1007)"/>
    <protectedRange sqref="E436 E441:E444" name="maria_5_9" securityDescriptor="O:WDG:WDD:(A;;CC;;;S-1-5-21-3048853270-2157241324-869001692-3245)(A;;CC;;;S-1-5-21-3048853270-2157241324-869001692-1007)"/>
    <protectedRange sqref="M136:M138 E136:F136 H137:K137 F137:F138 I136:K136 O137 I138:K138 B136:C138" name="maria_5_10" securityDescriptor="O:WDG:WDD:(A;;CC;;;S-1-5-21-3048853270-2157241324-869001692-3245)(A;;CC;;;S-1-5-21-3048853270-2157241324-869001692-1007)"/>
    <protectedRange sqref="P136:Q138" name="maria_1_5_5" securityDescriptor="O:WDG:WDD:(A;;CC;;;S-1-5-21-3048853270-2157241324-869001692-3245)(A;;CC;;;S-1-5-21-3048853270-2157241324-869001692-1007)"/>
    <protectedRange sqref="S136:T138" name="maria_5_11" securityDescriptor="O:WDG:WDD:(A;;CC;;;S-1-5-21-3048853270-2157241324-869001692-3245)(A;;CC;;;S-1-5-21-3048853270-2157241324-869001692-1007)"/>
    <protectedRange sqref="V136:W138" name="maria_5_12" securityDescriptor="O:WDG:WDD:(A;;CC;;;S-1-5-21-3048853270-2157241324-869001692-3245)(A;;CC;;;S-1-5-21-3048853270-2157241324-869001692-1007)"/>
    <protectedRange sqref="Y136:Z138" name="maria_5_13" securityDescriptor="O:WDG:WDD:(A;;CC;;;S-1-5-21-3048853270-2157241324-869001692-3245)(A;;CC;;;S-1-5-21-3048853270-2157241324-869001692-1007)"/>
    <protectedRange sqref="AB136:AC138" name="maria_5_14" securityDescriptor="O:WDG:WDD:(A;;CC;;;S-1-5-21-3048853270-2157241324-869001692-3245)(A;;CC;;;S-1-5-21-3048853270-2157241324-869001692-1007)"/>
    <protectedRange sqref="G213:G214" name="maria_86" securityDescriptor="O:WDG:WDD:(A;;CC;;;S-1-5-21-3048853270-2157241324-869001692-3245)(A;;CC;;;S-1-5-21-3048853270-2157241324-869001692-1007)"/>
    <protectedRange sqref="F214 E213:F213 I213:K214 B213:C214" name="maria_5_15" securityDescriptor="O:WDG:WDD:(A;;CC;;;S-1-5-21-3048853270-2157241324-869001692-3245)(A;;CC;;;S-1-5-21-3048853270-2157241324-869001692-1007)"/>
    <protectedRange sqref="Q213:Q214" name="maria_1_5_6" securityDescriptor="O:WDG:WDD:(A;;CC;;;S-1-5-21-3048853270-2157241324-869001692-3245)(A;;CC;;;S-1-5-21-3048853270-2157241324-869001692-1007)"/>
    <protectedRange sqref="S213:T214" name="maria_5_16" securityDescriptor="O:WDG:WDD:(A;;CC;;;S-1-5-21-3048853270-2157241324-869001692-3245)(A;;CC;;;S-1-5-21-3048853270-2157241324-869001692-1007)"/>
    <protectedRange sqref="V213:W214" name="maria_5_17" securityDescriptor="O:WDG:WDD:(A;;CC;;;S-1-5-21-3048853270-2157241324-869001692-3245)(A;;CC;;;S-1-5-21-3048853270-2157241324-869001692-1007)"/>
    <protectedRange sqref="Y213:Z214" name="maria_5_18" securityDescriptor="O:WDG:WDD:(A;;CC;;;S-1-5-21-3048853270-2157241324-869001692-3245)(A;;CC;;;S-1-5-21-3048853270-2157241324-869001692-1007)"/>
    <protectedRange sqref="F145 H142:I142 I143:I145 E142:F144 B142:C145" name="maria_5_19" securityDescriptor="O:WDG:WDD:(A;;CC;;;S-1-5-21-3048853270-2157241324-869001692-3245)(A;;CC;;;S-1-5-21-3048853270-2157241324-869001692-1007)"/>
    <protectedRange sqref="J142:K145" name="maria_5_20" securityDescriptor="O:WDG:WDD:(A;;CC;;;S-1-5-21-3048853270-2157241324-869001692-3245)(A;;CC;;;S-1-5-21-3048853270-2157241324-869001692-1007)"/>
    <protectedRange sqref="O142 M142:M145" name="maria_5_21" securityDescriptor="O:WDG:WDD:(A;;CC;;;S-1-5-21-3048853270-2157241324-869001692-3245)(A;;CC;;;S-1-5-21-3048853270-2157241324-869001692-1007)"/>
    <protectedRange sqref="P142:Q145" name="maria_1_5_7" securityDescriptor="O:WDG:WDD:(A;;CC;;;S-1-5-21-3048853270-2157241324-869001692-3245)(A;;CC;;;S-1-5-21-3048853270-2157241324-869001692-1007)"/>
    <protectedRange sqref="N142:N145" name="maria_11_1" securityDescriptor="O:WDG:WDD:(A;;CC;;;S-1-5-21-3048853270-2157241324-869001692-3245)(A;;CC;;;S-1-5-21-3048853270-2157241324-869001692-1007)"/>
    <protectedRange sqref="S142:T145" name="maria_5_22" securityDescriptor="O:WDG:WDD:(A;;CC;;;S-1-5-21-3048853270-2157241324-869001692-3245)(A;;CC;;;S-1-5-21-3048853270-2157241324-869001692-1007)"/>
    <protectedRange sqref="V142:W145" name="maria_5_23" securityDescriptor="O:WDG:WDD:(A;;CC;;;S-1-5-21-3048853270-2157241324-869001692-3245)(A;;CC;;;S-1-5-21-3048853270-2157241324-869001692-1007)"/>
    <protectedRange sqref="E324:E326 E184 E171:E173" name="maria_5_24" securityDescriptor="O:WDG:WDD:(A;;CC;;;S-1-5-21-3048853270-2157241324-869001692-3245)(A;;CC;;;S-1-5-21-3048853270-2157241324-869001692-1007)"/>
    <protectedRange sqref="Q324:Q325 Q328" name="maria_1_5_8" securityDescriptor="O:WDG:WDD:(A;;CC;;;S-1-5-21-3048853270-2157241324-869001692-3245)(A;;CC;;;S-1-5-21-3048853270-2157241324-869001692-1007)"/>
    <protectedRange sqref="E434:E435" name="maria_5_25" securityDescriptor="O:WDG:WDD:(A;;CC;;;S-1-5-21-3048853270-2157241324-869001692-3245)(A;;CC;;;S-1-5-21-3048853270-2157241324-869001692-1007)"/>
    <protectedRange sqref="Q434:Q438" name="maria_1_5_9" securityDescriptor="O:WDG:WDD:(A;;CC;;;S-1-5-21-3048853270-2157241324-869001692-3245)(A;;CC;;;S-1-5-21-3048853270-2157241324-869001692-1007)"/>
    <protectedRange sqref="E183 E168:E170" name="maria_5_26" securityDescriptor="O:WDG:WDD:(A;;CC;;;S-1-5-21-3048853270-2157241324-869001692-3245)(A;;CC;;;S-1-5-21-3048853270-2157241324-869001692-1007)"/>
    <protectedRange sqref="Q183" name="maria_1_5_10" securityDescriptor="O:WDG:WDD:(A;;CC;;;S-1-5-21-3048853270-2157241324-869001692-3245)(A;;CC;;;S-1-5-21-3048853270-2157241324-869001692-1007)"/>
    <protectedRange sqref="E153:E156" name="maria_5_27" securityDescriptor="O:WDG:WDD:(A;;CC;;;S-1-5-21-3048853270-2157241324-869001692-3245)(A;;CC;;;S-1-5-21-3048853270-2157241324-869001692-1007)"/>
    <protectedRange sqref="P153:Q156 P160:Q162" name="maria_1_5_11" securityDescriptor="O:WDG:WDD:(A;;CC;;;S-1-5-21-3048853270-2157241324-869001692-3245)(A;;CC;;;S-1-5-21-3048853270-2157241324-869001692-1007)"/>
    <protectedRange sqref="E32" name="maria_5_28" securityDescriptor="O:WDG:WDD:(A;;CC;;;S-1-5-21-3048853270-2157241324-869001692-3245)(A;;CC;;;S-1-5-21-3048853270-2157241324-869001692-1007)"/>
    <protectedRange sqref="E57:F57 I57:K61 F58:F61 B57:C61" name="maria_5_29" securityDescriptor="O:WDG:WDD:(A;;CC;;;S-1-5-21-3048853270-2157241324-869001692-3245)(A;;CC;;;S-1-5-21-3048853270-2157241324-869001692-1007)"/>
    <protectedRange sqref="M57:M61 O54:O61" name="maria_5_30" securityDescriptor="O:WDG:WDD:(A;;CC;;;S-1-5-21-3048853270-2157241324-869001692-3245)(A;;CC;;;S-1-5-21-3048853270-2157241324-869001692-1007)"/>
    <protectedRange sqref="P57:Q61" name="maria_1_5_12" securityDescriptor="O:WDG:WDD:(A;;CC;;;S-1-5-21-3048853270-2157241324-869001692-3245)(A;;CC;;;S-1-5-21-3048853270-2157241324-869001692-1007)"/>
    <protectedRange sqref="S57:T61" name="maria_5_31" securityDescriptor="O:WDG:WDD:(A;;CC;;;S-1-5-21-3048853270-2157241324-869001692-3245)(A;;CC;;;S-1-5-21-3048853270-2157241324-869001692-1007)"/>
    <protectedRange sqref="V57:W61" name="maria_5_32" securityDescriptor="O:WDG:WDD:(A;;CC;;;S-1-5-21-3048853270-2157241324-869001692-3245)(A;;CC;;;S-1-5-21-3048853270-2157241324-869001692-1007)"/>
    <protectedRange sqref="Y57:Z61" name="maria_5_33" securityDescriptor="O:WDG:WDD:(A;;CC;;;S-1-5-21-3048853270-2157241324-869001692-3245)(A;;CC;;;S-1-5-21-3048853270-2157241324-869001692-1007)"/>
    <protectedRange sqref="E340:E343" name="maria_5_34" securityDescriptor="O:WDG:WDD:(A;;CC;;;S-1-5-21-3048853270-2157241324-869001692-3245)(A;;CC;;;S-1-5-21-3048853270-2157241324-869001692-1007)"/>
    <protectedRange sqref="Q340:Q341 Q343:Q345" name="maria_1_5_13" securityDescriptor="O:WDG:WDD:(A;;CC;;;S-1-5-21-3048853270-2157241324-869001692-3245)(A;;CC;;;S-1-5-21-3048853270-2157241324-869001692-1007)"/>
    <protectedRange sqref="E74:E75 E158 E43 E137 E19 E25 E52 E58:E59 E84:E88" name="maria_5_35" securityDescriptor="O:WDG:WDD:(A;;CC;;;S-1-5-21-3048853270-2157241324-869001692-3245)(A;;CC;;;S-1-5-21-3048853270-2157241324-869001692-1007)"/>
    <protectedRange sqref="Q84:Q90" name="maria_1_5_14" securityDescriptor="O:WDG:WDD:(A;;CC;;;S-1-5-21-3048853270-2157241324-869001692-3245)(A;;CC;;;S-1-5-21-3048853270-2157241324-869001692-1007)"/>
    <protectedRange sqref="E356:E359 E368" name="maria_5_36" securityDescriptor="O:WDG:WDD:(A;;CC;;;S-1-5-21-3048853270-2157241324-869001692-3245)(A;;CC;;;S-1-5-21-3048853270-2157241324-869001692-1007)"/>
    <protectedRange sqref="P356:Q363" name="maria_1_5_15" securityDescriptor="O:WDG:WDD:(A;;CC;;;S-1-5-21-3048853270-2157241324-869001692-3245)(A;;CC;;;S-1-5-21-3048853270-2157241324-869001692-1007)"/>
    <protectedRange sqref="E271:E272" name="maria_5_38" securityDescriptor="O:WDG:WDD:(A;;CC;;;S-1-5-21-3048853270-2157241324-869001692-3245)(A;;CC;;;S-1-5-21-3048853270-2157241324-869001692-1007)"/>
    <protectedRange sqref="P271:Q274" name="maria_1_5_16" securityDescriptor="O:WDG:WDD:(A;;CC;;;S-1-5-21-3048853270-2157241324-869001692-3245)(A;;CC;;;S-1-5-21-3048853270-2157241324-869001692-1007)"/>
    <protectedRange sqref="E223 E303 E292 E68:E69 E267:E269 E179 E26 E53 E198 E214 E185:E187 E109:E112 E159:E162 E369:E373 E445:E447 E309:E311 E33 E425 E174:E177 E379:E382 E284:E286 E145 E344:E345 E44:E45 E138 E273:E274 E386:E415 E327:E328 E247:E256 E360:E363 E231:E233 E437:E438 E89:E91 E279 E60:E61 E114 E205:E207" name="maria_5_37" securityDescriptor="O:WDG:WDD:(A;;CC;;;S-1-5-21-3048853270-2157241324-869001692-3245)(A;;CC;;;S-1-5-21-3048853270-2157241324-869001692-1007)"/>
    <protectedRange sqref="Q379:Q380" name="maria_1_5_17" securityDescriptor="O:WDG:WDD:(A;;CC;;;S-1-5-21-3048853270-2157241324-869001692-3245)(A;;CC;;;S-1-5-21-3048853270-2157241324-869001692-1007)"/>
    <protectedRange sqref="G197:G198" name="maria_3" securityDescriptor="O:WDG:WDD:(A;;CC;;;S-1-5-21-3048853270-2157241324-869001692-3245)(A;;CC;;;S-1-5-21-3048853270-2157241324-869001692-1007)"/>
    <protectedRange sqref="E197:F197 I197:I198 F198" name="maria_5_39" securityDescriptor="O:WDG:WDD:(A;;CC;;;S-1-5-21-3048853270-2157241324-869001692-3245)(A;;CC;;;S-1-5-21-3048853270-2157241324-869001692-1007)"/>
    <protectedRange sqref="J197:K198" name="maria_5_40" securityDescriptor="O:WDG:WDD:(A;;CC;;;S-1-5-21-3048853270-2157241324-869001692-3245)(A;;CC;;;S-1-5-21-3048853270-2157241324-869001692-1007)"/>
    <protectedRange sqref="Q197:Q198" name="maria_1_5_18" securityDescriptor="O:WDG:WDD:(A;;CC;;;S-1-5-21-3048853270-2157241324-869001692-3245)(A;;CC;;;S-1-5-21-3048853270-2157241324-869001692-1007)"/>
    <protectedRange sqref="S197:T198" name="maria_5_41" securityDescriptor="O:WDG:WDD:(A;;CC;;;S-1-5-21-3048853270-2157241324-869001692-3245)(A;;CC;;;S-1-5-21-3048853270-2157241324-869001692-1007)"/>
    <protectedRange sqref="V197:W198" name="maria_5_42" securityDescriptor="O:WDG:WDD:(A;;CC;;;S-1-5-21-3048853270-2157241324-869001692-3245)(A;;CC;;;S-1-5-21-3048853270-2157241324-869001692-1007)"/>
    <protectedRange sqref="Y197:Z198" name="maria_5_43" securityDescriptor="O:WDG:WDD:(A;;CC;;;S-1-5-21-3048853270-2157241324-869001692-3245)(A;;CC;;;S-1-5-21-3048853270-2157241324-869001692-1007)"/>
    <protectedRange sqref="F157:F162 I157:I162 B157:C162" name="maria_5_44" securityDescriptor="O:WDG:WDD:(A;;CC;;;S-1-5-21-3048853270-2157241324-869001692-3245)(A;;CC;;;S-1-5-21-3048853270-2157241324-869001692-1007)"/>
    <protectedRange sqref="E157" name="maria_5_2_1" securityDescriptor="O:WDG:WDD:(A;;CC;;;S-1-5-21-3048853270-2157241324-869001692-3245)(A;;CC;;;S-1-5-21-3048853270-2157241324-869001692-1007)"/>
    <protectedRange sqref="J157:K162" name="maria_5_45" securityDescriptor="O:WDG:WDD:(A;;CC;;;S-1-5-21-3048853270-2157241324-869001692-3245)(A;;CC;;;S-1-5-21-3048853270-2157241324-869001692-1007)"/>
    <protectedRange sqref="P157:Q158" name="maria_1_5_19" securityDescriptor="O:WDG:WDD:(A;;CC;;;S-1-5-21-3048853270-2157241324-869001692-3245)(A;;CC;;;S-1-5-21-3048853270-2157241324-869001692-1007)"/>
    <protectedRange sqref="B853:C853 F853 I853" name="maria_5_47" securityDescriptor="O:WDG:WDD:(A;;CC;;;S-1-5-21-3048853270-2157241324-869001692-3245)(A;;CC;;;S-1-5-21-3048853270-2157241324-869001692-1007)"/>
    <protectedRange sqref="J853:K893" name="maria_5_48" securityDescriptor="O:WDG:WDD:(A;;CC;;;S-1-5-21-3048853270-2157241324-869001692-3245)(A;;CC;;;S-1-5-21-3048853270-2157241324-869001692-1007)"/>
    <protectedRange sqref="Q853:Q893" name="maria_1_5_20" securityDescriptor="O:WDG:WDD:(A;;CC;;;S-1-5-21-3048853270-2157241324-869001692-3245)(A;;CC;;;S-1-5-21-3048853270-2157241324-869001692-1007)"/>
    <protectedRange sqref="S853:T853" name="maria_5_49" securityDescriptor="O:WDG:WDD:(A;;CC;;;S-1-5-21-3048853270-2157241324-869001692-3245)(A;;CC;;;S-1-5-21-3048853270-2157241324-869001692-1007)"/>
    <protectedRange sqref="Y853:Z853" name="maria_5_50" securityDescriptor="O:WDG:WDD:(A;;CC;;;S-1-5-21-3048853270-2157241324-869001692-3245)(A;;CC;;;S-1-5-21-3048853270-2157241324-869001692-1007)"/>
    <protectedRange sqref="G867:G868 G870:G883 G729 G784 G764 G641 G605 G885:G893" name="maria_90" securityDescriptor="O:WDG:WDD:(A;;CC;;;S-1-5-21-3048853270-2157241324-869001692-3245)(A;;CC;;;S-1-5-21-3048853270-2157241324-869001692-1007)"/>
    <protectedRange sqref="I867:I893 F867:F893" name="maria_5_51" securityDescriptor="O:WDG:WDD:(A;;CC;;;S-1-5-21-3048853270-2157241324-869001692-3245)(A;;CC;;;S-1-5-21-3048853270-2157241324-869001692-1007)"/>
    <protectedRange sqref="AA897" name="maria_94" securityDescriptor="O:WDG:WDD:(A;;CC;;;S-1-5-21-3048853270-2157241324-869001692-3245)(A;;CC;;;S-1-5-21-3048853270-2157241324-869001692-1007)"/>
    <protectedRange sqref="Z897" name="maria_94_1" securityDescriptor="O:WDG:WDD:(A;;CC;;;S-1-5-21-3048853270-2157241324-869001692-3245)(A;;CC;;;S-1-5-21-3048853270-2157241324-869001692-1007)"/>
  </protectedRanges>
  <sortState xmlns:xlrd2="http://schemas.microsoft.com/office/spreadsheetml/2017/richdata2" ref="A4:AJ126">
    <sortCondition descending="1" ref="D4:D51"/>
    <sortCondition ref="C4:C51"/>
  </sortState>
  <customSheetViews>
    <customSheetView guid="{36624B2D-80F9-4F79-AC4A-B3547C36F23F}" scale="70" showPageBreaks="1" fitToPage="1" printArea="1" showAutoFilter="1">
      <selection activeCell="G7" sqref="G7"/>
      <pageMargins left="0.70866141732283472" right="0.70866141732283472" top="0.74803149606299213" bottom="0.74803149606299213" header="0.31496062992125984" footer="0.31496062992125984"/>
      <pageSetup paperSize="8" scale="21" fitToHeight="0" orientation="landscape" horizontalDpi="4294967294" verticalDpi="4294967294" r:id="rId1"/>
      <headerFooter>
        <oddHeader>&amp;CLISTA PROIECTELOR CONTRACTATE - PROGRAMUL OPERATIONAl CAPACITATE ADMINISTRATIVĂ</oddHeader>
        <oddFooter>Page &amp;P of &amp;N</oddFooter>
      </headerFooter>
      <autoFilter ref="A4:DG679" xr:uid="{C5BAE920-019A-4E91-BAD0-B8748D4675D1}">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autoFilter>
    </customSheetView>
    <customSheetView guid="{A87F3E0E-3A8E-4B82-8170-33752259B7DB}" scale="80" showPageBreaks="1" fitToPage="1" printArea="1" showAutoFilter="1" topLeftCell="A6">
      <pane xSplit="3" topLeftCell="AA1" activePane="topRight" state="frozen"/>
      <selection pane="topRight" activeCell="AJ675" sqref="AJ675:AJ676"/>
      <pageMargins left="0.70866141732283472" right="0.70866141732283472" top="0.74803149606299213" bottom="0.74803149606299213" header="0.31496062992125984" footer="0.31496062992125984"/>
      <pageSetup paperSize="8" fitToHeight="0" orientation="portrait" horizontalDpi="4294967294" verticalDpi="4294967294" r:id="rId2"/>
      <headerFooter>
        <oddHeader>&amp;CLISTA PROIECTELOR CONTRACTATE - PROGRAMUL OPERATIONAl CAPACITATE ADMINISTRATIVĂ</oddHeader>
        <oddFooter>Page &amp;P of &amp;N</oddFooter>
      </headerFooter>
      <autoFilter ref="A6:AL674" xr:uid="{68C42F86-7B41-40A9-B715-0AF1DB8FCA13}"/>
    </customSheetView>
    <customSheetView guid="{EA64E7D7-BA48-4965-B650-778AE412FE0C}" scale="70" showPageBreaks="1" fitToPage="1" printArea="1" showAutoFilter="1">
      <pane ySplit="676" topLeftCell="A687" activePane="bottomLeft" state="frozen"/>
      <selection pane="bottomLeft" activeCell="AI487" sqref="AI487"/>
      <pageMargins left="0.70866141732283472" right="0.70866141732283472" top="0.74803149606299213" bottom="0.74803149606299213" header="0.31496062992125984" footer="0.31496062992125984"/>
      <pageSetup paperSize="8" scale="21" fitToHeight="0" orientation="landscape" horizontalDpi="4294967294" verticalDpi="4294967294" r:id="rId3"/>
      <headerFooter>
        <oddHeader>&amp;CLISTA PROIECTELOR CONTRACTATE - PROGRAMUL OPERATIONAl CAPACITATE ADMINISTRATIVĂ</oddHeader>
        <oddFooter>Page &amp;P of &amp;N</oddFooter>
      </headerFooter>
      <autoFilter ref="A1:DG677" xr:uid="{52A58DE0-6072-471A-A7F0-4AB94350AD01}">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65C35D6D-934F-4431-BA92-90255FC17BA4}" scale="70" showPageBreaks="1" fitToPage="1" printArea="1" showAutoFilter="1">
      <selection activeCell="J183" sqref="J183"/>
      <pageMargins left="0.70866141732283472" right="0.70866141732283472" top="0.74803149606299213" bottom="0.74803149606299213" header="0.31496062992125984" footer="0.31496062992125984"/>
      <pageSetup paperSize="8" scale="21" fitToHeight="0" orientation="landscape" horizontalDpi="4294967294" verticalDpi="4294967294" r:id="rId4"/>
      <headerFooter>
        <oddHeader>&amp;CLISTA PROIECTELOR CONTRACTATE - PROGRAMUL OPERATIONAl CAPACITATE ADMINISTRATIVĂ</oddHeader>
        <oddFooter>Page &amp;P of &amp;N</oddFooter>
      </headerFooter>
      <autoFilter ref="A1:AL658" xr:uid="{3EB99A8C-C305-4A36-87E6-E8EDD50C4965}">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A5B1481C-EF26-486A-984F-85CDDC2FD94F}" scale="70" showPageBreaks="1" fitToPage="1" printArea="1" filter="1" showAutoFilter="1" topLeftCell="V1">
      <pane ySplit="5" topLeftCell="A6" activePane="bottomLeft" state="frozen"/>
      <selection pane="bottomLeft" activeCell="AM338" sqref="AM338"/>
      <pageMargins left="0.70866141732283472" right="0.70866141732283472" top="0.74803149606299213" bottom="0.74803149606299213" header="0.31496062992125984" footer="0.31496062992125984"/>
      <pageSetup paperSize="8" scale="21" fitToHeight="0" orientation="landscape" horizontalDpi="4294967294" verticalDpi="4294967294" r:id="rId5"/>
      <headerFooter>
        <oddHeader>&amp;CLISTA PROIECTELOR CONTRACTATE - PROGRAMUL OPERATIONAl CAPACITATE ADMINISTRATIVĂ</oddHeader>
        <oddFooter>Page &amp;P of &amp;N</oddFooter>
      </headerFooter>
      <autoFilter ref="A6:DG597" xr:uid="{6BABAD69-026A-4487-9DD8-20D5FF1E67F5}">
        <filterColumn colId="2">
          <filters>
            <filter val="20"/>
          </filters>
        </filterColumn>
      </autoFilter>
    </customSheetView>
    <customSheetView guid="{1D1B5983-ECDA-4FB5-B5BD-5FCDD6AA2303}" scale="70" showPageBreaks="1" fitToPage="1" printArea="1" showAutoFilter="1" hiddenColumns="1">
      <selection activeCell="D666" sqref="D666"/>
      <pageMargins left="0.26" right="0.17" top="0.74803149606299213" bottom="0.74803149606299213" header="0.31496062992125984" footer="0.31496062992125984"/>
      <pageSetup paperSize="9" scale="10" orientation="landscape" horizontalDpi="4294967294" verticalDpi="4294967294" r:id="rId6"/>
      <headerFooter>
        <oddHeader>&amp;CLISTA PROIECTELOR CONTRACTATE - PROGRAMUL OPERATIONAl CAPACITATE ADMINISTRATIVĂ</oddHeader>
        <oddFooter>Page &amp;P of &amp;N</oddFooter>
      </headerFooter>
      <autoFilter ref="A1:DG663" xr:uid="{32D1FE49-3EB8-4F5A-B9AD-145E1FD1B4F4}">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905D93EA-5662-45AB-8995-A9908B3E5D52}" scale="70" showPageBreaks="1" fitToPage="1" printArea="1" showAutoFilter="1">
      <selection activeCell="D226" sqref="D226"/>
      <pageMargins left="0.70866141732283472" right="0.70866141732283472" top="0.74803149606299213" bottom="0.74803149606299213" header="0.31496062992125984" footer="0.31496062992125984"/>
      <pageSetup paperSize="9" scale="14" fitToHeight="0" orientation="landscape" r:id="rId7"/>
      <headerFooter>
        <oddHeader>&amp;CLISTA PROIECTELOR CONTRACTATE - PROGRAMUL OPERATIONAl CAPACITATE ADMINISTRATIVĂ</oddHeader>
        <oddFooter>Page &amp;P of &amp;N</oddFooter>
      </headerFooter>
      <autoFilter ref="B1:B623" xr:uid="{B417A0AB-64EF-4559-9202-2BAE0CDB0A5E}"/>
    </customSheetView>
    <customSheetView guid="{6D5D71F0-C25E-4A20-AAD9-13707D9E0AED}" scale="70" fitToPage="1" showAutoFilter="1">
      <selection activeCell="AI61" sqref="AI61"/>
      <pageMargins left="0.70866141732283472" right="0.70866141732283472" top="0.74803149606299213" bottom="0.74803149606299213" header="0.31496062992125984" footer="0.31496062992125984"/>
      <pageSetup paperSize="8" scale="20" fitToHeight="0" orientation="landscape" horizontalDpi="4294967294" verticalDpi="4294967294" r:id="rId8"/>
      <headerFooter>
        <oddHeader>&amp;CLISTA PROIECTELOR CONTRACTATE - PROGRAMUL OPERATIONAl CAPACITATE ADMINISTRATIVĂ</oddHeader>
        <oddFooter>Page &amp;P of &amp;N</oddFooter>
      </headerFooter>
      <autoFilter ref="A4:DG525" xr:uid="{FB081A59-9279-49AE-865E-6FF7C6D46D56}">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autoFilter>
    </customSheetView>
    <customSheetView guid="{84FB199A-D56E-4FDD-AC4A-70CE86CD87BC}" scale="80" showPageBreaks="1" fitToPage="1" printArea="1" filter="1" showAutoFilter="1">
      <pane xSplit="3" ySplit="4" topLeftCell="G39" activePane="bottomRight" state="frozen"/>
      <selection pane="bottomRight" activeCell="B514" sqref="B514"/>
      <pageMargins left="0.70866141732283472" right="0.70866141732283472" top="0.74803149606299213" bottom="0.74803149606299213" header="0.31496062992125984" footer="0.31496062992125984"/>
      <pageSetup paperSize="8" scale="21" fitToHeight="0" orientation="landscape" r:id="rId9"/>
      <headerFooter>
        <oddHeader>&amp;CLISTA PROIECTELOR CONTRACTATE - PROGRAMUL OPERATIONAl CAPACITATE ADMINISTRATIVĂ</oddHeader>
        <oddFooter>Page &amp;P of &amp;N</oddFooter>
      </headerFooter>
      <autoFilter ref="A1:AM513" xr:uid="{CB1C3530-554A-4C0E-8408-357BF0C4BBB6}">
        <filterColumn colId="2">
          <filters>
            <filter val="531"/>
          </filters>
        </filterColumn>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9980B309-0131-4577-BF29-212714399FDF}" scale="70" showPageBreaks="1" fitToPage="1" printArea="1" showAutoFilter="1" topLeftCell="C1">
      <pane ySplit="3" topLeftCell="A486" activePane="bottomLeft"/>
      <selection pane="bottomLeft" activeCell="F486" sqref="F486"/>
      <pageMargins left="0.70866141732283472" right="0.70866141732283472" top="0.74803149606299213" bottom="0.74803149606299213" header="0.31496062992125984" footer="0.31496062992125984"/>
      <pageSetup paperSize="8" scale="20" fitToHeight="0" orientation="landscape" horizontalDpi="4294967294" verticalDpi="4294967294" r:id="rId10"/>
      <headerFooter>
        <oddHeader>&amp;CLISTA PROIECTELOR CONTRACTATE - PROGRAMUL OPERATIONAl CAPACITATE ADMINISTRATIVĂ</oddHeader>
        <oddFooter>Page &amp;P of &amp;N</oddFooter>
      </headerFooter>
      <autoFilter ref="A1:AL488" xr:uid="{E1D78B67-FDE1-42BE-950E-7B96DA57C97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2C296388-EDB5-4F1F-B0F4-90EC07CCD947}" scale="73" showPageBreaks="1" fitToPage="1" printArea="1" filter="1" showAutoFilter="1" topLeftCell="X1">
      <pane ySplit="284" topLeftCell="A286" activePane="bottomLeft" state="frozen"/>
      <selection pane="bottomLeft" activeCell="AQ286" sqref="AQ286"/>
      <pageMargins left="0.70866141732283472" right="0.70866141732283472" top="0.74803149606299213" bottom="0.74803149606299213" header="0.31496062992125984" footer="0.31496062992125984"/>
      <pageSetup paperSize="8" scale="21" fitToHeight="0" orientation="landscape" horizontalDpi="4294967294" verticalDpi="4294967294" r:id="rId11"/>
      <headerFooter>
        <oddHeader>&amp;CLISTA PROIECTELOR CONTRACTATE - PROGRAMUL OPERATIONAl CAPACITATE ADMINISTRATIVĂ</oddHeader>
        <oddFooter>Page &amp;P of &amp;N</oddFooter>
      </headerFooter>
      <autoFilter ref="A1:DG494" xr:uid="{E3DEC8F4-FC57-4189-9289-6E9A28472643}">
        <filterColumn colId="2">
          <filters>
            <filter val="435"/>
          </filters>
        </filterColumn>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DB51BB9F-5710-40B0-80E7-39B059BFD11D}" scale="70" fitToPage="1" printArea="1" showAutoFilter="1">
      <selection activeCell="B1" sqref="B1:B1048576"/>
      <pageMargins left="0.70866141732283472" right="0.70866141732283472" top="0.74803149606299213" bottom="0.74803149606299213" header="0.31496062992125984" footer="0.31496062992125984"/>
      <pageSetup paperSize="8" scale="22" fitToHeight="0" orientation="landscape" horizontalDpi="4294967294" verticalDpi="4294967294" r:id="rId12"/>
      <headerFooter>
        <oddHeader>&amp;CLISTA PROIECTELOR CONTRACTATE - PROGRAMUL OPERATIONAl CAPACITATE ADMINISTRATIVĂ</oddHeader>
        <oddFooter>Page &amp;P of &amp;N</oddFooter>
      </headerFooter>
      <autoFilter ref="A1:DG422" xr:uid="{CABCC180-6EF5-4AD6-8F2B-CBF246058696}">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9EA5E3FA-46F1-4729-828C-4A08518018C1}" scale="70" showPageBreaks="1" fitToPage="1" printArea="1" showAutoFilter="1">
      <pane xSplit="7" ySplit="3" topLeftCell="Z72" activePane="bottomRight" state="frozen"/>
      <selection pane="bottomRight" activeCell="AM72" sqref="AM72"/>
      <pageMargins left="0.70866141732283472" right="0.70866141732283472" top="0.74803149606299213" bottom="0.74803149606299213" header="0.31496062992125984" footer="0.31496062992125984"/>
      <pageSetup paperSize="8" scale="21" fitToHeight="0" orientation="landscape" horizontalDpi="4294967294" verticalDpi="4294967294" r:id="rId13"/>
      <headerFooter>
        <oddHeader>&amp;CLISTA PROIECTELOR CONTRACTATE - PROGRAMUL OPERATIONAl CAPACITATE ADMINISTRATIVĂ</oddHeader>
        <oddFooter>Page &amp;P of &amp;N</oddFooter>
      </headerFooter>
      <autoFilter ref="A1:AK404" xr:uid="{F8E51ED2-FD02-4517-9214-4B31D976EA94}">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3AFE79CE-CE75-447D-8C73-1AE63A224CBA}" scale="80" showPageBreaks="1" fitToPage="1" printArea="1" showAutoFilter="1" topLeftCell="T1">
      <pane ySplit="3" topLeftCell="A326" activePane="bottomLeft" state="frozen"/>
      <selection pane="bottomLeft" activeCell="AE326" sqref="AE326"/>
      <pageMargins left="0.70866141732283472" right="0.70866141732283472" top="0.74803149606299213" bottom="0.74803149606299213" header="0.31496062992125984" footer="0.31496062992125984"/>
      <pageSetup paperSize="8" scale="21" fitToHeight="0" orientation="landscape" horizontalDpi="4294967294" verticalDpi="4294967294" r:id="rId14"/>
      <headerFooter>
        <oddHeader>&amp;CLISTA PROIECTELOR CONTRACTATE - PROGRAMUL OPERATIONAl CAPACITATE ADMINISTRATIVĂ</oddHeader>
        <oddFooter>Page &amp;P of &amp;N</oddFooter>
      </headerFooter>
      <autoFilter ref="A6:AL349" xr:uid="{A450BD46-B146-44B2-BB84-4719B8079C6A}"/>
    </customSheetView>
    <customSheetView guid="{C3502361-AD2C-4705-878B-D12169ED60B1}" scale="70" fitToPage="1" printArea="1" showAutoFilter="1">
      <pane xSplit="7" ySplit="4" topLeftCell="P52" activePane="bottomRight" state="frozen"/>
      <selection pane="bottomRight" activeCell="P75" sqref="P75"/>
      <pageMargins left="0.70866141732283472" right="0.70866141732283472" top="0.74803149606299213" bottom="0.74803149606299213" header="0.31496062992125984" footer="0.31496062992125984"/>
      <pageSetup paperSize="8" scale="49" fitToHeight="0" orientation="landscape" horizontalDpi="4294967294" verticalDpi="4294967294" r:id="rId15"/>
      <headerFooter>
        <oddHeader>&amp;CLISTA PROIECTELOR CONTRACTATE - PROGRAMUL OPERATIONAl CAPACITATE ADMINISTRATIVĂ</oddHeader>
        <oddFooter>Page &amp;P of &amp;N</oddFooter>
      </headerFooter>
      <autoFilter ref="A4:AH68" xr:uid="{1FAFC539-6D84-4BBF-85D2-0404FB13ED34}"/>
    </customSheetView>
    <customSheetView guid="{65B035E3-87FA-46C5-996E-864F2C8D0EBC}" scale="55" showPageBreaks="1" fitToPage="1" printArea="1" showAutoFilter="1" hiddenColumns="1">
      <pane ySplit="6" topLeftCell="A7" activePane="bottomLeft" state="frozen"/>
      <selection pane="bottomLeft" activeCell="AP23" sqref="AP23"/>
      <pageMargins left="0.70866141732283472" right="0.70866141732283472" top="0.74803149606299213" bottom="0.74803149606299213" header="0.31496062992125984" footer="0.31496062992125984"/>
      <pageSetup paperSize="8" scale="34" fitToHeight="0" orientation="landscape" r:id="rId16"/>
      <headerFooter>
        <oddHeader>&amp;CLISTA PROIECTELOR CONTRACTATE - PROGRAMUL OPERATIONAl CAPACITATE ADMINISTRATIVĂ</oddHeader>
        <oddFooter>Page &amp;P of &amp;N</oddFooter>
      </headerFooter>
      <autoFilter ref="A6:DF305" xr:uid="{8BA3E644-345F-48C0-A6DD-1A775322E4ED}"/>
    </customSheetView>
    <customSheetView guid="{747340EB-2B31-46D2-ACDE-4FA91E2B50F6}" scale="70" showPageBreaks="1" fitToPage="1" printArea="1" topLeftCell="A316">
      <selection activeCell="C317" sqref="C1:C1048576"/>
      <pageMargins left="0.70866141732283472" right="0.70866141732283472" top="0.74803149606299213" bottom="0.74803149606299213" header="0.31496062992125984" footer="0.31496062992125984"/>
      <pageSetup paperSize="8" scale="15" fitToHeight="0" orientation="portrait" horizontalDpi="4294967294" verticalDpi="4294967294" r:id="rId17"/>
      <headerFooter>
        <oddHeader>&amp;CLISTA PROIECTELOR CONTRACTATE - PROGRAMUL OPERATIONAl CAPACITATE ADMINISTRATIVĂ</oddHeader>
        <oddFooter>Page &amp;P of &amp;N</oddFooter>
      </headerFooter>
    </customSheetView>
    <customSheetView guid="{0781B6C2-B440-4971-9809-BD16245A70FD}" scale="90" showPageBreaks="1" fitToPage="1" printArea="1" showAutoFilter="1" topLeftCell="T1">
      <pane ySplit="6" topLeftCell="A344" activePane="bottomLeft"/>
      <selection pane="bottomLeft" activeCell="AE344" sqref="AE344"/>
      <pageMargins left="0.70866141732283472" right="0.70866141732283472" top="0.74803149606299213" bottom="0.74803149606299213" header="0.31496062992125984" footer="0.31496062992125984"/>
      <pageSetup paperSize="8" scale="20" fitToHeight="0" orientation="landscape" horizontalDpi="4294967294" verticalDpi="4294967294" r:id="rId18"/>
      <headerFooter>
        <oddHeader>&amp;CLISTA PROIECTELOR CONTRACTATE - PROGRAMUL OPERATIONAl CAPACITATE ADMINISTRATIVĂ</oddHeader>
        <oddFooter>Page &amp;P of &amp;N</oddFooter>
      </headerFooter>
      <autoFilter ref="A1:AL256" xr:uid="{6365C7D2-13C0-4CAE-B2A2-3F6ACA849344}">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53ED3D47-B2C0-43A1-9A1E-F030D529F74C}" scale="70" showPageBreaks="1" fitToPage="1" printArea="1" filter="1" showAutoFilter="1" topLeftCell="A4">
      <selection activeCell="G529" sqref="G529"/>
      <pageMargins left="0.70866141732283472" right="0.70866141732283472" top="0.74803149606299213" bottom="0.74803149606299213" header="0.31496062992125984" footer="0.31496062992125984"/>
      <pageSetup paperSize="8" scale="20" fitToHeight="0" orientation="landscape" horizontalDpi="4294967294" verticalDpi="4294967294" r:id="rId19"/>
      <headerFooter>
        <oddHeader>&amp;CLISTA PROIECTELOR CONTRACTATE - PROGRAMUL OPERATIONAl CAPACITATE ADMINISTRATIVĂ</oddHeader>
        <oddFooter>Page &amp;P of &amp;N</oddFooter>
      </headerFooter>
      <autoFilter ref="A6:AL523" xr:uid="{73582BEA-132D-4DB1-BC3C-5C90115503E9}">
        <filterColumn colId="2">
          <filters>
            <filter val="711"/>
            <filter val="714"/>
          </filters>
        </filterColumn>
      </autoFilter>
    </customSheetView>
    <customSheetView guid="{EEA37434-2D22-478B-B49F-C3E8CD4AC2E1}" scale="60" showPageBreaks="1" fitToPage="1" printArea="1" filter="1" showAutoFilter="1">
      <pane xSplit="9" ySplit="7" topLeftCell="J9" activePane="bottomRight" state="frozen"/>
      <selection pane="bottomRight" activeCell="L14" sqref="L14"/>
      <pageMargins left="0.70866141732283472" right="0.70866141732283472" top="0.74803149606299213" bottom="0.74803149606299213" header="0.31496062992125984" footer="0.31496062992125984"/>
      <pageSetup paperSize="8" scale="21" fitToHeight="0" orientation="landscape" r:id="rId20"/>
      <headerFooter>
        <oddHeader>&amp;CLISTA PROIECTELOR CONTRACTATE - PROGRAMUL OPERATIONAl CAPACITATE ADMINISTRATIVĂ</oddHeader>
        <oddFooter>Page &amp;P of &amp;N</oddFooter>
      </headerFooter>
      <autoFilter ref="A6:DG511" xr:uid="{27848FF0-A04C-47BA-A02E-6D99DDD2F62B}">
        <filterColumn colId="2">
          <filters>
            <filter val="550"/>
          </filters>
        </filterColumn>
      </autoFilter>
    </customSheetView>
    <customSheetView guid="{901F9774-8BE7-424D-87C2-1026F3FA2E93}" scale="70" showPageBreaks="1" fitToPage="1" printArea="1" filter="1" showAutoFilter="1">
      <selection activeCell="F121" sqref="F121"/>
      <pageMargins left="0.70866141732283472" right="0.70866141732283472" top="0.74803149606299213" bottom="0.74803149606299213" header="0.31496062992125984" footer="0.31496062992125984"/>
      <pageSetup paperSize="8" scale="20" fitToHeight="0" orientation="landscape" horizontalDpi="4294967294" verticalDpi="4294967294" r:id="rId21"/>
      <headerFooter>
        <oddHeader>&amp;CLISTA PROIECTELOR CONTRACTATE - PROGRAMUL OPERATIONAl CAPACITATE ADMINISTRATIVĂ</oddHeader>
        <oddFooter>Page &amp;P of &amp;N</oddFooter>
      </headerFooter>
      <autoFilter ref="A1:XFD620" xr:uid="{6B7B9984-F864-429C-A90C-32BC556CE4B0}">
        <filterColumn colId="2">
          <filters>
            <filter val="619"/>
          </filters>
        </filterColumn>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3">
          <filters>
            <filter val="în implementare"/>
          </filters>
        </filterColumn>
        <filterColumn colId="35" showButton="0"/>
      </autoFilter>
    </customSheetView>
    <customSheetView guid="{7C1B4D6D-D666-48DD-AB17-E00791B6F0B6}" scale="55" showPageBreaks="1" fitToPage="1" printArea="1" showAutoFilter="1">
      <pane xSplit="4" ySplit="74" topLeftCell="X289" activePane="bottomRight" state="frozen"/>
      <selection pane="bottomRight" activeCell="AI4" sqref="AI4:AI5"/>
      <pageMargins left="0.70866141732283472" right="0.70866141732283472" top="0.74803149606299213" bottom="0.74803149606299213" header="0.31496062992125984" footer="0.31496062992125984"/>
      <pageSetup paperSize="8" scale="21" fitToHeight="0" orientation="landscape" r:id="rId22"/>
      <headerFooter>
        <oddHeader>&amp;CLISTA PROIECTELOR CONTRACTATE - PROGRAMUL OPERATIONAl CAPACITATE ADMINISTRATIVĂ</oddHeader>
        <oddFooter>Page &amp;P of &amp;N</oddFooter>
      </headerFooter>
      <autoFilter ref="A6:XFD525" xr:uid="{E90F9473-9E0B-40DB-89DF-6FF80CBAF93C}"/>
    </customSheetView>
    <customSheetView guid="{EB0F2E6A-FA33-479E-9A47-8E3494FBB4DE}" scale="80" showPageBreaks="1" fitToPage="1" printArea="1" showAutoFilter="1">
      <selection activeCell="C7" sqref="C7"/>
      <pageMargins left="0.70866141732283472" right="0.70866141732283472" top="0.74803149606299213" bottom="0.74803149606299213" header="0.31496062992125984" footer="0.31496062992125984"/>
      <pageSetup paperSize="8" scale="21" fitToHeight="0" orientation="landscape" horizontalDpi="4294967294" verticalDpi="4294967294" r:id="rId23"/>
      <headerFooter>
        <oddHeader>&amp;CLISTA PROIECTELOR CONTRACTATE - PROGRAMUL OPERATIONAl CAPACITATE ADMINISTRATIVĂ</oddHeader>
        <oddFooter>Page &amp;P of &amp;N</oddFooter>
      </headerFooter>
      <autoFilter ref="A6:AL600" xr:uid="{8D9A26FE-6670-4613-A93A-E9852491CAF5}"/>
    </customSheetView>
    <customSheetView guid="{EF10298D-3F59-43F1-9A86-8C1CCA3B5D93}" scale="60" showPageBreaks="1" fitToPage="1" printArea="1" showAutoFilter="1" topLeftCell="P4">
      <pane ySplit="3" topLeftCell="A489" activePane="bottomLeft" state="frozen"/>
      <selection pane="bottomLeft" activeCell="Y491" sqref="Y491"/>
      <pageMargins left="0.70866141732283472" right="0.70866141732283472" top="0.74803149606299213" bottom="0.74803149606299213" header="0.31496062992125984" footer="0.31496062992125984"/>
      <pageSetup paperSize="8" scale="13" fitToHeight="0" orientation="landscape" r:id="rId24"/>
      <headerFooter>
        <oddHeader>&amp;CLISTA PROIECTELOR CONTRACTATE - PROGRAMUL OPERATIONAl CAPACITATE ADMINISTRATIVĂ</oddHeader>
        <oddFooter>Page &amp;P of &amp;N</oddFooter>
      </headerFooter>
      <autoFilter ref="A6:AL600" xr:uid="{504D996E-6F84-4A41-A6B4-CF669C5E1011}"/>
    </customSheetView>
    <customSheetView guid="{C617B00B-5C1E-453A-BF77-BE61E91ACD97}" scale="47" showPageBreaks="1" fitToPage="1" printArea="1" showAutoFilter="1" topLeftCell="A578">
      <selection activeCell="G589" sqref="G589"/>
      <pageMargins left="0.26" right="0.17" top="0.74803149606299213" bottom="0.74803149606299213" header="0.31496062992125984" footer="0.31496062992125984"/>
      <pageSetup paperSize="9" scale="10" orientation="landscape" horizontalDpi="4294967294" verticalDpi="4294967294" r:id="rId25"/>
      <headerFooter>
        <oddHeader>&amp;CLISTA PROIECTELOR CONTRACTATE - PROGRAMUL OPERATIONAl CAPACITATE ADMINISTRATIVĂ</oddHeader>
        <oddFooter>Page &amp;P of &amp;N</oddFooter>
      </headerFooter>
      <autoFilter ref="A1:DG715" xr:uid="{04C48E7B-87BB-467A-B148-4BDE63AE9835}">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C408A2F1-296F-4EAD-B15B-336D73846FDD}" scale="85" showPageBreaks="1" fitToPage="1" printArea="1" showAutoFilter="1">
      <selection activeCell="A4" sqref="A4:A5"/>
      <pageMargins left="0.70866141732283472" right="0.70866141732283472" top="0.74803149606299213" bottom="0.74803149606299213" header="0.31496062992125984" footer="0.31496062992125984"/>
      <pageSetup paperSize="8" scale="20" fitToHeight="0" orientation="landscape" horizontalDpi="4294967294" verticalDpi="4294967294" r:id="rId26"/>
      <headerFooter>
        <oddHeader>&amp;CLISTA PROIECTELOR CONTRACTATE - PROGRAMUL OPERATIONAl CAPACITATE ADMINISTRATIVĂ</oddHeader>
        <oddFooter>Page &amp;P of &amp;N</oddFooter>
      </headerFooter>
      <autoFilter ref="A1:AL658" xr:uid="{836D0EB0-6437-4454-B6E2-E26B0C07A6A2}">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FE50EAC0-52A5-4C33-B973-65E93D03D3EA}" scale="73" showPageBreaks="1" fitToPage="1" printArea="1" filter="1" showAutoFilter="1" topLeftCell="J1">
      <selection activeCell="K155" sqref="K155"/>
      <pageMargins left="0.70866141732283472" right="0.70866141732283472" top="0.74803149606299213" bottom="0.74803149606299213" header="0.31496062992125984" footer="0.31496062992125984"/>
      <pageSetup paperSize="8" scale="21" fitToHeight="0" orientation="landscape" horizontalDpi="4294967294" verticalDpi="4294967294" r:id="rId27"/>
      <headerFooter>
        <oddHeader>&amp;CLISTA PROIECTELOR CONTRACTATE - PROGRAMUL OPERATIONAl CAPACITATE ADMINISTRATIVĂ</oddHeader>
        <oddFooter>Page &amp;P of &amp;N</oddFooter>
      </headerFooter>
      <autoFilter ref="A1:AL658" xr:uid="{90FAE792-5199-4CFD-8198-D5A3B73F6DB5}">
        <filterColumn colId="2">
          <filters>
            <filter val="576"/>
          </filters>
        </filterColumn>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1CC91F84-AEF4-4042-AB5F-6C7D03A1F066}" scale="70" showPageBreaks="1" fitToPage="1" printArea="1" showAutoFilter="1" topLeftCell="V437">
      <selection activeCell="AG438" sqref="AG438"/>
      <pageMargins left="0.70866141732283472" right="0.70866141732283472" top="0.74803149606299213" bottom="0.74803149606299213" header="0.31496062992125984" footer="0.31496062992125984"/>
      <pageSetup paperSize="8" scale="13" fitToHeight="0" orientation="landscape" r:id="rId28"/>
      <headerFooter>
        <oddHeader>&amp;CLISTA PROIECTELOR CONTRACTATE - PROGRAMUL OPERATIONAl CAPACITATE ADMINISTRATIVĂ</oddHeader>
        <oddFooter>Page &amp;P of &amp;N</oddFooter>
      </headerFooter>
      <autoFilter ref="A6:XFD679" xr:uid="{0349974F-9777-4EA0-BE06-CF34EDBD5B24}"/>
    </customSheetView>
    <customSheetView guid="{5AAA4DFE-88B1-4674-95ED-5FCD7A50BC22}" scale="70" showPageBreaks="1" fitToPage="1" printArea="1" filter="1" showAutoFilter="1" topLeftCell="C348">
      <selection activeCell="I699" sqref="I699"/>
      <pageMargins left="0.70866141732283472" right="0.70866141732283472" top="0.74803149606299213" bottom="0.74803149606299213" header="0.31496062992125984" footer="0.31496062992125984"/>
      <pageSetup paperSize="8" scale="21" fitToHeight="0" orientation="landscape" horizontalDpi="4294967294" verticalDpi="4294967294" r:id="rId29"/>
      <headerFooter>
        <oddHeader>&amp;CLISTA PROIECTELOR CONTRACTATE - PROGRAMUL OPERATIONAl CAPACITATE ADMINISTRATIVĂ</oddHeader>
        <oddFooter>Page &amp;P of &amp;N</oddFooter>
      </headerFooter>
      <autoFilter ref="A4:DG679" xr:uid="{D86F48B7-C663-4768-A851-52848B465A78}">
        <filterColumn colId="2">
          <filters>
            <filter val="498"/>
          </filters>
        </filterColumn>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autoFilter>
    </customSheetView>
  </customSheetViews>
  <mergeCells count="29">
    <mergeCell ref="A1:A3"/>
    <mergeCell ref="F1:F3"/>
    <mergeCell ref="G1:G3"/>
    <mergeCell ref="M1:M3"/>
    <mergeCell ref="N1:N3"/>
    <mergeCell ref="C1:C3"/>
    <mergeCell ref="E1:E3"/>
    <mergeCell ref="D1:D3"/>
    <mergeCell ref="I1:I3"/>
    <mergeCell ref="J1:J3"/>
    <mergeCell ref="K1:K3"/>
    <mergeCell ref="L1:L3"/>
    <mergeCell ref="H1:H3"/>
    <mergeCell ref="B1:B3"/>
    <mergeCell ref="X2:X3"/>
    <mergeCell ref="O1:O3"/>
    <mergeCell ref="P1:P3"/>
    <mergeCell ref="Q1:Q3"/>
    <mergeCell ref="R1:AA1"/>
    <mergeCell ref="R2:W2"/>
    <mergeCell ref="AI1:AJ1"/>
    <mergeCell ref="AI2:AI3"/>
    <mergeCell ref="AJ2:AJ3"/>
    <mergeCell ref="AA2:AA3"/>
    <mergeCell ref="AF1:AF3"/>
    <mergeCell ref="AG1:AG3"/>
    <mergeCell ref="AH1:AH3"/>
    <mergeCell ref="AE2:AE3"/>
    <mergeCell ref="AD1:AD3"/>
  </mergeCells>
  <phoneticPr fontId="11" type="noConversion"/>
  <pageMargins left="0.70866141732283472" right="0.70866141732283472" top="0.74803149606299213" bottom="0.74803149606299213" header="0.31496062992125984" footer="0.31496062992125984"/>
  <pageSetup paperSize="8" scale="21" fitToHeight="0" orientation="landscape" horizontalDpi="4294967294" verticalDpi="4294967294" r:id="rId30"/>
  <headerFooter>
    <oddHeader>&amp;CLISTA PROIECTELOR CONTRACTATE - PROGRAMUL OPERATIONAl CAPACITATE ADMINISTRATIVĂ</oddHeader>
    <oddFoote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4</vt:i4>
      </vt:variant>
    </vt:vector>
  </HeadingPairs>
  <TitlesOfParts>
    <vt:vector size="5" baseType="lpstr">
      <vt:lpstr>Sheet1</vt:lpstr>
      <vt:lpstr>Sheet1!_Hlk1048507</vt:lpstr>
      <vt:lpstr>Sheet1!_Hlk516490095</vt:lpstr>
      <vt:lpstr>Sheet1!_Hlk526934001</vt:lpstr>
      <vt:lpstr>Sheet1!Print_Area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elisabeta.trifan</dc:creator>
  <cp:lastModifiedBy>aura.munteanu</cp:lastModifiedBy>
  <cp:lastPrinted>2019-12-23T12:53:58Z</cp:lastPrinted>
  <dcterms:created xsi:type="dcterms:W3CDTF">2019-05-03T10:06:35Z</dcterms:created>
  <dcterms:modified xsi:type="dcterms:W3CDTF">2022-10-26T10:05:21Z</dcterms:modified>
</cp:coreProperties>
</file>