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C:\Users\mircea.pavel\Downloads\"/>
    </mc:Choice>
  </mc:AlternateContent>
  <xr:revisionPtr revIDLastSave="0" documentId="13_ncr:1_{159CE163-3FD3-44D8-8354-B4B5C2A9DFA4}" xr6:coauthVersionLast="43" xr6:coauthVersionMax="43" xr10:uidLastSave="{00000000-0000-0000-0000-000000000000}"/>
  <workbookProtection workbookPassword="CA39" lockStructure="1"/>
  <bookViews>
    <workbookView xWindow="-120" yWindow="-120" windowWidth="29040" windowHeight="15840" tabRatio="154" xr2:uid="{00000000-000D-0000-FFFF-FFFF00000000}"/>
  </bookViews>
  <sheets>
    <sheet name="Sheet1" sheetId="1" r:id="rId1"/>
  </sheets>
  <definedNames>
    <definedName name="_xlnm._FilterDatabase" localSheetId="0" hidden="1">Sheet1!$A$1:$AK$384</definedName>
    <definedName name="_Hlk1048507" localSheetId="0">Sheet1!$I$383</definedName>
    <definedName name="_Hlk511228962">Sheet1!#REF!</definedName>
    <definedName name="_Hlk511229340">Sheet1!#REF!</definedName>
    <definedName name="_Hlk516490095" localSheetId="0">Sheet1!$I$346</definedName>
    <definedName name="_Hlk526934001" localSheetId="0">Sheet1!$G$89</definedName>
    <definedName name="_xlnm.Print_Area" localSheetId="0">Sheet1!$A$1:$AK$384</definedName>
    <definedName name="Z_0585DD1B_89D4_4278_953B_FA6D57DCCE82_.wvu.FilterData" localSheetId="0" hidden="1">Sheet1!$A$4:$AK$384</definedName>
    <definedName name="Z_0781B6C2_B440_4971_9809_BD16245A70FD_.wvu.FilterData" localSheetId="0" hidden="1">Sheet1!$A$1:$AK$384</definedName>
    <definedName name="Z_0781B6C2_B440_4971_9809_BD16245A70FD_.wvu.PrintArea" localSheetId="0" hidden="1">Sheet1!$A$1:$AK$384</definedName>
    <definedName name="Z_0A043D96_6DF8_4E40_9D1E_818A39BAFD81_.wvu.FilterData" localSheetId="0" hidden="1">Sheet1!$A$4:$AK$384</definedName>
    <definedName name="Z_0D4E932E_8E85_4001_9304_AAB4DBAD8A65_.wvu.FilterData" localSheetId="0" hidden="1">Sheet1!$A$4:$AK$362</definedName>
    <definedName name="Z_122B486E_8EE5_41FD_B958_74B116FA5D23_.wvu.FilterData" localSheetId="0" hidden="1">Sheet1!$A$1:$AK$362</definedName>
    <definedName name="Z_1278E668_633E_4AB5_BA11_904BA4B2301D_.wvu.FilterData" localSheetId="0" hidden="1">Sheet1!$A$1:$AK$362</definedName>
    <definedName name="Z_15F03B40_FCDD_463A_AE42_63F6121ACBED_.wvu.FilterData" localSheetId="0" hidden="1">Sheet1!$C$1:$C$384</definedName>
    <definedName name="Z_17F4A6A1_469E_46FB_A3A0_041FC3712E3B_.wvu.FilterData" localSheetId="0" hidden="1">Sheet1!$A$4:$AK$384</definedName>
    <definedName name="Z_19FC3531_0DA5_4817_A3AD_017115B33D3C_.wvu.FilterData" localSheetId="0" hidden="1">Sheet1!#REF!</definedName>
    <definedName name="Z_22D79F88_81A2_49FE_923A_13405540BBB2_.wvu.FilterData" localSheetId="0" hidden="1">Sheet1!$A$4:$AK$362</definedName>
    <definedName name="Z_2355B1FA_E7E3_44CD_A529_24812589AA28_.wvu.FilterData" localSheetId="0" hidden="1">Sheet1!$A$4:$AK$384</definedName>
    <definedName name="Z_250231BB_5F02_4B46_B1CA_B904A9B40BA2_.wvu.FilterData" localSheetId="0" hidden="1">Sheet1!$A$3:$AK$384</definedName>
    <definedName name="Z_25084D9D_9C92_4823_A653_D1AEC60737AD_.wvu.FilterData" localSheetId="0" hidden="1">Sheet1!$A$4:$AK$362</definedName>
    <definedName name="Z_2547C3D7_22F7_4CAF_8E48_C8F3425DB942_.wvu.FilterData" localSheetId="0" hidden="1">Sheet1!$A$4:$AK$384</definedName>
    <definedName name="Z_280C391A_EEDA_43A4_BCD2_EE017A1C1AE2_.wvu.FilterData" localSheetId="0" hidden="1">Sheet1!$A$4:$AK$384</definedName>
    <definedName name="Z_297CB86E_F816_4839_BE0B_A075145D0E50_.wvu.FilterData" localSheetId="0" hidden="1">Sheet1!$A$1:$AK$362</definedName>
    <definedName name="Z_2A26C971_CCE6_49C7_89EC_0B2699E5DD98_.wvu.FilterData" localSheetId="0" hidden="1">Sheet1!$A$4:$AK$384</definedName>
    <definedName name="Z_2A657C48_B241_4C19_9A74_98ECFC665F2A_.wvu.FilterData" localSheetId="0" hidden="1">Sheet1!$A$5:$AK$384</definedName>
    <definedName name="Z_2C296388_EDB5_4F1F_B0F4_90EC07CCD947_.wvu.FilterData" localSheetId="0" hidden="1">Sheet1!$A$1:$AK$384</definedName>
    <definedName name="Z_2C296388_EDB5_4F1F_B0F4_90EC07CCD947_.wvu.PrintArea" localSheetId="0" hidden="1">Sheet1!$A$1:$AK$384</definedName>
    <definedName name="Z_2E491347_3C24_4F24_80DE_5DC574AA2438_.wvu.FilterData" localSheetId="0" hidden="1">Sheet1!$A$4:$AK$384</definedName>
    <definedName name="Z_305BEEB9_C99E_4E52_A4AB_56EA1595A366_.wvu.FilterData" localSheetId="0" hidden="1">Sheet1!$A$4:$AK$384</definedName>
    <definedName name="Z_31567BC0_5366_4F93_AE32_123F006BC234_.wvu.FilterData" localSheetId="0" hidden="1">Sheet1!$A$4:$AK$384</definedName>
    <definedName name="Z_324E461A_DC75_4814_87BA_41F170D0ED0B_.wvu.FilterData" localSheetId="0" hidden="1">Sheet1!$A$4:$AK$384</definedName>
    <definedName name="Z_340EDCDE_FAE5_4319_AEAD_F8264DCA5D27_.wvu.FilterData" localSheetId="0" hidden="1">Sheet1!$A$5:$AK$384</definedName>
    <definedName name="Z_34BB42D3_88F0_437E_91ED_3E3C369B9525_.wvu.FilterData" localSheetId="0" hidden="1">Sheet1!$A$4:$AK$384</definedName>
    <definedName name="Z_36624B2D_80F9_4F79_AC4A_B3547C36F23F_.wvu.FilterData" localSheetId="0" hidden="1">Sheet1!$A$1:$AK$384</definedName>
    <definedName name="Z_36624B2D_80F9_4F79_AC4A_B3547C36F23F_.wvu.PrintArea" localSheetId="0" hidden="1">Sheet1!$A$1:$AK$384</definedName>
    <definedName name="Z_377DA8E3_6D61_4CAB_8EDD_2C41FF81A19E_.wvu.FilterData" localSheetId="0" hidden="1">Sheet1!$A$4:$AK$384</definedName>
    <definedName name="Z_38C68E87_361F_434A_8BE4_BA2AF4CB3868_.wvu.FilterData" localSheetId="0" hidden="1">Sheet1!$A$4:$AK$384</definedName>
    <definedName name="Z_3A00607E_664E_4ED3_AB65_1F25AC8DBC86_.wvu.FilterData" localSheetId="0" hidden="1">Sheet1!$C$1:$C$384</definedName>
    <definedName name="Z_3AFE79CE_CE75_447D_8C73_1AE63A224CBA_.wvu.FilterData" localSheetId="0" hidden="1">Sheet1!$A$4:$AK$384</definedName>
    <definedName name="Z_3AFE79CE_CE75_447D_8C73_1AE63A224CBA_.wvu.PrintArea" localSheetId="0" hidden="1">Sheet1!$A$1:$AK$384</definedName>
    <definedName name="Z_3E15816F_2EBF_42BD_89BB_84C7827E4C28_.wvu.FilterData" localSheetId="0" hidden="1">Sheet1!$A$4:$AK$384</definedName>
    <definedName name="Z_3E7AD119_0031_4735_857B_FBC0C47AB231_.wvu.FilterData" localSheetId="0" hidden="1">Sheet1!$A$4:$AK$384</definedName>
    <definedName name="Z_3F70E84F_60E2_4042_91AA_EFB3B23DDDDF_.wvu.FilterData" localSheetId="0" hidden="1">Sheet1!$A$1:$AK$362</definedName>
    <definedName name="Z_4179C3D9_D1C3_46CD_B643_627525757C5E_.wvu.FilterData" localSheetId="0" hidden="1">Sheet1!$A$1:$AK$271</definedName>
    <definedName name="Z_417D6CD8_690F_495B_A03E_2A89D52B6CE8_.wvu.FilterData" localSheetId="0" hidden="1">Sheet1!$A$4:$AK$384</definedName>
    <definedName name="Z_41AA4E5D_9625_4478_B720_2BD6AE34E699_.wvu.FilterData" localSheetId="0" hidden="1">Sheet1!$A$4:$AK$384</definedName>
    <definedName name="Z_471339A8_E0FA_4CA1_8194_04936068CF02_.wvu.FilterData" localSheetId="0" hidden="1">Sheet1!$A$1:$AK$384</definedName>
    <definedName name="Z_497C7126_2491_461C_AFC3_03C2E163F15C_.wvu.FilterData" localSheetId="0" hidden="1">Sheet1!$A$4:$AK$362</definedName>
    <definedName name="Z_4AAB8139_F2B6_43E5_8C9F_E607BD4F44E4_.wvu.FilterData" localSheetId="0" hidden="1">Sheet1!$A$1:$AK$362</definedName>
    <definedName name="Z_4C2A0B30_0070_415E_A110_A9BCC2779710_.wvu.FilterData" localSheetId="0" hidden="1">Sheet1!$C$1:$C$384</definedName>
    <definedName name="Z_4FDB167B_D56E_45D4_B120_847D0871AA6B_.wvu.FilterData" localSheetId="0" hidden="1">Sheet1!$A$4:$AK$384</definedName>
    <definedName name="Z_529F67B3_DE0D_4FDC_BFEA_8F16107265EB_.wvu.FilterData" localSheetId="0" hidden="1">Sheet1!$A$4:$AK$384</definedName>
    <definedName name="Z_53ED3D47_B2C0_43A1_9A1E_F030D529F74C_.wvu.FilterData" localSheetId="0" hidden="1">Sheet1!$A$4:$AK$384</definedName>
    <definedName name="Z_53ED3D47_B2C0_43A1_9A1E_F030D529F74C_.wvu.PrintArea" localSheetId="0" hidden="1">Sheet1!$A$1:$AK$384</definedName>
    <definedName name="Z_5789AB6A_B04B_4240_920E_89274E9F5C82_.wvu.FilterData" localSheetId="0" hidden="1">Sheet1!$A$4:$AK$275</definedName>
    <definedName name="Z_59EBF1CB_AF85_469A_B1D0_E57CB0203158_.wvu.FilterData" localSheetId="0" hidden="1">Sheet1!$C$1:$C$384</definedName>
    <definedName name="Z_5A66C3D0_FC57_4AA7_B0C6_C5E9A7DE2A79_.wvu.FilterData" localSheetId="0" hidden="1">Sheet1!$A$4:$AK$384</definedName>
    <definedName name="Z_5AAA4DFE_88B1_4674_95ED_5FCD7A50BC22_.wvu.FilterData" localSheetId="0" hidden="1">Sheet1!$A$1:$AK$384</definedName>
    <definedName name="Z_5AAA4DFE_88B1_4674_95ED_5FCD7A50BC22_.wvu.PrintArea" localSheetId="0" hidden="1">Sheet1!$A$1:$AK$384</definedName>
    <definedName name="Z_5E661ABE_E06E_455E_A661_DDD1907219D0_.wvu.FilterData" localSheetId="0" hidden="1">Sheet1!$A$1:$AK$362</definedName>
    <definedName name="Z_6408B19F_539D_4190_A77D_CCE77E163803_.wvu.FilterData" localSheetId="0" hidden="1">Sheet1!$A$1:$AK$362</definedName>
    <definedName name="Z_65B035E3_87FA_46C5_996E_864F2C8D0EBC_.wvu.Cols" localSheetId="0" hidden="1">Sheet1!$H:$N</definedName>
    <definedName name="Z_65B035E3_87FA_46C5_996E_864F2C8D0EBC_.wvu.FilterData" localSheetId="0" hidden="1">Sheet1!$A$4:$AK$384</definedName>
    <definedName name="Z_65B035E3_87FA_46C5_996E_864F2C8D0EBC_.wvu.PrintArea" localSheetId="0" hidden="1">Sheet1!$A$1:$AK$384</definedName>
    <definedName name="Z_65C35D6D_934F_4431_BA92_90255FC17BA4_.wvu.FilterData" localSheetId="0" hidden="1">Sheet1!$A$1:$AK$66</definedName>
    <definedName name="Z_65C35D6D_934F_4431_BA92_90255FC17BA4_.wvu.PrintArea" localSheetId="0" hidden="1">Sheet1!$A$1:$AK$384</definedName>
    <definedName name="Z_6B2EC822_DCDB_4711_A946_1038FC40FACE_.wvu.FilterData" localSheetId="0" hidden="1">Sheet1!$A$1:$AK$362</definedName>
    <definedName name="Z_6C96816B_17C2_4EA9_846E_8E6B5AD26B6D_.wvu.FilterData" localSheetId="0" hidden="1">Sheet1!#REF!</definedName>
    <definedName name="Z_6CE52079_5576_45A5_9A9F_9CA970D849EF_.wvu.FilterData" localSheetId="0" hidden="1">Sheet1!$A$4:$AK$384</definedName>
    <definedName name="Z_747340EB_2B31_46D2_ACDE_4FA91E2B50F6_.wvu.FilterData" localSheetId="0" hidden="1">Sheet1!$A$1:$AK$384</definedName>
    <definedName name="Z_747340EB_2B31_46D2_ACDE_4FA91E2B50F6_.wvu.PrintArea" localSheetId="0" hidden="1">Sheet1!$A$1:$AK$384</definedName>
    <definedName name="Z_7A12EF56_0E17_493A_8E1E_6DFC6553C116_.wvu.FilterData" localSheetId="0" hidden="1">Sheet1!$A$4:$AK$362</definedName>
    <definedName name="Z_7C1B4D6D_D666_48DD_AB17_E00791B6F0B6_.wvu.FilterData" localSheetId="0" hidden="1">Sheet1!$A$4:$AK$384</definedName>
    <definedName name="Z_7C1B4D6D_D666_48DD_AB17_E00791B6F0B6_.wvu.PrintArea" localSheetId="0" hidden="1">Sheet1!$A$1:$AK$384</definedName>
    <definedName name="Z_7C389A6C_C379_45EF_8779_FEC15F27C7E7_.wvu.FilterData" localSheetId="0" hidden="1">Sheet1!$C$1:$C$384</definedName>
    <definedName name="Z_7D2F4374_D571_49E4_B659_129D2AFDC43C_.wvu.FilterData" localSheetId="0" hidden="1">Sheet1!$A$4:$AK$384</definedName>
    <definedName name="Z_83085181_C77C_4D05_8C8A_9B8FFC5A1DD7_.wvu.FilterData" localSheetId="0" hidden="1">Sheet1!$A$4:$AK$384</definedName>
    <definedName name="Z_831F7439_6937_483F_B601_184FEF5CECFD_.wvu.FilterData" localSheetId="0" hidden="1">Sheet1!$A$4:$AK$384</definedName>
    <definedName name="Z_84FB199A_D56E_4FDD_AC4A_70CE86CD87BC_.wvu.FilterData" localSheetId="0" hidden="1">Sheet1!$A$1:$AK$384</definedName>
    <definedName name="Z_84FB199A_D56E_4FDD_AC4A_70CE86CD87BC_.wvu.PrintArea" localSheetId="0" hidden="1">Sheet1!$A$1:$AK$384</definedName>
    <definedName name="Z_87F9ACD0_3200_450C_B310_DAAD5FC85307_.wvu.FilterData" localSheetId="0" hidden="1">Sheet1!$A$4:$AK$384</definedName>
    <definedName name="Z_89EE8E7D_C811_4C16_975A_830983580DAD_.wvu.FilterData" localSheetId="0" hidden="1">Sheet1!$A$4:$AK$384</definedName>
    <definedName name="Z_89F20599_320E_4C2A_9159_8E9F2F24F61C_.wvu.FilterData" localSheetId="0" hidden="1">Sheet1!$A$4:$AK$384</definedName>
    <definedName name="Z_8AA945B4_D724_4D85_9940_66A1F18CFF54_.wvu.FilterData" localSheetId="0" hidden="1">Sheet1!$A$1:$AK$384</definedName>
    <definedName name="Z_8EDB8BF9_8BBB_4EEE_B4F0_C5928D0746DD_.wvu.FilterData" localSheetId="0" hidden="1">Sheet1!$A$1:$AK$384</definedName>
    <definedName name="Z_901F9774_8BE7_424D_87C2_1026F3FA2E93_.wvu.FilterData" localSheetId="0" hidden="1">Sheet1!$C$1:$C$384</definedName>
    <definedName name="Z_901F9774_8BE7_424D_87C2_1026F3FA2E93_.wvu.PrintArea" localSheetId="0" hidden="1">Sheet1!$A$1:$AK$384</definedName>
    <definedName name="Z_902D3CAF_0577_4A3F_A86A_C01FD8CA4695_.wvu.FilterData" localSheetId="0" hidden="1">Sheet1!$A$4:$AK$384</definedName>
    <definedName name="Z_9048650B_365B_48D5_8FC2_A911C6E66865_.wvu.FilterData" localSheetId="0" hidden="1">Sheet1!$A$1:$AK$384</definedName>
    <definedName name="Z_905D93EA_5662_45AB_8995_A9908B3E5D52_.wvu.FilterData" localSheetId="0" hidden="1">Sheet1!$B$1:$B$384</definedName>
    <definedName name="Z_905D93EA_5662_45AB_8995_A9908B3E5D52_.wvu.PrintArea" localSheetId="0" hidden="1">Sheet1!$A$1:$AK$384</definedName>
    <definedName name="Z_90D527B8_FE15_48EB_8A8E_6DB0EBF25D81_.wvu.FilterData" localSheetId="0" hidden="1">Sheet1!$A$1:$AK$384</definedName>
    <definedName name="Z_91199DA1_59E7_4345_8CB7_A1085C901326_.wvu.FilterData" localSheetId="0" hidden="1">Sheet1!$A$4:$AK$384</definedName>
    <definedName name="Z_91251A9B_6CF6_49E6_857D_BA6C728D7C53_.wvu.FilterData" localSheetId="0" hidden="1">Sheet1!$A$1:$AK$362</definedName>
    <definedName name="Z_923E7374_9C36_4380_9E0A_313EA2F408F0_.wvu.FilterData" localSheetId="0" hidden="1">Sheet1!$A$4:$AK$384</definedName>
    <definedName name="Z_9552AAE6_9279_4387_9199_64D0E8A50A87_.wvu.FilterData" localSheetId="0" hidden="1">Sheet1!$A$4:$AK$384</definedName>
    <definedName name="Z_97F6C5A1_2596_4037_A854_1D6AE8A1071E_.wvu.FilterData" localSheetId="0" hidden="1">Sheet1!$A$4:$AK$384</definedName>
    <definedName name="Z_9980B309_0131_4577_BF29_212714399FDF_.wvu.FilterData" localSheetId="0" hidden="1">Sheet1!$A$1:$AK$384</definedName>
    <definedName name="Z_9980B309_0131_4577_BF29_212714399FDF_.wvu.PrintArea" localSheetId="0" hidden="1">Sheet1!$A$1:$AK$384</definedName>
    <definedName name="Z_9DE067B2_E801_456D_B5D0_CD5646CA5948_.wvu.FilterData" localSheetId="0" hidden="1">Sheet1!$A$1:$AK$362</definedName>
    <definedName name="Z_9EA5E3FA_46F1_4729_828C_4A08518018C1_.wvu.FilterData" localSheetId="0" hidden="1">Sheet1!$A$1:$AK$362</definedName>
    <definedName name="Z_9EA5E3FA_46F1_4729_828C_4A08518018C1_.wvu.PrintArea" localSheetId="0" hidden="1">Sheet1!$A$1:$AK$384</definedName>
    <definedName name="Z_9F268523_731B_48FE_86AA_1A6382332A83_.wvu.FilterData" localSheetId="0" hidden="1">Sheet1!$A$4:$AK$384</definedName>
    <definedName name="Z_A093D1FA_1747_4946_A02E_7D721604BB07_.wvu.FilterData" localSheetId="0" hidden="1">Sheet1!$B$1:$B$384</definedName>
    <definedName name="Z_A3134A53_5204_4FFF_BA84_3528D3179C0C_.wvu.FilterData" localSheetId="0" hidden="1">Sheet1!$A$3:$AK$271</definedName>
    <definedName name="Z_A5B1481C_EF26_486A_984F_85CDDC2FD94F_.wvu.FilterData" localSheetId="0" hidden="1">Sheet1!$A$4:$AK$384</definedName>
    <definedName name="Z_A5B1481C_EF26_486A_984F_85CDDC2FD94F_.wvu.PrintArea" localSheetId="0" hidden="1">Sheet1!$A$1:$AK$384</definedName>
    <definedName name="Z_A5EFE636_E984_4BB3_BEFD_877FE7A4960F_.wvu.FilterData" localSheetId="0" hidden="1">Sheet1!$A$4:$AK$384</definedName>
    <definedName name="Z_A87F3E0E_3A8E_4B82_8170_33752259B7DB_.wvu.FilterData" localSheetId="0" hidden="1">Sheet1!$A$4:$AK$384</definedName>
    <definedName name="Z_A87F3E0E_3A8E_4B82_8170_33752259B7DB_.wvu.PrintArea" localSheetId="0" hidden="1">Sheet1!$A$1:$AK$384</definedName>
    <definedName name="Z_A9B3B58E_F12B_4916_890B_7D88AA745B81_.wvu.FilterData" localSheetId="0" hidden="1">Sheet1!$A$1:$AK$384</definedName>
    <definedName name="Z_AD1D8E66_18A9_4CB7_BBE4_02F7E757257F_.wvu.FilterData" localSheetId="0" hidden="1">Sheet1!$A$1:$AK$384</definedName>
    <definedName name="Z_AE58BCBC_9F06_4E6C_A28B_2F5626DD7C1B_.wvu.FilterData" localSheetId="0" hidden="1">Sheet1!$A$4:$AK$384</definedName>
    <definedName name="Z_AE8F3F1B_FDCB_45A5_9CC8_53B4E3A0445E_.wvu.FilterData" localSheetId="0" hidden="1">Sheet1!$A$1:$AK$362</definedName>
    <definedName name="Z_AECBC9F6_D9DE_4043_9C2F_160F7ECDAD3D_.wvu.FilterData" localSheetId="0" hidden="1">Sheet1!$A$4:$AK$384</definedName>
    <definedName name="Z_B31B819C_CFEB_4B80_9AED_AC603C39BE78_.wvu.FilterData" localSheetId="0" hidden="1">Sheet1!$A$4:$AK$384</definedName>
    <definedName name="Z_B407928D_3938_4D05_B2B2_40B4F21D0436_.wvu.FilterData" localSheetId="0" hidden="1">Sheet1!$A$4:$AK$4</definedName>
    <definedName name="Z_B5BED753_4D8C_498E_8AE1_A08F7C0956F7_.wvu.FilterData" localSheetId="0" hidden="1">Sheet1!$A$5:$AK$384</definedName>
    <definedName name="Z_BB5C630D_1317_4843_984F_E431986514A4_.wvu.FilterData" localSheetId="0" hidden="1">Sheet1!$A$4:$AK$384</definedName>
    <definedName name="Z_BBF2EF6C_D4AD_46E1_803F_582F4D45F852_.wvu.FilterData" localSheetId="0" hidden="1">Sheet1!$A$1:$AK$384</definedName>
    <definedName name="Z_BDA3804A_96FA_4D9F_AFED_695788A754E9_.wvu.FilterData" localSheetId="0" hidden="1">Sheet1!$A$4:$AK$275</definedName>
    <definedName name="Z_C3502361_AD2C_4705_878B_D12169ED60B1_.wvu.FilterData" localSheetId="0" hidden="1">Sheet1!$A$4:$AK$384</definedName>
    <definedName name="Z_C3502361_AD2C_4705_878B_D12169ED60B1_.wvu.PrintArea" localSheetId="0" hidden="1">Sheet1!$A$1:$AK$384</definedName>
    <definedName name="Z_C408A2F1_296F_4EAD_B15B_336D73846FDD_.wvu.FilterData" localSheetId="0" hidden="1">Sheet1!$A$1:$AK$66</definedName>
    <definedName name="Z_C408A2F1_296F_4EAD_B15B_336D73846FDD_.wvu.PrintArea" localSheetId="0" hidden="1">Sheet1!$A$1:$AK$384</definedName>
    <definedName name="Z_C4E44235_F714_4BCE_B2B0_F4813D3BDF91_.wvu.FilterData" localSheetId="0" hidden="1">Sheet1!$A$4:$AK$384</definedName>
    <definedName name="Z_C71F80D5_B6C1_4ED9_B18D_D719D69F5A47_.wvu.FilterData" localSheetId="0" hidden="1">Sheet1!$A$4:$AK$384</definedName>
    <definedName name="Z_C90ECED7_D145_417E_BB55_4FC7FD4BF46C_.wvu.FilterData" localSheetId="0" hidden="1">Sheet1!$A$1:$AK$362</definedName>
    <definedName name="Z_CAB79FAE_AA32_4D62_A794_A6DB6513D801_.wvu.FilterData" localSheetId="0" hidden="1">Sheet1!$A$4:$AK$384</definedName>
    <definedName name="Z_CC51448C_22F6_4583_82CD_2835AD1A82D7_.wvu.FilterData" localSheetId="0" hidden="1">Sheet1!$A$1:$AK$271</definedName>
    <definedName name="Z_CEFAC6F5_4048_4FB5_8E88_A602B5B48691_.wvu.FilterData" localSheetId="0" hidden="1">Sheet1!$A$1:$AK$66</definedName>
    <definedName name="Z_D1981FDB_7063_4FCF_8DD5_A549E616E6FF_.wvu.FilterData" localSheetId="0" hidden="1">Sheet1!$A$5:$AK$384</definedName>
    <definedName name="Z_D365E121_F95E_415A_8CA0_9EA7ECCC60F5_.wvu.FilterData" localSheetId="0" hidden="1">Sheet1!$A$4:$AK$384</definedName>
    <definedName name="Z_D56F5ED6_74F2_4AA3_9A98_EE5750FE63AF_.wvu.FilterData" localSheetId="0" hidden="1">Sheet1!$A$4:$AK$384</definedName>
    <definedName name="Z_D802EE0F_98B9_4410_B31B_4ACC0EC9C9BC_.wvu.FilterData" localSheetId="0" hidden="1">Sheet1!$A$4:$AK$384</definedName>
    <definedName name="Z_DAD27C7B_8B8A_46CB_98B5_59B1D1EFC319_.wvu.FilterData" localSheetId="0" hidden="1">Sheet1!$A$5:$AK$384</definedName>
    <definedName name="Z_DB41C7D7_14F0_4834_A7BD_0F1115A89C8E_.wvu.FilterData" localSheetId="0" hidden="1">Sheet1!$A$4:$AK$384</definedName>
    <definedName name="Z_DB43929D_F4B7_43FF_975F_960476D189E8_.wvu.FilterData" localSheetId="0" hidden="1">Sheet1!$A$4:$AK$384</definedName>
    <definedName name="Z_DB51BB9F_5710_40B0_80E7_39B059BFD11D_.wvu.FilterData" localSheetId="0" hidden="1">Sheet1!$A$1:$AK$384</definedName>
    <definedName name="Z_DB51BB9F_5710_40B0_80E7_39B059BFD11D_.wvu.PrintArea" localSheetId="0" hidden="1">Sheet1!$A$1:$AK$384</definedName>
    <definedName name="Z_DD93CA86_AFD6_4C47_828D_70472BFCD288_.wvu.FilterData" localSheetId="0" hidden="1">Sheet1!$A$4:$AK$384</definedName>
    <definedName name="Z_DE09B69C_7EEF_4060_8E06_F7DEC4B96D7E_.wvu.FilterData" localSheetId="0" hidden="1">Sheet1!$A$4:$AK$384</definedName>
    <definedName name="Z_E53ADB69_E454_408C_8AAF_7FDA9FEDF6D0_.wvu.FilterData" localSheetId="0" hidden="1">Sheet1!$A$5:$AK$384</definedName>
    <definedName name="Z_E64C6006_DE37_44CA_8083_01C511E323D9_.wvu.FilterData" localSheetId="0" hidden="1">Sheet1!$A$3:$AK$271</definedName>
    <definedName name="Z_E875C76B_3648_4C9A_A6B2_C3654837AAAC_.wvu.FilterData" localSheetId="0" hidden="1">Sheet1!$A$5:$AK$384</definedName>
    <definedName name="Z_EA64E7D7_BA48_4965_B650_778AE412FE0C_.wvu.FilterData" localSheetId="0" hidden="1">Sheet1!$A$1:$AK$384</definedName>
    <definedName name="Z_EA64E7D7_BA48_4965_B650_778AE412FE0C_.wvu.PrintArea" localSheetId="0" hidden="1">Sheet1!$A$1:$AK$384</definedName>
    <definedName name="Z_EB0F2E6A_FA33_479E_9A47_8E3494FBB4DE_.wvu.FilterData" localSheetId="0" hidden="1">Sheet1!$A$4:$AK$384</definedName>
    <definedName name="Z_EB0F2E6A_FA33_479E_9A47_8E3494FBB4DE_.wvu.PrintArea" localSheetId="0" hidden="1">Sheet1!$A$1:$AK$384</definedName>
    <definedName name="Z_EEA37434_2D22_478B_B49F_C3E8CD4AC2E1_.wvu.FilterData" localSheetId="0" hidden="1">Sheet1!$A$4:$AK$384</definedName>
    <definedName name="Z_EEA37434_2D22_478B_B49F_C3E8CD4AC2E1_.wvu.PrintArea" localSheetId="0" hidden="1">Sheet1!$A$1:$AK$384</definedName>
    <definedName name="Z_EF10298D_3F59_43F1_9A86_8C1CCA3B5D93_.wvu.FilterData" localSheetId="0" hidden="1">Sheet1!$A$4:$AK$384</definedName>
    <definedName name="Z_EF10298D_3F59_43F1_9A86_8C1CCA3B5D93_.wvu.PrintArea" localSheetId="0" hidden="1">Sheet1!$A$1:$AK$384</definedName>
    <definedName name="Z_EFE45138_A2B3_46EB_8A69_D9745D73FBF5_.wvu.FilterData" localSheetId="0" hidden="1">Sheet1!$A$4:$AK$384</definedName>
    <definedName name="Z_F52D90D4_508D_43B6_8295_6D179E5F0FEB_.wvu.FilterData" localSheetId="0" hidden="1">Sheet1!$A$4:$AK$384</definedName>
    <definedName name="Z_F952A18B_3430_4F65_89F2_B7C17998F981_.wvu.FilterData" localSheetId="0" hidden="1">Sheet1!$A$4:$AK$384</definedName>
    <definedName name="Z_FE50EAC0_52A5_4C33_B973_65E93D03D3EA_.wvu.FilterData" localSheetId="0" hidden="1">Sheet1!$A$1:$AK$384</definedName>
    <definedName name="Z_FE50EAC0_52A5_4C33_B973_65E93D03D3EA_.wvu.PrintArea" localSheetId="0" hidden="1">Sheet1!$A$1:$AK$384</definedName>
    <definedName name="Z_FFC44E67_8559_4D31_893D_BF5BA4229E04_.wvu.FilterData" localSheetId="0" hidden="1">Sheet1!$A$1:$AK$362</definedName>
  </definedNames>
  <calcPr calcId="181029"/>
  <customWorkbookViews>
    <customWorkbookView name="vlad.pereteanu - Personal View" guid="{5AAA4DFE-88B1-4674-95ED-5FCD7A50BC22}" mergeInterval="0" personalView="1" maximized="1" xWindow="-8" yWindow="-8" windowWidth="1936" windowHeight="1056" tabRatio="154" activeSheetId="1"/>
    <customWorkbookView name="georgiana.dobre - Personal View" guid="{C408A2F1-296F-4EAD-B15B-336D73846FDD}" mergeInterval="0" personalView="1" maximized="1" xWindow="1912" yWindow="-8" windowWidth="1936" windowHeight="1056" tabRatio="154" activeSheetId="1"/>
    <customWorkbookView name="otilia.chirita - Personal View" guid="{0781B6C2-B440-4971-9809-BD16245A70FD}" mergeInterval="0" personalView="1" maximized="1" xWindow="-8" yWindow="-8" windowWidth="1936" windowHeight="1056" tabRatio="154" activeSheetId="1"/>
    <customWorkbookView name="mihaela.nicolae - Personal View" guid="{EF10298D-3F59-43F1-9A86-8C1CCA3B5D93}" mergeInterval="0" personalView="1" maximized="1" xWindow="-8" yWindow="-8" windowWidth="1936" windowHeight="1056" tabRatio="154" activeSheetId="1"/>
    <customWorkbookView name="ana.ionescu - Personal View" guid="{9980B309-0131-4577-BF29-212714399FDF}" mergeInterval="0" personalView="1" maximized="1" xWindow="1912" yWindow="-8" windowWidth="1936" windowHeight="1056" tabRatio="154" activeSheetId="1"/>
    <customWorkbookView name="daniela.voicu - Personal View" guid="{EA64E7D7-BA48-4965-B650-778AE412FE0C}" mergeInterval="0" personalView="1" xWindow="1922" yWindow="132" windowWidth="1898" windowHeight="804" tabRatio="154" activeSheetId="1"/>
    <customWorkbookView name="raluca.georgescu - Personal View" guid="{901F9774-8BE7-424D-87C2-1026F3FA2E93}" mergeInterval="0" personalView="1" maximized="1" xWindow="1912" yWindow="-8" windowWidth="1936" windowHeight="1056" tabRatio="154" activeSheetId="1"/>
    <customWorkbookView name="gabriela.clabescu - Personal View" guid="{747340EB-2B31-46D2-ACDE-4FA91E2B50F6}" mergeInterval="0" personalView="1" maximized="1" xWindow="-8" yWindow="-8" windowWidth="1936" windowHeight="1056" tabRatio="154" activeSheetId="1"/>
    <customWorkbookView name="corina.pelmus - Personal View" guid="{EB0F2E6A-FA33-479E-9A47-8E3494FBB4DE}" mergeInterval="0" personalView="1" maximized="1" xWindow="-8" yWindow="-8" windowWidth="1936" windowHeight="1056" tabRatio="154" activeSheetId="1"/>
    <customWorkbookView name="Maria - Personal View" guid="{65B035E3-87FA-46C5-996E-864F2C8D0EBC}" mergeInterval="0" personalView="1" maximized="1" xWindow="-8" yWindow="-8" windowWidth="1382" windowHeight="744" tabRatio="154" activeSheetId="1"/>
    <customWorkbookView name="aurelian.tarcatu - Personal View" guid="{C3502361-AD2C-4705-878B-D12169ED60B1}" mergeInterval="0" personalView="1" maximized="1" xWindow="-8" yWindow="-8" windowWidth="1936" windowHeight="1056" tabRatio="154" activeSheetId="1"/>
    <customWorkbookView name="veronica.baciu - Personal View" guid="{3AFE79CE-CE75-447D-8C73-1AE63A224CBA}" mergeInterval="0" personalView="1" maximized="1" xWindow="1912" yWindow="-8" windowWidth="1616" windowHeight="916" tabRatio="154" activeSheetId="1"/>
    <customWorkbookView name="stefan.dragan - Personal View" guid="{9EA5E3FA-46F1-4729-828C-4A08518018C1}" mergeInterval="0" personalView="1" maximized="1" xWindow="-8" yWindow="-8" windowWidth="1936" windowHeight="1056" tabRatio="154" activeSheetId="1"/>
    <customWorkbookView name="roxana.chitu - Personal View" guid="{DB51BB9F-5710-40B0-80E7-39B059BFD11D}" mergeInterval="0" personalView="1" maximized="1" xWindow="-8" yWindow="-8" windowWidth="1936" windowHeight="1056" tabRatio="154" activeSheetId="1"/>
    <customWorkbookView name="Stefan Dragan - Personal View" guid="{2C296388-EDB5-4F1F-B0F4-90EC07CCD947}" mergeInterval="0" personalView="1" maximized="1" xWindow="-8" yWindow="-8" windowWidth="1936" windowHeight="1056" tabRatio="154" activeSheetId="1"/>
    <customWorkbookView name="sorin.deca - Personal View" guid="{EEA37434-2D22-478B-B49F-C3E8CD4AC2E1}" mergeInterval="0" personalView="1" maximized="1" xWindow="-8" yWindow="-8" windowWidth="1936" windowHeight="1056" tabRatio="154" activeSheetId="1"/>
    <customWorkbookView name="diana.joita - Personal View" guid="{905D93EA-5662-45AB-8995-A9908B3E5D52}" mergeInterval="0" personalView="1" maximized="1" xWindow="-8" yWindow="-8" windowWidth="1936" windowHeight="1056" tabRatio="154" activeSheetId="1"/>
    <customWorkbookView name="mihaela.vasilescu - Personal View" guid="{84FB199A-D56E-4FDD-AC4A-70CE86CD87BC}" mergeInterval="0" personalView="1" maximized="1" xWindow="1912" yWindow="-8" windowWidth="1936" windowHeight="1056" tabRatio="154" activeSheetId="1"/>
    <customWorkbookView name="ovidiu.dumitrache - Personal View" guid="{FE50EAC0-52A5-4C33-B973-65E93D03D3EA}" mergeInterval="0" personalView="1" maximized="1" xWindow="1912" yWindow="-8" windowWidth="1936" windowHeight="1056" tabRatio="154" activeSheetId="1"/>
    <customWorkbookView name="cristian.airinei - Personal View" guid="{A5B1481C-EF26-486A-984F-85CDDC2FD94F}" mergeInterval="0" personalView="1" maximized="1" xWindow="1912" yWindow="-8" windowWidth="1936" windowHeight="1056" tabRatio="154" activeSheetId="1"/>
    <customWorkbookView name="maria.petre - Personal View" guid="{7C1B4D6D-D666-48DD-AB17-E00791B6F0B6}" mergeInterval="0" personalView="1" maximized="1" xWindow="-8" yWindow="-8" windowWidth="1936" windowHeight="1056" tabRatio="154" activeSheetId="1"/>
    <customWorkbookView name="mariana.moraru - Personal View" guid="{65C35D6D-934F-4431-BA92-90255FC17BA4}" mergeInterval="0" personalView="1" maximized="1" xWindow="-8" yWindow="-8" windowWidth="1936" windowHeight="1056" tabRatio="154" activeSheetId="1"/>
    <customWorkbookView name="roxana.barbu - Personal View" guid="{53ED3D47-B2C0-43A1-9A1E-F030D529F74C}" mergeInterval="0" personalView="1" maximized="1" xWindow="-8" yWindow="-8" windowWidth="1936" windowHeight="1056" activeSheetId="1"/>
    <customWorkbookView name="luminita.jipa - Personal View" guid="{A87F3E0E-3A8E-4B82-8170-33752259B7DB}" mergeInterval="0" personalView="1" maximized="1" xWindow="-8" yWindow="-8" windowWidth="1936" windowHeight="1056" activeSheetId="1"/>
    <customWorkbookView name="elisabeta.trifan - Personal View" guid="{36624B2D-80F9-4F79-AC4A-B3547C36F23F}"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90" i="1" l="1"/>
  <c r="AG6" i="1" l="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5" i="1"/>
  <c r="AE386" i="1" l="1"/>
  <c r="AJ250" i="1" l="1"/>
  <c r="AJ262" i="1"/>
  <c r="AK351" i="1"/>
  <c r="AJ351" i="1"/>
  <c r="AK360" i="1"/>
  <c r="AJ360" i="1"/>
  <c r="AK262" i="1"/>
  <c r="AJ279" i="1"/>
  <c r="AJ377" i="1"/>
  <c r="AJ282" i="1"/>
  <c r="AJ296" i="1" l="1"/>
  <c r="AJ358" i="1"/>
  <c r="AJ265" i="1"/>
  <c r="AJ324" i="1"/>
  <c r="AJ232" i="1"/>
  <c r="AJ215" i="1"/>
  <c r="AJ210" i="1"/>
  <c r="AJ209" i="1"/>
  <c r="AJ206" i="1"/>
  <c r="AJ202" i="1"/>
  <c r="AJ197" i="1" l="1"/>
  <c r="AJ7" i="1" l="1"/>
  <c r="AK138" i="1" l="1"/>
  <c r="AJ138" i="1"/>
  <c r="AK63" i="1"/>
  <c r="AJ63" i="1"/>
  <c r="AK10" i="1"/>
  <c r="AJ10" i="1"/>
  <c r="AK328" i="1"/>
  <c r="AJ328" i="1"/>
  <c r="AK7" i="1"/>
  <c r="AK32" i="1"/>
  <c r="AJ32" i="1"/>
  <c r="AJ135" i="1"/>
  <c r="AK135" i="1"/>
  <c r="AK103" i="1"/>
  <c r="AJ103" i="1"/>
  <c r="AK302" i="1"/>
  <c r="AJ302" i="1"/>
  <c r="AK6" i="1"/>
  <c r="AJ6" i="1"/>
  <c r="AK83" i="1"/>
  <c r="AJ83" i="1"/>
  <c r="AK71" i="1"/>
  <c r="AJ71" i="1"/>
  <c r="AK175" i="1"/>
  <c r="AJ175" i="1"/>
  <c r="AK244" i="1"/>
  <c r="AJ244" i="1"/>
  <c r="AK60" i="1"/>
  <c r="AJ60" i="1"/>
  <c r="AK67" i="1"/>
  <c r="AJ67" i="1"/>
  <c r="AK129" i="1"/>
  <c r="AJ129" i="1"/>
  <c r="AK29" i="1"/>
  <c r="AJ29" i="1"/>
  <c r="AK299" i="1"/>
  <c r="AK323" i="1"/>
  <c r="AJ323" i="1"/>
  <c r="AJ299" i="1"/>
  <c r="AJ146" i="1" l="1"/>
  <c r="AJ87" i="1"/>
  <c r="AJ171" i="1"/>
  <c r="AK154" i="1"/>
  <c r="AJ154" i="1"/>
  <c r="AK99" i="1"/>
  <c r="AJ99" i="1"/>
  <c r="AK57" i="1"/>
  <c r="AJ57" i="1"/>
  <c r="AK142" i="1"/>
  <c r="AJ142" i="1"/>
  <c r="AK77" i="1"/>
  <c r="AJ77" i="1"/>
  <c r="AJ240" i="1"/>
  <c r="Y54" i="1" l="1"/>
  <c r="V54" i="1"/>
  <c r="S54" i="1"/>
  <c r="AE54" i="1" l="1"/>
  <c r="AK346" i="1"/>
  <c r="AJ346" i="1"/>
  <c r="AK280" i="1"/>
  <c r="AJ280" i="1"/>
  <c r="AJ258" i="1"/>
  <c r="AK248" i="1"/>
  <c r="AJ248" i="1"/>
  <c r="AK288" i="1"/>
  <c r="AJ288" i="1"/>
  <c r="AK364" i="1"/>
  <c r="AJ364" i="1"/>
  <c r="AK359" i="1"/>
  <c r="AJ359" i="1"/>
  <c r="AK334" i="1"/>
  <c r="AJ334" i="1"/>
  <c r="AJ291" i="1"/>
  <c r="AK287" i="1"/>
  <c r="AJ287" i="1"/>
  <c r="AK293" i="1"/>
  <c r="AJ293" i="1"/>
  <c r="AK260" i="1"/>
  <c r="AJ260" i="1"/>
  <c r="AK251" i="1"/>
  <c r="AJ251" i="1"/>
  <c r="AK309" i="1"/>
  <c r="AJ309" i="1"/>
  <c r="AK345" i="1"/>
  <c r="AJ345" i="1"/>
  <c r="AJ295" i="1"/>
  <c r="AK319" i="1"/>
  <c r="AJ319" i="1"/>
  <c r="AK330" i="1"/>
  <c r="AJ330" i="1"/>
  <c r="AK281" i="1"/>
  <c r="AJ281" i="1"/>
  <c r="AJ335" i="1"/>
  <c r="AK275" i="1"/>
  <c r="AJ275" i="1"/>
  <c r="AK269" i="1"/>
  <c r="AJ269" i="1"/>
  <c r="AK256" i="1"/>
  <c r="AJ256" i="1"/>
  <c r="AK250" i="1"/>
  <c r="AK249" i="1"/>
  <c r="AJ249" i="1"/>
  <c r="AK303" i="1"/>
  <c r="AJ303" i="1"/>
  <c r="AK326" i="1"/>
  <c r="AJ326" i="1"/>
  <c r="AK366" i="1"/>
  <c r="AJ366" i="1"/>
  <c r="AK331" i="1"/>
  <c r="AJ331" i="1"/>
  <c r="AK315" i="1"/>
  <c r="AJ315" i="1"/>
  <c r="AK312" i="1"/>
  <c r="AJ312" i="1"/>
  <c r="AK355" i="1"/>
  <c r="AJ355" i="1"/>
  <c r="AK363" i="1"/>
  <c r="AJ363" i="1"/>
  <c r="AJ285" i="1"/>
  <c r="AK352" i="1"/>
  <c r="AJ352" i="1"/>
  <c r="M54" i="1" l="1"/>
  <c r="AK304" i="1"/>
  <c r="AJ304" i="1"/>
  <c r="AB111" i="1" l="1"/>
  <c r="Y111" i="1"/>
  <c r="V111" i="1"/>
  <c r="S111" i="1"/>
  <c r="AE111" i="1" l="1"/>
  <c r="M111" i="1" s="1"/>
  <c r="AB125" i="1"/>
  <c r="Y125" i="1"/>
  <c r="V125" i="1"/>
  <c r="S125" i="1"/>
  <c r="Y384" i="1" l="1"/>
  <c r="V384" i="1"/>
  <c r="S384" i="1"/>
  <c r="AE384" i="1" l="1"/>
  <c r="AB28" i="1"/>
  <c r="Y28" i="1"/>
  <c r="V28" i="1"/>
  <c r="S28" i="1"/>
  <c r="AE28" i="1" s="1"/>
  <c r="AB119" i="1"/>
  <c r="Y119" i="1"/>
  <c r="V119" i="1"/>
  <c r="S119" i="1"/>
  <c r="M384" i="1" l="1"/>
  <c r="AE119" i="1"/>
  <c r="M119" i="1" s="1"/>
  <c r="M28" i="1"/>
  <c r="AB148" i="1"/>
  <c r="Y148" i="1"/>
  <c r="V148" i="1"/>
  <c r="S148" i="1"/>
  <c r="AE148" i="1" l="1"/>
  <c r="AB74" i="1"/>
  <c r="Y74" i="1"/>
  <c r="V74" i="1"/>
  <c r="S74" i="1"/>
  <c r="M148" i="1" l="1"/>
  <c r="AE74" i="1"/>
  <c r="M74" i="1" s="1"/>
  <c r="E74" i="1"/>
  <c r="AB52" i="1" l="1"/>
  <c r="AB53" i="1"/>
  <c r="AB55" i="1"/>
  <c r="Y52" i="1"/>
  <c r="Y53" i="1"/>
  <c r="Y55" i="1"/>
  <c r="V52" i="1"/>
  <c r="V53" i="1"/>
  <c r="V55" i="1"/>
  <c r="S51" i="1"/>
  <c r="S52" i="1"/>
  <c r="S53" i="1"/>
  <c r="S55" i="1"/>
  <c r="AE55" i="1" l="1"/>
  <c r="AE53" i="1"/>
  <c r="AE52" i="1"/>
  <c r="AB75" i="1"/>
  <c r="Y75" i="1"/>
  <c r="V75" i="1"/>
  <c r="S75" i="1"/>
  <c r="N75" i="1"/>
  <c r="P75" i="1"/>
  <c r="Q75" i="1"/>
  <c r="R75" i="1"/>
  <c r="E75" i="1"/>
  <c r="M55" i="1" l="1"/>
  <c r="M53" i="1"/>
  <c r="M52" i="1"/>
  <c r="AE75" i="1"/>
  <c r="AB118" i="1"/>
  <c r="Y118" i="1"/>
  <c r="V118" i="1"/>
  <c r="S118" i="1"/>
  <c r="M75" i="1" l="1"/>
  <c r="AE118" i="1"/>
  <c r="M118" i="1" s="1"/>
  <c r="AB15" i="1"/>
  <c r="Y15" i="1"/>
  <c r="V15" i="1"/>
  <c r="S15" i="1"/>
  <c r="AE15" i="1" l="1"/>
  <c r="Y162" i="1"/>
  <c r="AB162" i="1"/>
  <c r="V162" i="1"/>
  <c r="S162" i="1"/>
  <c r="M15" i="1" l="1"/>
  <c r="AE162" i="1"/>
  <c r="AB126" i="1"/>
  <c r="S35" i="1"/>
  <c r="V35" i="1"/>
  <c r="Y35" i="1"/>
  <c r="Y126" i="1"/>
  <c r="V126" i="1"/>
  <c r="S126" i="1"/>
  <c r="AE126" i="1" l="1"/>
  <c r="AE125" i="1"/>
  <c r="M162" i="1"/>
  <c r="AE35" i="1"/>
  <c r="AB161" i="1"/>
  <c r="Y161" i="1"/>
  <c r="V161" i="1"/>
  <c r="S161" i="1"/>
  <c r="S117" i="1"/>
  <c r="V117" i="1"/>
  <c r="Y117" i="1"/>
  <c r="AB117" i="1"/>
  <c r="M125" i="1" l="1"/>
  <c r="M126" i="1"/>
  <c r="AE161" i="1"/>
  <c r="M161" i="1" s="1"/>
  <c r="AE117" i="1"/>
  <c r="AB24" i="1"/>
  <c r="Y24" i="1"/>
  <c r="V24" i="1"/>
  <c r="S24" i="1"/>
  <c r="M117" i="1" l="1"/>
  <c r="AE24" i="1"/>
  <c r="M24" i="1" l="1"/>
  <c r="AB91" i="1" l="1"/>
  <c r="Y91" i="1"/>
  <c r="V91" i="1"/>
  <c r="S91" i="1"/>
  <c r="AE91" i="1" l="1"/>
  <c r="M91" i="1" s="1"/>
  <c r="S354" i="1"/>
  <c r="AB124" i="1"/>
  <c r="Y124" i="1"/>
  <c r="V124" i="1"/>
  <c r="S124" i="1"/>
  <c r="AE124" i="1" l="1"/>
  <c r="Y98" i="1"/>
  <c r="V98" i="1"/>
  <c r="S98" i="1"/>
  <c r="AB66" i="1" l="1"/>
  <c r="Y66" i="1"/>
  <c r="V66" i="1"/>
  <c r="S66" i="1"/>
  <c r="AE66" i="1" l="1"/>
  <c r="N66" i="1"/>
  <c r="O66" i="1"/>
  <c r="E66" i="1"/>
  <c r="F66" i="1"/>
  <c r="M66" i="1" l="1"/>
  <c r="Y90" i="1"/>
  <c r="V90" i="1"/>
  <c r="S90" i="1"/>
  <c r="AE90" i="1" l="1"/>
  <c r="AJ321" i="1"/>
  <c r="M90" i="1" l="1"/>
  <c r="AK356" i="1"/>
  <c r="AJ356" i="1"/>
  <c r="AJ163" i="1"/>
  <c r="AJ373" i="1"/>
  <c r="AJ278" i="1"/>
  <c r="AJ267" i="1"/>
  <c r="AJ322" i="1"/>
  <c r="AJ238" i="1"/>
  <c r="AJ237" i="1"/>
  <c r="AJ272" i="1"/>
  <c r="AJ224" i="1"/>
  <c r="AJ233" i="1"/>
  <c r="AJ213" i="1"/>
  <c r="AJ207" i="1"/>
  <c r="AK200" i="1"/>
  <c r="AJ200" i="1"/>
  <c r="AK84" i="1"/>
  <c r="AJ84" i="1"/>
  <c r="AK167" i="1"/>
  <c r="AJ167" i="1"/>
  <c r="AK155" i="1"/>
  <c r="AJ155" i="1"/>
  <c r="AK145" i="1"/>
  <c r="AJ145" i="1"/>
  <c r="AK25" i="1"/>
  <c r="AJ25" i="1"/>
  <c r="AK22" i="1"/>
  <c r="AJ22" i="1"/>
  <c r="AK332" i="1"/>
  <c r="AJ332" i="1"/>
  <c r="AK5" i="1"/>
  <c r="AJ5" i="1"/>
  <c r="AK159" i="1"/>
  <c r="AJ159" i="1"/>
  <c r="AJ139" i="1"/>
  <c r="AJ243" i="1"/>
  <c r="AJ36" i="1"/>
  <c r="AK20" i="1"/>
  <c r="AJ20" i="1"/>
  <c r="AK141" i="1"/>
  <c r="AJ141" i="1"/>
  <c r="AJ112" i="1"/>
  <c r="AK120" i="1"/>
  <c r="AJ120" i="1"/>
  <c r="AK307" i="1"/>
  <c r="AJ307" i="1"/>
  <c r="AK337" i="1"/>
  <c r="AJ337" i="1"/>
  <c r="AK311" i="1"/>
  <c r="AJ311" i="1"/>
  <c r="AK258" i="1"/>
  <c r="AJ264" i="1"/>
  <c r="AK247" i="1"/>
  <c r="AJ247" i="1"/>
  <c r="AK274" i="1"/>
  <c r="AJ274" i="1"/>
  <c r="AJ263" i="1"/>
  <c r="AK316" i="1"/>
  <c r="AJ316" i="1"/>
  <c r="AK320" i="1"/>
  <c r="AJ320" i="1"/>
  <c r="AK338" i="1"/>
  <c r="AJ338" i="1"/>
  <c r="AJ347" i="1"/>
  <c r="AK291" i="1"/>
  <c r="AK367" i="1"/>
  <c r="AJ367" i="1"/>
  <c r="AK273" i="1"/>
  <c r="AJ273" i="1"/>
  <c r="AK349" i="1"/>
  <c r="AJ349" i="1"/>
  <c r="AK276" i="1"/>
  <c r="AJ276" i="1"/>
  <c r="AJ252" i="1"/>
  <c r="AK255" i="1"/>
  <c r="AJ255" i="1"/>
  <c r="AK259" i="1"/>
  <c r="AJ259" i="1"/>
  <c r="AK327" i="1"/>
  <c r="AJ327" i="1"/>
  <c r="AK336" i="1"/>
  <c r="AJ336" i="1"/>
  <c r="AK295" i="1"/>
  <c r="AK289" i="1"/>
  <c r="AJ289" i="1"/>
  <c r="AJ342" i="1"/>
  <c r="AJ305" i="1"/>
  <c r="AK343" i="1"/>
  <c r="AJ343" i="1"/>
  <c r="AK300" i="1"/>
  <c r="AJ300" i="1"/>
  <c r="AJ368" i="1"/>
  <c r="AK335" i="1"/>
  <c r="AJ290" i="1"/>
  <c r="AK257" i="1"/>
  <c r="AJ257" i="1"/>
  <c r="AK297" i="1"/>
  <c r="AJ297" i="1"/>
  <c r="AK242" i="1"/>
  <c r="AJ242" i="1"/>
  <c r="AJ301" i="1"/>
  <c r="AJ357" i="1"/>
  <c r="AK350" i="1"/>
  <c r="AJ350" i="1"/>
  <c r="AK285" i="1"/>
  <c r="AJ95" i="1"/>
  <c r="AJ137" i="1"/>
  <c r="AK87" i="1"/>
  <c r="AJ122" i="1"/>
  <c r="AK85" i="1"/>
  <c r="AJ85" i="1"/>
  <c r="AK171" i="1"/>
  <c r="AK33" i="1"/>
  <c r="AJ33" i="1"/>
  <c r="AK177" i="1"/>
  <c r="AJ177" i="1"/>
  <c r="AK8" i="1"/>
  <c r="AJ8" i="1"/>
  <c r="AK132" i="1"/>
  <c r="AJ132" i="1"/>
  <c r="AK114" i="1"/>
  <c r="AJ114" i="1"/>
  <c r="AK49" i="1"/>
  <c r="AJ49" i="1"/>
  <c r="AB68" i="1" l="1"/>
  <c r="Y68" i="1"/>
  <c r="V68" i="1"/>
  <c r="S68" i="1"/>
  <c r="AE68" i="1" l="1"/>
  <c r="M68" i="1" s="1"/>
  <c r="AH383" i="1"/>
  <c r="AH384" i="1" s="1"/>
  <c r="AI383" i="1"/>
  <c r="Y383" i="1"/>
  <c r="AB383" i="1"/>
  <c r="V383" i="1"/>
  <c r="S383" i="1"/>
  <c r="AE383" i="1" l="1"/>
  <c r="M383" i="1" l="1"/>
  <c r="AB65" i="1"/>
  <c r="Y65" i="1"/>
  <c r="V65" i="1"/>
  <c r="S65" i="1"/>
  <c r="AB192" i="1"/>
  <c r="Y192" i="1"/>
  <c r="V192" i="1"/>
  <c r="S192" i="1"/>
  <c r="AB191" i="1"/>
  <c r="Y191" i="1"/>
  <c r="V191" i="1"/>
  <c r="S191" i="1"/>
  <c r="AE65" i="1" l="1"/>
  <c r="M65" i="1" s="1"/>
  <c r="AE192" i="1"/>
  <c r="M192" i="1" s="1"/>
  <c r="AE191" i="1"/>
  <c r="M191" i="1" l="1"/>
  <c r="V382" i="1"/>
  <c r="AB382" i="1" l="1"/>
  <c r="Y382" i="1"/>
  <c r="S382" i="1"/>
  <c r="AE382" i="1" l="1"/>
  <c r="S337" i="1"/>
  <c r="M382" i="1" l="1"/>
  <c r="AB45" i="1"/>
  <c r="Y45" i="1"/>
  <c r="V45" i="1"/>
  <c r="S45" i="1"/>
  <c r="AE45" i="1" l="1"/>
  <c r="M45" i="1" s="1"/>
  <c r="AB381" i="1"/>
  <c r="Y381" i="1"/>
  <c r="V381" i="1"/>
  <c r="S381" i="1"/>
  <c r="AE381" i="1" l="1"/>
  <c r="AB110" i="1"/>
  <c r="Y110" i="1"/>
  <c r="S110" i="1"/>
  <c r="V110" i="1"/>
  <c r="M381" i="1" l="1"/>
  <c r="AE110" i="1"/>
  <c r="M110" i="1" s="1"/>
  <c r="AJ286" i="1" l="1"/>
  <c r="AJ298" i="1"/>
  <c r="AJ241" i="1"/>
  <c r="AJ239" i="1"/>
  <c r="AJ113" i="1"/>
  <c r="AK122" i="1"/>
  <c r="AK42" i="1"/>
  <c r="AJ42" i="1"/>
  <c r="AK9" i="1"/>
  <c r="AJ9" i="1"/>
  <c r="AJ168" i="1"/>
  <c r="AK168" i="1"/>
  <c r="AK26" i="1"/>
  <c r="AJ26" i="1"/>
  <c r="AK21" i="1"/>
  <c r="AJ21" i="1"/>
  <c r="AK284" i="1"/>
  <c r="AJ284" i="1"/>
  <c r="AK286" i="1"/>
  <c r="AJ246" i="1"/>
  <c r="AJ344" i="1"/>
  <c r="AK314" i="1" l="1"/>
  <c r="AJ314" i="1"/>
  <c r="AK264" i="1"/>
  <c r="AK246" i="1"/>
  <c r="AJ277" i="1"/>
  <c r="AJ317" i="1"/>
  <c r="AK321" i="1"/>
  <c r="AK344" i="1"/>
  <c r="AK261" i="1"/>
  <c r="AJ261" i="1"/>
  <c r="AK362" i="1"/>
  <c r="AJ362" i="1"/>
  <c r="AK333" i="1"/>
  <c r="AJ333" i="1"/>
  <c r="AK347" i="1"/>
  <c r="AJ271" i="1"/>
  <c r="AK252" i="1"/>
  <c r="AK253" i="1"/>
  <c r="AJ253" i="1"/>
  <c r="AJ268" i="1"/>
  <c r="AK342" i="1"/>
  <c r="AK305" i="1"/>
  <c r="AJ339" i="1"/>
  <c r="AK290" i="1"/>
  <c r="AK318" i="1"/>
  <c r="AJ318" i="1"/>
  <c r="AK308" i="1"/>
  <c r="AJ308" i="1"/>
  <c r="AJ306" i="1"/>
  <c r="AK306" i="1"/>
  <c r="AJ353" i="1"/>
  <c r="AJ369" i="1"/>
  <c r="AK361" i="1"/>
  <c r="AJ361" i="1"/>
  <c r="AK301" i="1"/>
  <c r="AJ348" i="1"/>
  <c r="AK357" i="1"/>
  <c r="AK341" i="1"/>
  <c r="AJ341" i="1"/>
  <c r="AJ340" i="1"/>
  <c r="AK139" i="1"/>
  <c r="AK243" i="1"/>
  <c r="AK36" i="1"/>
  <c r="AK144" i="1"/>
  <c r="AJ144" i="1"/>
  <c r="AK16" i="1"/>
  <c r="AJ16" i="1"/>
  <c r="AK121" i="1"/>
  <c r="AJ121" i="1"/>
  <c r="AK112" i="1"/>
  <c r="AK163" i="1"/>
  <c r="AK170" i="1"/>
  <c r="AJ170" i="1"/>
  <c r="AJ270" i="1"/>
  <c r="AJ226" i="1"/>
  <c r="AJ231" i="1"/>
  <c r="AJ254" i="1"/>
  <c r="AJ266" i="1"/>
  <c r="AJ216" i="1"/>
  <c r="AJ212" i="1"/>
  <c r="AJ205" i="1"/>
  <c r="AJ195" i="1"/>
  <c r="Y130" i="1" l="1"/>
  <c r="AB19" i="1" l="1"/>
  <c r="Y19" i="1"/>
  <c r="V19" i="1"/>
  <c r="S19" i="1"/>
  <c r="AE19" i="1" l="1"/>
  <c r="AB281" i="1"/>
  <c r="Y281" i="1"/>
  <c r="S281" i="1"/>
  <c r="V281" i="1"/>
  <c r="M19" i="1" l="1"/>
  <c r="AJ283" i="1"/>
  <c r="AJ228" i="1"/>
  <c r="AJ227" i="1"/>
  <c r="AJ220" i="1"/>
  <c r="AJ234" i="1"/>
  <c r="AJ217" i="1"/>
  <c r="AJ203" i="1"/>
  <c r="AJ199" i="1"/>
  <c r="AJ198" i="1"/>
  <c r="AJ194" i="1"/>
  <c r="AK152" i="1"/>
  <c r="AJ152" i="1"/>
  <c r="AJ97" i="1"/>
  <c r="AK39" i="1"/>
  <c r="AJ39" i="1"/>
  <c r="AK131" i="1"/>
  <c r="AJ131" i="1"/>
  <c r="AK174" i="1"/>
  <c r="AJ174" i="1"/>
  <c r="AK245" i="1"/>
  <c r="AJ245" i="1"/>
  <c r="AK92" i="1"/>
  <c r="AJ92" i="1"/>
  <c r="AK263" i="1"/>
  <c r="AK277" i="1"/>
  <c r="AK317" i="1"/>
  <c r="AK271" i="1" l="1"/>
  <c r="AK292" i="1"/>
  <c r="AJ292" i="1"/>
  <c r="AK339" i="1"/>
  <c r="AK348" i="1"/>
  <c r="AK340" i="1" l="1"/>
  <c r="AJ182" i="1" l="1"/>
  <c r="AK182" i="1"/>
  <c r="AJ82" i="1"/>
  <c r="AK113" i="1"/>
  <c r="AK158" i="1"/>
  <c r="AJ158" i="1"/>
  <c r="AB115" i="1" l="1"/>
  <c r="AB116" i="1"/>
  <c r="Y116" i="1"/>
  <c r="S116" i="1"/>
  <c r="V116" i="1"/>
  <c r="AE116" i="1" l="1"/>
  <c r="Y151" i="1"/>
  <c r="Y166" i="1" l="1"/>
  <c r="V166" i="1"/>
  <c r="S166" i="1"/>
  <c r="AE166" i="1" l="1"/>
  <c r="Y104" i="1"/>
  <c r="V104" i="1"/>
  <c r="S104" i="1"/>
  <c r="AB376" i="1"/>
  <c r="V376" i="1"/>
  <c r="S376" i="1"/>
  <c r="M166" i="1" l="1"/>
  <c r="AE376" i="1"/>
  <c r="Y156" i="1"/>
  <c r="AB190" i="1" l="1"/>
  <c r="Y190" i="1"/>
  <c r="V190" i="1"/>
  <c r="S190" i="1"/>
  <c r="AE190" i="1" l="1"/>
  <c r="AC189" i="1"/>
  <c r="AB14" i="1"/>
  <c r="Y14" i="1"/>
  <c r="V14" i="1"/>
  <c r="S14" i="1"/>
  <c r="M190" i="1" l="1"/>
  <c r="AE14" i="1"/>
  <c r="AB172" i="1"/>
  <c r="Y172" i="1"/>
  <c r="V172" i="1"/>
  <c r="S172" i="1"/>
  <c r="M14" i="1" l="1"/>
  <c r="AE172" i="1"/>
  <c r="M172" i="1" l="1"/>
  <c r="AB13" i="1"/>
  <c r="Y13" i="1"/>
  <c r="V13" i="1"/>
  <c r="S13" i="1"/>
  <c r="AE13" i="1" l="1"/>
  <c r="AB157" i="1"/>
  <c r="Y157" i="1"/>
  <c r="Y153" i="1"/>
  <c r="V156" i="1"/>
  <c r="V157" i="1"/>
  <c r="S157" i="1"/>
  <c r="S154" i="1"/>
  <c r="M13" i="1" l="1"/>
  <c r="AB156" i="1"/>
  <c r="S156" i="1"/>
  <c r="S155" i="1"/>
  <c r="AE157" i="1"/>
  <c r="M157" i="1" l="1"/>
  <c r="AE156" i="1"/>
  <c r="Y133" i="1"/>
  <c r="M156" i="1" l="1"/>
  <c r="AB187" i="1"/>
  <c r="Y187" i="1"/>
  <c r="V187" i="1"/>
  <c r="S187" i="1"/>
  <c r="AB186" i="1"/>
  <c r="Y186" i="1"/>
  <c r="V186" i="1"/>
  <c r="S186" i="1"/>
  <c r="AE186" i="1" l="1"/>
  <c r="AE187" i="1"/>
  <c r="AB89" i="1"/>
  <c r="M186" i="1" l="1"/>
  <c r="M187" i="1"/>
  <c r="AB380" i="1"/>
  <c r="Y380" i="1"/>
  <c r="V380" i="1"/>
  <c r="S380" i="1"/>
  <c r="AB379" i="1"/>
  <c r="Y379" i="1"/>
  <c r="V379" i="1"/>
  <c r="S379" i="1"/>
  <c r="AE380" i="1" l="1"/>
  <c r="AE379" i="1"/>
  <c r="M380" i="1" l="1"/>
  <c r="M379" i="1"/>
  <c r="AJ225" i="1"/>
  <c r="AJ329" i="1" l="1"/>
  <c r="AJ235" i="1"/>
  <c r="AK41" i="1" l="1"/>
  <c r="AJ41" i="1"/>
  <c r="AJ193" i="1" l="1"/>
  <c r="AJ76" i="1"/>
  <c r="AK76" i="1"/>
  <c r="AK97" i="1"/>
  <c r="AK102" i="1"/>
  <c r="AJ102" i="1"/>
  <c r="AJ325" i="1" l="1"/>
  <c r="AK325" i="1"/>
  <c r="AK294" i="1"/>
  <c r="AJ294" i="1"/>
  <c r="Y80" i="1" l="1"/>
  <c r="AK61" i="1" l="1"/>
  <c r="AJ61" i="1"/>
  <c r="AB185" i="1" l="1"/>
  <c r="AB188" i="1"/>
  <c r="AB189" i="1"/>
  <c r="Y185" i="1"/>
  <c r="Y188" i="1"/>
  <c r="Y189" i="1"/>
  <c r="V188" i="1"/>
  <c r="V189" i="1"/>
  <c r="V185" i="1"/>
  <c r="S188" i="1"/>
  <c r="S189" i="1"/>
  <c r="S185" i="1"/>
  <c r="AE188" i="1" l="1"/>
  <c r="M188" i="1" s="1"/>
  <c r="AE189" i="1"/>
  <c r="AE185" i="1"/>
  <c r="M185" i="1" s="1"/>
  <c r="M189" i="1" l="1"/>
  <c r="AB184" i="1" l="1"/>
  <c r="Y184" i="1"/>
  <c r="V184" i="1"/>
  <c r="S184" i="1"/>
  <c r="AE184" i="1" l="1"/>
  <c r="M184" i="1" s="1"/>
  <c r="V378" i="1"/>
  <c r="AB378" i="1"/>
  <c r="Y378" i="1"/>
  <c r="S378" i="1"/>
  <c r="AE378" i="1" l="1"/>
  <c r="M378" i="1" l="1"/>
  <c r="AB12" i="1"/>
  <c r="Y12" i="1"/>
  <c r="V12" i="1"/>
  <c r="S12" i="1"/>
  <c r="AE12" i="1" l="1"/>
  <c r="M12" i="1" l="1"/>
  <c r="AJ30" i="1"/>
  <c r="AJ98" i="1"/>
  <c r="AK70" i="1" l="1"/>
  <c r="AJ70" i="1"/>
  <c r="S212" i="1" l="1"/>
  <c r="S96" i="1" l="1"/>
  <c r="AB23" i="1" l="1"/>
  <c r="Y23" i="1"/>
  <c r="V23" i="1"/>
  <c r="S23" i="1"/>
  <c r="AE23" i="1" l="1"/>
  <c r="AJ310" i="1" l="1"/>
  <c r="AJ230" i="1"/>
  <c r="AJ229" i="1"/>
  <c r="AJ223" i="1"/>
  <c r="AJ86" i="1"/>
  <c r="AK123" i="1" l="1"/>
  <c r="AJ123" i="1"/>
  <c r="AK98" i="1"/>
  <c r="AK176" i="1" l="1"/>
  <c r="AJ176" i="1"/>
  <c r="AK134" i="1"/>
  <c r="AJ134" i="1"/>
  <c r="AK101" i="1"/>
  <c r="AJ101" i="1"/>
  <c r="AK81" i="1"/>
  <c r="AJ81" i="1"/>
  <c r="AK69" i="1"/>
  <c r="AJ69" i="1"/>
  <c r="AK40" i="1"/>
  <c r="AJ40" i="1"/>
  <c r="AK46" i="1"/>
  <c r="AJ46" i="1"/>
  <c r="AJ313" i="1"/>
  <c r="AK268" i="1" l="1"/>
  <c r="AB59" i="1" l="1"/>
  <c r="S109" i="1" l="1"/>
  <c r="V109" i="1"/>
  <c r="Y109" i="1"/>
  <c r="AB109" i="1"/>
  <c r="AE109" i="1" l="1"/>
  <c r="AB11" i="1"/>
  <c r="Y11" i="1"/>
  <c r="V11" i="1"/>
  <c r="S11" i="1"/>
  <c r="M109" i="1" l="1"/>
  <c r="AE11" i="1"/>
  <c r="AB153" i="1"/>
  <c r="V153" i="1"/>
  <c r="S153" i="1"/>
  <c r="M11" i="1" l="1"/>
  <c r="AE153" i="1"/>
  <c r="Y128" i="1"/>
  <c r="Y137" i="1"/>
  <c r="M153" i="1" l="1"/>
  <c r="AB150" i="1"/>
  <c r="V100" i="1"/>
  <c r="S100" i="1"/>
  <c r="AB371" i="1" l="1"/>
  <c r="AB372" i="1"/>
  <c r="AB373" i="1"/>
  <c r="Y371" i="1"/>
  <c r="Y372" i="1"/>
  <c r="Y373" i="1"/>
  <c r="V371" i="1"/>
  <c r="V372" i="1"/>
  <c r="V373" i="1"/>
  <c r="S371" i="1"/>
  <c r="S372" i="1"/>
  <c r="S373" i="1"/>
  <c r="AE371" i="1" l="1"/>
  <c r="M371" i="1" s="1"/>
  <c r="AE373" i="1"/>
  <c r="AE372" i="1"/>
  <c r="M373" i="1" l="1"/>
  <c r="M372" i="1"/>
  <c r="Y150" i="1"/>
  <c r="V150" i="1"/>
  <c r="S150" i="1"/>
  <c r="AE150" i="1" l="1"/>
  <c r="V370" i="1"/>
  <c r="M150" i="1" l="1"/>
  <c r="Y115" i="1"/>
  <c r="V115" i="1"/>
  <c r="S115" i="1"/>
  <c r="AE115" i="1" l="1"/>
  <c r="M115" i="1" l="1"/>
  <c r="M23" i="1" l="1"/>
  <c r="AB137" i="1"/>
  <c r="V137" i="1"/>
  <c r="S137" i="1"/>
  <c r="AB133" i="1"/>
  <c r="V133" i="1"/>
  <c r="S133" i="1"/>
  <c r="M116" i="1"/>
  <c r="AB106" i="1"/>
  <c r="AB107" i="1"/>
  <c r="Y106" i="1"/>
  <c r="Y107" i="1"/>
  <c r="V106" i="1"/>
  <c r="V107" i="1"/>
  <c r="S106" i="1"/>
  <c r="S107" i="1"/>
  <c r="Y100" i="1"/>
  <c r="Y99" i="1"/>
  <c r="AB100" i="1"/>
  <c r="AB96" i="1"/>
  <c r="AB95" i="1"/>
  <c r="AB94" i="1"/>
  <c r="AB93" i="1"/>
  <c r="Y95" i="1"/>
  <c r="Y96" i="1"/>
  <c r="V96" i="1"/>
  <c r="V95" i="1"/>
  <c r="S95" i="1"/>
  <c r="Y89" i="1"/>
  <c r="V89" i="1"/>
  <c r="S89" i="1"/>
  <c r="AB79" i="1"/>
  <c r="Y79" i="1"/>
  <c r="V79" i="1"/>
  <c r="S79" i="1"/>
  <c r="AB64" i="1"/>
  <c r="Y64" i="1"/>
  <c r="V64" i="1"/>
  <c r="S64" i="1"/>
  <c r="AB44" i="1"/>
  <c r="Y44" i="1"/>
  <c r="V44" i="1"/>
  <c r="S44" i="1"/>
  <c r="AB27" i="1"/>
  <c r="Y27" i="1"/>
  <c r="S27" i="1"/>
  <c r="V27" i="1"/>
  <c r="AE133" i="1" l="1"/>
  <c r="M133" i="1" s="1"/>
  <c r="AE89" i="1"/>
  <c r="AE79" i="1"/>
  <c r="AE100" i="1"/>
  <c r="AE106" i="1"/>
  <c r="AE44" i="1"/>
  <c r="AE107" i="1"/>
  <c r="AE137" i="1"/>
  <c r="AE64" i="1"/>
  <c r="AE95" i="1"/>
  <c r="AE96" i="1"/>
  <c r="AE27" i="1"/>
  <c r="M96" i="1" l="1"/>
  <c r="M106" i="1"/>
  <c r="M107" i="1"/>
  <c r="M79" i="1"/>
  <c r="M100" i="1"/>
  <c r="M44" i="1"/>
  <c r="M137" i="1"/>
  <c r="M64" i="1"/>
  <c r="M95" i="1"/>
  <c r="M89" i="1"/>
  <c r="M27" i="1"/>
  <c r="AB43" i="1" l="1"/>
  <c r="Y43" i="1"/>
  <c r="V43" i="1"/>
  <c r="S43" i="1"/>
  <c r="AE43" i="1" l="1"/>
  <c r="M43" i="1" l="1"/>
  <c r="AB78" i="1"/>
  <c r="Y78" i="1"/>
  <c r="V78" i="1"/>
  <c r="S78" i="1"/>
  <c r="AE78" i="1" l="1"/>
  <c r="M78" i="1" l="1"/>
  <c r="Y88" i="1"/>
  <c r="V88" i="1"/>
  <c r="S88" i="1"/>
  <c r="AE88" i="1" l="1"/>
  <c r="M88" i="1" l="1"/>
  <c r="AB316" i="1" l="1"/>
  <c r="AB178" i="1" l="1"/>
  <c r="AB179" i="1"/>
  <c r="AB180" i="1"/>
  <c r="Y177" i="1"/>
  <c r="Y178" i="1"/>
  <c r="Y179" i="1"/>
  <c r="Y180" i="1"/>
  <c r="V177" i="1"/>
  <c r="V178" i="1"/>
  <c r="V179" i="1"/>
  <c r="V180" i="1"/>
  <c r="S178" i="1"/>
  <c r="S179" i="1"/>
  <c r="S180" i="1"/>
  <c r="S177" i="1"/>
  <c r="AE180" i="1" l="1"/>
  <c r="AE179" i="1"/>
  <c r="AE178" i="1"/>
  <c r="M180" i="1" l="1"/>
  <c r="M178" i="1"/>
  <c r="M179" i="1"/>
  <c r="AB105" i="1"/>
  <c r="Y105" i="1"/>
  <c r="V105" i="1"/>
  <c r="S105" i="1"/>
  <c r="AB104" i="1"/>
  <c r="AE104" i="1" s="1"/>
  <c r="AE105" i="1" l="1"/>
  <c r="M104" i="1"/>
  <c r="M105" i="1" l="1"/>
  <c r="Y94" i="1"/>
  <c r="V94" i="1"/>
  <c r="S94" i="1"/>
  <c r="AE94" i="1" l="1"/>
  <c r="Y59" i="1"/>
  <c r="V59" i="1"/>
  <c r="S59" i="1"/>
  <c r="M94" i="1" l="1"/>
  <c r="AE59" i="1"/>
  <c r="M59" i="1" l="1"/>
  <c r="AB183" i="1"/>
  <c r="Y183" i="1"/>
  <c r="V183" i="1"/>
  <c r="S183" i="1"/>
  <c r="AE183" i="1" l="1"/>
  <c r="M183" i="1" l="1"/>
  <c r="Y149" i="1"/>
  <c r="S149" i="1"/>
  <c r="Y58" i="1" l="1"/>
  <c r="V58" i="1"/>
  <c r="S58" i="1"/>
  <c r="AE58" i="1" l="1"/>
  <c r="AB367" i="1" l="1"/>
  <c r="Y367" i="1"/>
  <c r="S138" i="1" l="1"/>
  <c r="V138" i="1"/>
  <c r="AB140" i="1" l="1"/>
  <c r="AB138" i="1"/>
  <c r="Y140" i="1"/>
  <c r="Y138" i="1"/>
  <c r="V140" i="1"/>
  <c r="S140" i="1"/>
  <c r="AE138" i="1" l="1"/>
  <c r="AE140" i="1"/>
  <c r="M140" i="1" l="1"/>
  <c r="M58" i="1"/>
  <c r="Y63" i="1"/>
  <c r="V63" i="1"/>
  <c r="S63" i="1"/>
  <c r="S62" i="1"/>
  <c r="AB364" i="1"/>
  <c r="Y364" i="1"/>
  <c r="S364" i="1"/>
  <c r="AB98" i="1" l="1"/>
  <c r="AE98" i="1" s="1"/>
  <c r="AB164" i="1"/>
  <c r="Y164" i="1"/>
  <c r="V164" i="1"/>
  <c r="S164" i="1"/>
  <c r="AB163" i="1"/>
  <c r="Y163" i="1"/>
  <c r="V163" i="1"/>
  <c r="S163" i="1"/>
  <c r="AE164" i="1" l="1"/>
  <c r="AE163" i="1"/>
  <c r="M98" i="1"/>
  <c r="M163" i="1" l="1"/>
  <c r="M164" i="1"/>
  <c r="Y361" i="1" l="1"/>
  <c r="AB375" i="1"/>
  <c r="AB374" i="1"/>
  <c r="AB370" i="1"/>
  <c r="AB369" i="1"/>
  <c r="AB368" i="1"/>
  <c r="AB366" i="1"/>
  <c r="AB365" i="1"/>
  <c r="AB363" i="1"/>
  <c r="Y375" i="1"/>
  <c r="Y374" i="1"/>
  <c r="Y370" i="1"/>
  <c r="Y369" i="1"/>
  <c r="Y368" i="1"/>
  <c r="Y366" i="1"/>
  <c r="Y365" i="1"/>
  <c r="Y363" i="1"/>
  <c r="V375" i="1"/>
  <c r="V374" i="1"/>
  <c r="V369" i="1"/>
  <c r="V368" i="1"/>
  <c r="V367" i="1"/>
  <c r="V366" i="1"/>
  <c r="V365" i="1"/>
  <c r="V364" i="1"/>
  <c r="V363" i="1"/>
  <c r="S375" i="1"/>
  <c r="S374" i="1"/>
  <c r="S370" i="1"/>
  <c r="S369" i="1"/>
  <c r="S368" i="1"/>
  <c r="S367" i="1"/>
  <c r="S366" i="1"/>
  <c r="S365" i="1"/>
  <c r="S363" i="1"/>
  <c r="AB362" i="1"/>
  <c r="Y362" i="1"/>
  <c r="V362" i="1"/>
  <c r="S362" i="1"/>
  <c r="AB361" i="1"/>
  <c r="V361" i="1"/>
  <c r="S361" i="1"/>
  <c r="V182" i="1"/>
  <c r="AB51" i="1"/>
  <c r="AB50" i="1"/>
  <c r="Y51" i="1"/>
  <c r="Y50" i="1"/>
  <c r="V51" i="1"/>
  <c r="V50" i="1"/>
  <c r="S50" i="1"/>
  <c r="AE365" i="1" l="1"/>
  <c r="AE368" i="1"/>
  <c r="AE375" i="1"/>
  <c r="AE361" i="1"/>
  <c r="M361" i="1" s="1"/>
  <c r="AE50" i="1"/>
  <c r="AE362" i="1"/>
  <c r="M362" i="1" s="1"/>
  <c r="AE369" i="1"/>
  <c r="AE51" i="1"/>
  <c r="AE364" i="1"/>
  <c r="AE367" i="1"/>
  <c r="AE374" i="1"/>
  <c r="AE363" i="1"/>
  <c r="AE366" i="1"/>
  <c r="AE370" i="1"/>
  <c r="M370" i="1" s="1"/>
  <c r="M374" i="1" l="1"/>
  <c r="M368" i="1"/>
  <c r="M375" i="1"/>
  <c r="M369" i="1"/>
  <c r="M51" i="1"/>
  <c r="M50" i="1"/>
  <c r="M367" i="1"/>
  <c r="M364" i="1"/>
  <c r="M363" i="1"/>
  <c r="M366" i="1"/>
  <c r="M365" i="1"/>
  <c r="AB358" i="1"/>
  <c r="Y358" i="1"/>
  <c r="V358" i="1"/>
  <c r="S358" i="1"/>
  <c r="V359" i="1" l="1"/>
  <c r="S353" i="1" l="1"/>
  <c r="S350" i="1" l="1"/>
  <c r="AB377" i="1" l="1"/>
  <c r="Y377" i="1"/>
  <c r="V377" i="1"/>
  <c r="S377" i="1"/>
  <c r="AE377" i="1" l="1"/>
  <c r="M377" i="1" l="1"/>
  <c r="S139" i="1"/>
  <c r="Y93" i="1" l="1"/>
  <c r="AB340" i="1" l="1"/>
  <c r="Y340" i="1"/>
  <c r="V340" i="1"/>
  <c r="S340" i="1"/>
  <c r="AE340" i="1" l="1"/>
  <c r="Y152" i="1"/>
  <c r="M340" i="1" l="1"/>
  <c r="AB86" i="1"/>
  <c r="Y86" i="1"/>
  <c r="V86" i="1"/>
  <c r="S86" i="1"/>
  <c r="AE86" i="1" l="1"/>
  <c r="Y158" i="1" l="1"/>
  <c r="AB182" i="1"/>
  <c r="Y182" i="1"/>
  <c r="S182" i="1"/>
  <c r="AD334" i="1" l="1"/>
  <c r="AC334" i="1"/>
  <c r="X334" i="1"/>
  <c r="W334" i="1"/>
  <c r="U334" i="1"/>
  <c r="T334" i="1"/>
  <c r="Y25" i="1" l="1"/>
  <c r="V25" i="1"/>
  <c r="S25" i="1"/>
  <c r="AE25" i="1" l="1"/>
  <c r="Y123" i="1"/>
  <c r="V123" i="1"/>
  <c r="S123" i="1"/>
  <c r="AE123" i="1" l="1"/>
  <c r="M123" i="1" l="1"/>
  <c r="M86" i="1"/>
  <c r="M61" i="1"/>
  <c r="AB114" i="1" l="1"/>
  <c r="T114" i="1"/>
  <c r="Y57" i="1" l="1"/>
  <c r="S57" i="1"/>
  <c r="AB85" i="1"/>
  <c r="Y85" i="1"/>
  <c r="V85" i="1"/>
  <c r="S85" i="1"/>
  <c r="AE85" i="1" l="1"/>
  <c r="S127" i="1"/>
  <c r="M85" i="1" l="1"/>
  <c r="Y132" i="1" l="1"/>
  <c r="AB333" i="1" l="1"/>
  <c r="AB334" i="1"/>
  <c r="AB335" i="1"/>
  <c r="AB336" i="1"/>
  <c r="AB337" i="1"/>
  <c r="AB338" i="1"/>
  <c r="AB339" i="1"/>
  <c r="AB341" i="1"/>
  <c r="AB342" i="1"/>
  <c r="AB343" i="1"/>
  <c r="AB344" i="1"/>
  <c r="AB139" i="1"/>
  <c r="AB345" i="1"/>
  <c r="AB346" i="1"/>
  <c r="AB347" i="1"/>
  <c r="AB348" i="1"/>
  <c r="AB349" i="1"/>
  <c r="AB350" i="1"/>
  <c r="AB351" i="1"/>
  <c r="AB352" i="1"/>
  <c r="AB353" i="1"/>
  <c r="AB354" i="1"/>
  <c r="AB355" i="1"/>
  <c r="AB356" i="1"/>
  <c r="AB357" i="1"/>
  <c r="AB359" i="1"/>
  <c r="Y333" i="1"/>
  <c r="Y334" i="1"/>
  <c r="Y335" i="1"/>
  <c r="Y336" i="1"/>
  <c r="Y337" i="1"/>
  <c r="Y338" i="1"/>
  <c r="Y339" i="1"/>
  <c r="Y341" i="1"/>
  <c r="Y342" i="1"/>
  <c r="Y343" i="1"/>
  <c r="Y344" i="1"/>
  <c r="Y139" i="1"/>
  <c r="Y345" i="1"/>
  <c r="Y346" i="1"/>
  <c r="Y347" i="1"/>
  <c r="Y348" i="1"/>
  <c r="Y349" i="1"/>
  <c r="Y350" i="1"/>
  <c r="Y351" i="1"/>
  <c r="Y352" i="1"/>
  <c r="Y353" i="1"/>
  <c r="Y354" i="1"/>
  <c r="Y355" i="1"/>
  <c r="Y356" i="1"/>
  <c r="Y357" i="1"/>
  <c r="Y359" i="1"/>
  <c r="V333" i="1"/>
  <c r="V334" i="1"/>
  <c r="V335" i="1"/>
  <c r="V336" i="1"/>
  <c r="V337" i="1"/>
  <c r="V338" i="1"/>
  <c r="V339" i="1"/>
  <c r="V341" i="1"/>
  <c r="V342" i="1"/>
  <c r="V343" i="1"/>
  <c r="V344" i="1"/>
  <c r="V139" i="1"/>
  <c r="V345" i="1"/>
  <c r="V346" i="1"/>
  <c r="V347" i="1"/>
  <c r="V348" i="1"/>
  <c r="V349" i="1"/>
  <c r="V350" i="1"/>
  <c r="V351" i="1"/>
  <c r="V352" i="1"/>
  <c r="V353" i="1"/>
  <c r="V354" i="1"/>
  <c r="V355" i="1"/>
  <c r="V356" i="1"/>
  <c r="V357" i="1"/>
  <c r="S333" i="1"/>
  <c r="S334" i="1"/>
  <c r="S335" i="1"/>
  <c r="S336" i="1"/>
  <c r="S338" i="1"/>
  <c r="S339" i="1"/>
  <c r="S341" i="1"/>
  <c r="S342" i="1"/>
  <c r="S343" i="1"/>
  <c r="S344" i="1"/>
  <c r="S345" i="1"/>
  <c r="S346" i="1"/>
  <c r="S347" i="1"/>
  <c r="S348" i="1"/>
  <c r="S349" i="1"/>
  <c r="S351" i="1"/>
  <c r="S352" i="1"/>
  <c r="S355" i="1"/>
  <c r="S356" i="1"/>
  <c r="S357" i="1"/>
  <c r="S359" i="1"/>
  <c r="AE359" i="1" l="1"/>
  <c r="AE355" i="1"/>
  <c r="M355" i="1" s="1"/>
  <c r="AE351" i="1"/>
  <c r="M351" i="1" s="1"/>
  <c r="AE347" i="1"/>
  <c r="AE344" i="1"/>
  <c r="AE337" i="1"/>
  <c r="M337" i="1" s="1"/>
  <c r="AE333" i="1"/>
  <c r="AE356" i="1"/>
  <c r="AE352" i="1"/>
  <c r="AE348" i="1"/>
  <c r="AE139" i="1"/>
  <c r="AE341" i="1"/>
  <c r="AE334" i="1"/>
  <c r="AE357" i="1"/>
  <c r="AE353" i="1"/>
  <c r="AE349" i="1"/>
  <c r="AE345" i="1"/>
  <c r="AE342" i="1"/>
  <c r="AE338" i="1"/>
  <c r="AE335" i="1"/>
  <c r="AE358" i="1"/>
  <c r="M358" i="1" s="1"/>
  <c r="AE354" i="1"/>
  <c r="AE350" i="1"/>
  <c r="AE346" i="1"/>
  <c r="AE343" i="1"/>
  <c r="AE339" i="1"/>
  <c r="AE336" i="1"/>
  <c r="Z122" i="1"/>
  <c r="W122" i="1"/>
  <c r="T122" i="1"/>
  <c r="M354" i="1" l="1"/>
  <c r="M359" i="1"/>
  <c r="M339" i="1"/>
  <c r="M344" i="1"/>
  <c r="M338" i="1"/>
  <c r="M139" i="1"/>
  <c r="M341" i="1"/>
  <c r="M356" i="1"/>
  <c r="M353" i="1"/>
  <c r="M333" i="1"/>
  <c r="M347" i="1"/>
  <c r="M342" i="1"/>
  <c r="M357" i="1"/>
  <c r="M335" i="1"/>
  <c r="M350" i="1"/>
  <c r="M346" i="1"/>
  <c r="M343" i="1"/>
  <c r="M348" i="1"/>
  <c r="M349" i="1"/>
  <c r="M352" i="1"/>
  <c r="M345" i="1"/>
  <c r="M334" i="1"/>
  <c r="M336" i="1"/>
  <c r="Y77" i="1"/>
  <c r="AB324" i="1" l="1"/>
  <c r="Y324" i="1"/>
  <c r="V324" i="1"/>
  <c r="S324" i="1"/>
  <c r="AE324" i="1" l="1"/>
  <c r="S322" i="1"/>
  <c r="M324" i="1" l="1"/>
  <c r="AB177" i="1" l="1"/>
  <c r="AE177" i="1" s="1"/>
  <c r="AB32" i="1"/>
  <c r="Y32" i="1"/>
  <c r="V32" i="1"/>
  <c r="S32" i="1"/>
  <c r="M177" i="1" l="1"/>
  <c r="AE32" i="1"/>
  <c r="M32" i="1" s="1"/>
  <c r="V46" i="1"/>
  <c r="AB48" i="1" l="1"/>
  <c r="AB49" i="1"/>
  <c r="Y48" i="1"/>
  <c r="Y49" i="1"/>
  <c r="V48" i="1"/>
  <c r="V49" i="1"/>
  <c r="S48" i="1"/>
  <c r="S49" i="1"/>
  <c r="AE49" i="1" l="1"/>
  <c r="AE48" i="1"/>
  <c r="V120" i="1"/>
  <c r="M49" i="1" l="1"/>
  <c r="M48" i="1"/>
  <c r="AE22" i="1"/>
  <c r="M22" i="1" l="1"/>
  <c r="S310" i="1"/>
  <c r="AB129" i="1" l="1"/>
  <c r="Y129" i="1"/>
  <c r="V129" i="1"/>
  <c r="S129" i="1"/>
  <c r="AE129" i="1" l="1"/>
  <c r="M129" i="1" l="1"/>
  <c r="AB315" i="1"/>
  <c r="AB317" i="1"/>
  <c r="AB318" i="1"/>
  <c r="AB319" i="1"/>
  <c r="AB320" i="1"/>
  <c r="AB321" i="1"/>
  <c r="AB322" i="1"/>
  <c r="AB323" i="1"/>
  <c r="Y315" i="1"/>
  <c r="Y316" i="1"/>
  <c r="Y317" i="1"/>
  <c r="Y318" i="1"/>
  <c r="Y319" i="1"/>
  <c r="Y320" i="1"/>
  <c r="Y321" i="1"/>
  <c r="Y322" i="1"/>
  <c r="Y323" i="1"/>
  <c r="V315" i="1"/>
  <c r="V316" i="1"/>
  <c r="V317" i="1"/>
  <c r="V318" i="1"/>
  <c r="V319" i="1"/>
  <c r="V320" i="1"/>
  <c r="V321" i="1"/>
  <c r="V322" i="1"/>
  <c r="V323" i="1"/>
  <c r="S315" i="1"/>
  <c r="S316" i="1"/>
  <c r="S317" i="1"/>
  <c r="S318" i="1"/>
  <c r="S319" i="1"/>
  <c r="S320" i="1"/>
  <c r="S321" i="1"/>
  <c r="S323" i="1"/>
  <c r="AB311" i="1"/>
  <c r="AB312" i="1"/>
  <c r="AB313" i="1"/>
  <c r="AB314" i="1"/>
  <c r="AB325" i="1"/>
  <c r="AB326" i="1"/>
  <c r="AB327" i="1"/>
  <c r="AB328" i="1"/>
  <c r="AB329" i="1"/>
  <c r="AB330" i="1"/>
  <c r="AB331" i="1"/>
  <c r="AB332" i="1"/>
  <c r="AB360" i="1"/>
  <c r="Y311" i="1"/>
  <c r="Y312" i="1"/>
  <c r="Y313" i="1"/>
  <c r="Y314" i="1"/>
  <c r="Y325" i="1"/>
  <c r="Y326" i="1"/>
  <c r="Y327" i="1"/>
  <c r="Y328" i="1"/>
  <c r="Y329" i="1"/>
  <c r="Y330" i="1"/>
  <c r="V311" i="1"/>
  <c r="V312" i="1"/>
  <c r="V313" i="1"/>
  <c r="V314" i="1"/>
  <c r="V325" i="1"/>
  <c r="V326" i="1"/>
  <c r="V327" i="1"/>
  <c r="V328" i="1"/>
  <c r="V329" i="1"/>
  <c r="V330" i="1"/>
  <c r="V331" i="1"/>
  <c r="S311" i="1"/>
  <c r="S313" i="1"/>
  <c r="S314" i="1"/>
  <c r="S325" i="1"/>
  <c r="S326" i="1"/>
  <c r="S327" i="1"/>
  <c r="S328" i="1"/>
  <c r="S329" i="1"/>
  <c r="S330" i="1"/>
  <c r="Y331" i="1"/>
  <c r="S331" i="1"/>
  <c r="AE318" i="1" l="1"/>
  <c r="M318" i="1" s="1"/>
  <c r="AE322" i="1"/>
  <c r="AE330" i="1"/>
  <c r="AE326" i="1"/>
  <c r="AE312" i="1"/>
  <c r="AE325" i="1"/>
  <c r="AE327" i="1"/>
  <c r="AE313" i="1"/>
  <c r="AE320" i="1"/>
  <c r="AE316" i="1"/>
  <c r="AE321" i="1"/>
  <c r="AE317" i="1"/>
  <c r="M317" i="1" s="1"/>
  <c r="AE311" i="1"/>
  <c r="AE331" i="1"/>
  <c r="M331" i="1" s="1"/>
  <c r="AE328" i="1"/>
  <c r="M328" i="1" s="1"/>
  <c r="AE314" i="1"/>
  <c r="AE329" i="1"/>
  <c r="AE323" i="1"/>
  <c r="AE319" i="1"/>
  <c r="AE315" i="1"/>
  <c r="M327" i="1" l="1"/>
  <c r="M321" i="1"/>
  <c r="M316" i="1"/>
  <c r="M315" i="1"/>
  <c r="M320" i="1"/>
  <c r="M314" i="1"/>
  <c r="M326" i="1"/>
  <c r="M325" i="1"/>
  <c r="M319" i="1"/>
  <c r="M329" i="1"/>
  <c r="M311" i="1"/>
  <c r="M322" i="1"/>
  <c r="M313" i="1"/>
  <c r="M312" i="1"/>
  <c r="M323" i="1"/>
  <c r="M330" i="1"/>
  <c r="AB9" i="1" l="1"/>
  <c r="AB10" i="1"/>
  <c r="Y9" i="1"/>
  <c r="Y10" i="1"/>
  <c r="V9" i="1"/>
  <c r="V10" i="1"/>
  <c r="S9" i="1"/>
  <c r="S10" i="1"/>
  <c r="AE9" i="1" l="1"/>
  <c r="AE10" i="1"/>
  <c r="S8" i="1"/>
  <c r="M10" i="1" l="1"/>
  <c r="M9" i="1"/>
  <c r="AB304" i="1"/>
  <c r="AB305" i="1"/>
  <c r="AB306" i="1"/>
  <c r="AB307" i="1"/>
  <c r="AB308" i="1"/>
  <c r="AB309" i="1"/>
  <c r="AB310" i="1"/>
  <c r="Y304" i="1"/>
  <c r="Y305" i="1"/>
  <c r="Y306" i="1"/>
  <c r="Y307" i="1"/>
  <c r="Y308" i="1"/>
  <c r="Y309" i="1"/>
  <c r="Y310" i="1"/>
  <c r="V304" i="1"/>
  <c r="V305" i="1"/>
  <c r="V306" i="1"/>
  <c r="V307" i="1"/>
  <c r="V308" i="1"/>
  <c r="V309" i="1"/>
  <c r="V310" i="1"/>
  <c r="S304" i="1"/>
  <c r="S305" i="1"/>
  <c r="S306" i="1"/>
  <c r="S307" i="1"/>
  <c r="S308" i="1"/>
  <c r="S309" i="1"/>
  <c r="AE308" i="1" l="1"/>
  <c r="AE310" i="1"/>
  <c r="AE309" i="1"/>
  <c r="AE307" i="1"/>
  <c r="AE305" i="1"/>
  <c r="AE304" i="1"/>
  <c r="AE306" i="1"/>
  <c r="S167" i="1"/>
  <c r="M306" i="1" l="1"/>
  <c r="M305" i="1"/>
  <c r="M310" i="1"/>
  <c r="M309" i="1"/>
  <c r="M308" i="1"/>
  <c r="M304" i="1"/>
  <c r="M307" i="1"/>
  <c r="S301" i="1"/>
  <c r="S200" i="1" l="1"/>
  <c r="S297" i="1" l="1"/>
  <c r="AB167" i="1" l="1"/>
  <c r="Y167" i="1"/>
  <c r="V167" i="1"/>
  <c r="AE167" i="1" l="1"/>
  <c r="M167" i="1" l="1"/>
  <c r="AB135" i="1"/>
  <c r="Y135" i="1"/>
  <c r="V135" i="1"/>
  <c r="S135" i="1"/>
  <c r="AE135" i="1" l="1"/>
  <c r="AB293" i="1"/>
  <c r="AB292" i="1"/>
  <c r="Y292" i="1"/>
  <c r="M135" i="1" l="1"/>
  <c r="AB170" i="1"/>
  <c r="Y170" i="1"/>
  <c r="V170" i="1"/>
  <c r="S170" i="1"/>
  <c r="AB291" i="1"/>
  <c r="V291" i="1"/>
  <c r="S291" i="1"/>
  <c r="AB294" i="1"/>
  <c r="AB295" i="1"/>
  <c r="AB296" i="1"/>
  <c r="AB297" i="1"/>
  <c r="AB298" i="1"/>
  <c r="AB299" i="1"/>
  <c r="AB300" i="1"/>
  <c r="AB301" i="1"/>
  <c r="AB302" i="1"/>
  <c r="AB303" i="1"/>
  <c r="Y293" i="1"/>
  <c r="Y294" i="1"/>
  <c r="Y295" i="1"/>
  <c r="Y296" i="1"/>
  <c r="Y297" i="1"/>
  <c r="Y298" i="1"/>
  <c r="Y299" i="1"/>
  <c r="Y300" i="1"/>
  <c r="Y301" i="1"/>
  <c r="Y302" i="1"/>
  <c r="Y303" i="1"/>
  <c r="Y332" i="1"/>
  <c r="Y360" i="1"/>
  <c r="V292" i="1"/>
  <c r="V293" i="1"/>
  <c r="V294" i="1"/>
  <c r="V295" i="1"/>
  <c r="V296" i="1"/>
  <c r="V297" i="1"/>
  <c r="V298" i="1"/>
  <c r="V299" i="1"/>
  <c r="V300" i="1"/>
  <c r="V301" i="1"/>
  <c r="V302" i="1"/>
  <c r="V303" i="1"/>
  <c r="V332" i="1"/>
  <c r="V360" i="1"/>
  <c r="S292" i="1"/>
  <c r="S293" i="1"/>
  <c r="S294" i="1"/>
  <c r="S295" i="1"/>
  <c r="S296" i="1"/>
  <c r="S298" i="1"/>
  <c r="S299" i="1"/>
  <c r="S300" i="1"/>
  <c r="S302" i="1"/>
  <c r="S303" i="1"/>
  <c r="S332" i="1"/>
  <c r="S360" i="1"/>
  <c r="AE299" i="1" l="1"/>
  <c r="AE297" i="1"/>
  <c r="AE301" i="1"/>
  <c r="AE303" i="1"/>
  <c r="AE295" i="1"/>
  <c r="AE293" i="1"/>
  <c r="AE302" i="1"/>
  <c r="AE298" i="1"/>
  <c r="AE294" i="1"/>
  <c r="AE360" i="1"/>
  <c r="AE170" i="1"/>
  <c r="AE291" i="1"/>
  <c r="AE332" i="1"/>
  <c r="AE300" i="1"/>
  <c r="AE296" i="1"/>
  <c r="AE292" i="1"/>
  <c r="Y290" i="1"/>
  <c r="AB290" i="1"/>
  <c r="V290" i="1"/>
  <c r="S290" i="1"/>
  <c r="M332" i="1" l="1"/>
  <c r="M296" i="1"/>
  <c r="M360" i="1"/>
  <c r="M298" i="1"/>
  <c r="M297" i="1"/>
  <c r="M301" i="1"/>
  <c r="M295" i="1"/>
  <c r="M303" i="1"/>
  <c r="M170" i="1"/>
  <c r="M293" i="1"/>
  <c r="M302" i="1"/>
  <c r="M300" i="1"/>
  <c r="M299" i="1"/>
  <c r="M294" i="1"/>
  <c r="M292" i="1"/>
  <c r="M291" i="1"/>
  <c r="AE290" i="1"/>
  <c r="AB289" i="1"/>
  <c r="Y289" i="1"/>
  <c r="V289" i="1"/>
  <c r="S289" i="1"/>
  <c r="M290" i="1" l="1"/>
  <c r="AE289" i="1"/>
  <c r="AB274" i="1"/>
  <c r="M289" i="1" l="1"/>
  <c r="V146" i="1"/>
  <c r="V147" i="1"/>
  <c r="Y146" i="1"/>
  <c r="Y147" i="1"/>
  <c r="AB145" i="1"/>
  <c r="Y145" i="1"/>
  <c r="V145" i="1"/>
  <c r="AB146" i="1"/>
  <c r="AB147" i="1"/>
  <c r="S146" i="1"/>
  <c r="S147" i="1"/>
  <c r="AE147" i="1" l="1"/>
  <c r="AE146" i="1"/>
  <c r="AE281" i="1"/>
  <c r="M146" i="1" l="1"/>
  <c r="M147" i="1"/>
  <c r="S278" i="1"/>
  <c r="S279" i="1"/>
  <c r="S280" i="1"/>
  <c r="S282" i="1"/>
  <c r="S283" i="1"/>
  <c r="S284" i="1"/>
  <c r="S285" i="1"/>
  <c r="S286" i="1"/>
  <c r="AB273" i="1" l="1"/>
  <c r="AB275" i="1"/>
  <c r="AB276" i="1"/>
  <c r="AB277" i="1"/>
  <c r="AB278" i="1"/>
  <c r="AB279" i="1"/>
  <c r="AB280" i="1"/>
  <c r="AB282" i="1"/>
  <c r="AB283" i="1"/>
  <c r="AB284" i="1"/>
  <c r="AB285" i="1"/>
  <c r="AB286" i="1"/>
  <c r="AB287" i="1"/>
  <c r="AB288" i="1"/>
  <c r="Y275" i="1"/>
  <c r="Y276" i="1"/>
  <c r="Y277" i="1"/>
  <c r="Y278" i="1"/>
  <c r="Y279" i="1"/>
  <c r="Y280" i="1"/>
  <c r="Y282" i="1"/>
  <c r="Y283" i="1"/>
  <c r="Y284" i="1"/>
  <c r="Y285" i="1"/>
  <c r="Y286" i="1"/>
  <c r="Y287" i="1"/>
  <c r="Y288" i="1"/>
  <c r="V277" i="1"/>
  <c r="V278" i="1"/>
  <c r="V279" i="1"/>
  <c r="V280" i="1"/>
  <c r="V282" i="1"/>
  <c r="V283" i="1"/>
  <c r="V284" i="1"/>
  <c r="V285" i="1"/>
  <c r="V286" i="1"/>
  <c r="V287" i="1"/>
  <c r="V288" i="1"/>
  <c r="S277" i="1"/>
  <c r="S287" i="1"/>
  <c r="AE280" i="1" l="1"/>
  <c r="AE284" i="1"/>
  <c r="AE283" i="1"/>
  <c r="AE286" i="1"/>
  <c r="M286" i="1" s="1"/>
  <c r="AE282" i="1"/>
  <c r="AE287" i="1"/>
  <c r="AE279" i="1"/>
  <c r="AE285" i="1"/>
  <c r="AE278" i="1"/>
  <c r="AE277" i="1"/>
  <c r="S29" i="1"/>
  <c r="Y29" i="1"/>
  <c r="V29" i="1"/>
  <c r="M278" i="1" l="1"/>
  <c r="M282" i="1"/>
  <c r="M280" i="1"/>
  <c r="M281" i="1"/>
  <c r="M284" i="1"/>
  <c r="M279" i="1"/>
  <c r="M283" i="1"/>
  <c r="M287" i="1"/>
  <c r="M285" i="1"/>
  <c r="M277" i="1"/>
  <c r="AE29" i="1"/>
  <c r="S272" i="1"/>
  <c r="AB272" i="1"/>
  <c r="M29" i="1" l="1"/>
  <c r="Y271" i="1"/>
  <c r="Y270" i="1"/>
  <c r="V271" i="1"/>
  <c r="V270" i="1"/>
  <c r="S271" i="1"/>
  <c r="S270" i="1"/>
  <c r="AB121" i="1" l="1"/>
  <c r="Y121" i="1"/>
  <c r="V121" i="1"/>
  <c r="S121" i="1"/>
  <c r="AB270" i="1" l="1"/>
  <c r="AE270" i="1" s="1"/>
  <c r="AB271" i="1"/>
  <c r="AE271" i="1" s="1"/>
  <c r="Y272" i="1"/>
  <c r="Y273" i="1"/>
  <c r="Y274" i="1"/>
  <c r="V272" i="1"/>
  <c r="V273" i="1"/>
  <c r="V274" i="1"/>
  <c r="V275" i="1"/>
  <c r="V276" i="1"/>
  <c r="S273" i="1"/>
  <c r="S274" i="1"/>
  <c r="S275" i="1"/>
  <c r="S276" i="1"/>
  <c r="S288" i="1"/>
  <c r="AE288" i="1" s="1"/>
  <c r="AE274" i="1" l="1"/>
  <c r="AE275" i="1"/>
  <c r="AE273" i="1"/>
  <c r="AE276" i="1"/>
  <c r="AE272" i="1"/>
  <c r="M121" i="1"/>
  <c r="M270" i="1"/>
  <c r="AB268" i="1"/>
  <c r="Y268" i="1"/>
  <c r="V268" i="1"/>
  <c r="S268" i="1"/>
  <c r="M274" i="1" l="1"/>
  <c r="M276" i="1"/>
  <c r="M273" i="1"/>
  <c r="M275" i="1"/>
  <c r="M288" i="1"/>
  <c r="M272" i="1"/>
  <c r="AE268" i="1"/>
  <c r="S267" i="1"/>
  <c r="M268" i="1" l="1"/>
  <c r="AB266" i="1" l="1"/>
  <c r="Y266" i="1"/>
  <c r="V266" i="1"/>
  <c r="S266" i="1"/>
  <c r="AE266" i="1" l="1"/>
  <c r="M266" i="1" l="1"/>
  <c r="V220" i="1"/>
  <c r="V194" i="1" l="1"/>
  <c r="V195" i="1"/>
  <c r="V196" i="1"/>
  <c r="V197" i="1"/>
  <c r="V198" i="1"/>
  <c r="V199" i="1"/>
  <c r="V201" i="1"/>
  <c r="V202" i="1"/>
  <c r="V203" i="1"/>
  <c r="V204" i="1"/>
  <c r="V205" i="1"/>
  <c r="V206" i="1"/>
  <c r="V207" i="1"/>
  <c r="V208" i="1"/>
  <c r="V209" i="1"/>
  <c r="V210" i="1"/>
  <c r="V211" i="1"/>
  <c r="V212" i="1"/>
  <c r="V213" i="1"/>
  <c r="V214" i="1"/>
  <c r="V215" i="1"/>
  <c r="V216" i="1"/>
  <c r="V217" i="1"/>
  <c r="V218" i="1"/>
  <c r="V219"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7" i="1"/>
  <c r="V269" i="1"/>
  <c r="AB181" i="1" l="1"/>
  <c r="Y175" i="1"/>
  <c r="Y176" i="1"/>
  <c r="Y181" i="1"/>
  <c r="Y174" i="1"/>
  <c r="S175" i="1"/>
  <c r="S176" i="1"/>
  <c r="S181" i="1"/>
  <c r="S174" i="1"/>
  <c r="Y173" i="1"/>
  <c r="Y171" i="1"/>
  <c r="Y169" i="1"/>
  <c r="Y168" i="1"/>
  <c r="Y165" i="1"/>
  <c r="Y160" i="1"/>
  <c r="S173" i="1"/>
  <c r="S171" i="1"/>
  <c r="S169" i="1"/>
  <c r="S168" i="1"/>
  <c r="S165" i="1"/>
  <c r="S160" i="1"/>
  <c r="S145" i="1"/>
  <c r="S158" i="1"/>
  <c r="S152" i="1"/>
  <c r="S151" i="1"/>
  <c r="S142" i="1"/>
  <c r="S143" i="1"/>
  <c r="V142" i="1"/>
  <c r="V143" i="1"/>
  <c r="Y142" i="1"/>
  <c r="Y143" i="1"/>
  <c r="AB136" i="1"/>
  <c r="Y136" i="1"/>
  <c r="S136" i="1"/>
  <c r="S132" i="1"/>
  <c r="Y127" i="1"/>
  <c r="S130" i="1"/>
  <c r="S128" i="1"/>
  <c r="S120" i="1"/>
  <c r="Y114" i="1"/>
  <c r="V114" i="1"/>
  <c r="S112" i="1"/>
  <c r="AB102" i="1"/>
  <c r="AB103" i="1"/>
  <c r="Y102" i="1"/>
  <c r="Y103" i="1"/>
  <c r="V103" i="1"/>
  <c r="S102" i="1"/>
  <c r="S103" i="1"/>
  <c r="AB71" i="1"/>
  <c r="AB72" i="1"/>
  <c r="AB73" i="1"/>
  <c r="Y72" i="1"/>
  <c r="Y73" i="1"/>
  <c r="Y71" i="1"/>
  <c r="V72" i="1"/>
  <c r="V73" i="1"/>
  <c r="S72" i="1"/>
  <c r="S73" i="1"/>
  <c r="S93" i="1"/>
  <c r="AB84" i="1"/>
  <c r="AB87" i="1"/>
  <c r="Y84" i="1"/>
  <c r="Y87" i="1"/>
  <c r="V84" i="1"/>
  <c r="V87" i="1"/>
  <c r="S84" i="1"/>
  <c r="S87" i="1"/>
  <c r="AB82" i="1"/>
  <c r="Y82" i="1"/>
  <c r="V82" i="1"/>
  <c r="S82" i="1"/>
  <c r="S80" i="1"/>
  <c r="Y76" i="1"/>
  <c r="S77" i="1"/>
  <c r="S76" i="1"/>
  <c r="S71" i="1"/>
  <c r="S70" i="1"/>
  <c r="Y69" i="1"/>
  <c r="S69" i="1"/>
  <c r="V67" i="1"/>
  <c r="Y67" i="1"/>
  <c r="AB67" i="1"/>
  <c r="Y47" i="1"/>
  <c r="S47" i="1"/>
  <c r="Y41" i="1"/>
  <c r="Y42" i="1"/>
  <c r="V41" i="1"/>
  <c r="V42" i="1"/>
  <c r="S41" i="1"/>
  <c r="S42" i="1"/>
  <c r="Y40" i="1"/>
  <c r="S40" i="1"/>
  <c r="AE145" i="1" l="1"/>
  <c r="AE103" i="1"/>
  <c r="AE82" i="1"/>
  <c r="AE73" i="1"/>
  <c r="AE72" i="1"/>
  <c r="AE87" i="1"/>
  <c r="AE84" i="1"/>
  <c r="AB40" i="1"/>
  <c r="AB41" i="1"/>
  <c r="AE41" i="1" s="1"/>
  <c r="AB42" i="1"/>
  <c r="AE42" i="1" s="1"/>
  <c r="AB46" i="1"/>
  <c r="AB47" i="1"/>
  <c r="AB56" i="1"/>
  <c r="AB57" i="1"/>
  <c r="AB62" i="1"/>
  <c r="AB63" i="1"/>
  <c r="AB69" i="1"/>
  <c r="AB70" i="1"/>
  <c r="AB76" i="1"/>
  <c r="AB77" i="1"/>
  <c r="AB80" i="1"/>
  <c r="AB81" i="1"/>
  <c r="AB83" i="1"/>
  <c r="AB92" i="1"/>
  <c r="AB97" i="1"/>
  <c r="AB101" i="1"/>
  <c r="AB108" i="1"/>
  <c r="AB112" i="1"/>
  <c r="AB113" i="1"/>
  <c r="AE113" i="1" s="1"/>
  <c r="AE114" i="1"/>
  <c r="AB120" i="1"/>
  <c r="AB122" i="1"/>
  <c r="AE122" i="1" s="1"/>
  <c r="AB127" i="1"/>
  <c r="AB128" i="1"/>
  <c r="AB130" i="1"/>
  <c r="AB131" i="1"/>
  <c r="AB132" i="1"/>
  <c r="AB134" i="1"/>
  <c r="AB141" i="1"/>
  <c r="AB142" i="1"/>
  <c r="AB143" i="1"/>
  <c r="AE143" i="1" s="1"/>
  <c r="AB144" i="1"/>
  <c r="AB149" i="1"/>
  <c r="AB151" i="1"/>
  <c r="AB152" i="1"/>
  <c r="AB154" i="1"/>
  <c r="AE154" i="1" s="1"/>
  <c r="M154" i="1" s="1"/>
  <c r="AB155" i="1"/>
  <c r="AB158" i="1"/>
  <c r="AB159" i="1"/>
  <c r="AB160" i="1"/>
  <c r="AB165" i="1"/>
  <c r="AB168" i="1"/>
  <c r="AB169" i="1"/>
  <c r="AB171" i="1"/>
  <c r="AB173" i="1"/>
  <c r="AB174" i="1"/>
  <c r="AB175" i="1"/>
  <c r="AB176" i="1"/>
  <c r="AB193" i="1"/>
  <c r="AB194" i="1"/>
  <c r="AB195" i="1"/>
  <c r="AB196" i="1"/>
  <c r="AB197" i="1"/>
  <c r="AB198" i="1"/>
  <c r="AB199" i="1"/>
  <c r="AB200" i="1"/>
  <c r="AB201" i="1"/>
  <c r="AB39" i="1"/>
  <c r="V40" i="1"/>
  <c r="V47" i="1"/>
  <c r="V57" i="1"/>
  <c r="V69" i="1"/>
  <c r="V70" i="1"/>
  <c r="V71" i="1"/>
  <c r="AE71" i="1" s="1"/>
  <c r="V76" i="1"/>
  <c r="V77" i="1"/>
  <c r="V80" i="1"/>
  <c r="V81" i="1"/>
  <c r="V83" i="1"/>
  <c r="V92" i="1"/>
  <c r="V93" i="1"/>
  <c r="V97" i="1"/>
  <c r="V101" i="1"/>
  <c r="V102" i="1"/>
  <c r="AE102" i="1" s="1"/>
  <c r="V108" i="1"/>
  <c r="V112" i="1"/>
  <c r="V127" i="1"/>
  <c r="V128" i="1"/>
  <c r="V130" i="1"/>
  <c r="V131" i="1"/>
  <c r="V132" i="1"/>
  <c r="V134" i="1"/>
  <c r="V136" i="1"/>
  <c r="V141" i="1"/>
  <c r="V144" i="1"/>
  <c r="V149" i="1"/>
  <c r="V151" i="1"/>
  <c r="V152" i="1"/>
  <c r="V155" i="1"/>
  <c r="V158" i="1"/>
  <c r="V159" i="1"/>
  <c r="V160" i="1"/>
  <c r="V165" i="1"/>
  <c r="V168" i="1"/>
  <c r="V169" i="1"/>
  <c r="V171" i="1"/>
  <c r="V173" i="1"/>
  <c r="V174" i="1"/>
  <c r="V175" i="1"/>
  <c r="V176" i="1"/>
  <c r="V181" i="1"/>
  <c r="AE181" i="1" s="1"/>
  <c r="M181" i="1" s="1"/>
  <c r="V39" i="1"/>
  <c r="S39" i="1"/>
  <c r="Y33" i="1"/>
  <c r="Y34" i="1"/>
  <c r="V33" i="1"/>
  <c r="V34" i="1"/>
  <c r="S33" i="1"/>
  <c r="S34" i="1"/>
  <c r="Y37" i="1"/>
  <c r="Y38" i="1"/>
  <c r="AB37" i="1"/>
  <c r="AB38" i="1"/>
  <c r="V37" i="1"/>
  <c r="V38" i="1"/>
  <c r="S37" i="1"/>
  <c r="S38" i="1"/>
  <c r="AB30" i="1"/>
  <c r="AE30" i="1" s="1"/>
  <c r="AB26" i="1"/>
  <c r="Y26" i="1"/>
  <c r="V26" i="1"/>
  <c r="S26" i="1"/>
  <c r="AB60" i="1"/>
  <c r="AB21" i="1"/>
  <c r="AB22" i="1"/>
  <c r="AB20" i="1"/>
  <c r="Y60" i="1"/>
  <c r="V60" i="1"/>
  <c r="V21" i="1"/>
  <c r="AE21" i="1" s="1"/>
  <c r="S60" i="1"/>
  <c r="AB17" i="1"/>
  <c r="AB18" i="1"/>
  <c r="AB16" i="1"/>
  <c r="Y17" i="1"/>
  <c r="Y18" i="1"/>
  <c r="V17" i="1"/>
  <c r="V18" i="1"/>
  <c r="S17" i="1"/>
  <c r="S18" i="1"/>
  <c r="S7" i="1"/>
  <c r="V7" i="1"/>
  <c r="V8" i="1"/>
  <c r="Y7" i="1"/>
  <c r="Y8" i="1"/>
  <c r="AB6" i="1"/>
  <c r="AB7" i="1"/>
  <c r="AB8" i="1"/>
  <c r="AB5" i="1"/>
  <c r="S196"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7" i="1"/>
  <c r="AB269"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7" i="1"/>
  <c r="Y269" i="1"/>
  <c r="Y195" i="1"/>
  <c r="Y196" i="1"/>
  <c r="Y197" i="1"/>
  <c r="Y198" i="1"/>
  <c r="Y199" i="1"/>
  <c r="Y200" i="1"/>
  <c r="Y201" i="1"/>
  <c r="Y202" i="1"/>
  <c r="Y203" i="1"/>
  <c r="Y204" i="1"/>
  <c r="Y205" i="1"/>
  <c r="Y206" i="1"/>
  <c r="Y207" i="1"/>
  <c r="Y208" i="1"/>
  <c r="Y209" i="1"/>
  <c r="Y210" i="1"/>
  <c r="Y194" i="1"/>
  <c r="Y193" i="1"/>
  <c r="V193" i="1"/>
  <c r="S195" i="1"/>
  <c r="S197" i="1"/>
  <c r="S198" i="1"/>
  <c r="S199" i="1"/>
  <c r="S201" i="1"/>
  <c r="S202" i="1"/>
  <c r="S203" i="1"/>
  <c r="S204" i="1"/>
  <c r="S205" i="1"/>
  <c r="S206" i="1"/>
  <c r="S207" i="1"/>
  <c r="S208" i="1"/>
  <c r="S209" i="1"/>
  <c r="S210" i="1"/>
  <c r="S211"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9" i="1"/>
  <c r="S194" i="1"/>
  <c r="S193" i="1"/>
  <c r="Y134" i="1"/>
  <c r="S134" i="1"/>
  <c r="Y144" i="1"/>
  <c r="S144" i="1"/>
  <c r="Y159" i="1"/>
  <c r="S159" i="1"/>
  <c r="AB36" i="1"/>
  <c r="Y36" i="1"/>
  <c r="V36" i="1"/>
  <c r="S36" i="1"/>
  <c r="Y141" i="1"/>
  <c r="S141" i="1"/>
  <c r="Y131" i="1"/>
  <c r="S131" i="1"/>
  <c r="Y120" i="1"/>
  <c r="Y108" i="1"/>
  <c r="S108" i="1"/>
  <c r="Y112" i="1"/>
  <c r="Y97" i="1"/>
  <c r="S97" i="1"/>
  <c r="Y101" i="1"/>
  <c r="S101" i="1"/>
  <c r="Y83" i="1"/>
  <c r="S83" i="1"/>
  <c r="Y92" i="1"/>
  <c r="S92" i="1"/>
  <c r="Y81" i="1"/>
  <c r="S81" i="1"/>
  <c r="S67" i="1"/>
  <c r="Y46" i="1"/>
  <c r="S46" i="1"/>
  <c r="Y31" i="1"/>
  <c r="V31" i="1"/>
  <c r="S31" i="1"/>
  <c r="Y20" i="1"/>
  <c r="V20" i="1"/>
  <c r="S20" i="1"/>
  <c r="Y16" i="1"/>
  <c r="V16" i="1"/>
  <c r="S16" i="1"/>
  <c r="Y6" i="1"/>
  <c r="V6" i="1"/>
  <c r="S6" i="1"/>
  <c r="Y5" i="1"/>
  <c r="V5" i="1"/>
  <c r="S5" i="1"/>
  <c r="AE128" i="1" l="1"/>
  <c r="AE26" i="1"/>
  <c r="M35" i="1"/>
  <c r="M82" i="1"/>
  <c r="M30" i="1"/>
  <c r="M41" i="1"/>
  <c r="M21" i="1"/>
  <c r="M71" i="1"/>
  <c r="M114" i="1"/>
  <c r="M73" i="1"/>
  <c r="M113" i="1"/>
  <c r="M87" i="1"/>
  <c r="M42" i="1"/>
  <c r="M72" i="1"/>
  <c r="M39" i="1"/>
  <c r="M143" i="1"/>
  <c r="AE127" i="1"/>
  <c r="M103" i="1"/>
  <c r="M84" i="1"/>
  <c r="AE267" i="1"/>
  <c r="AE31" i="1"/>
  <c r="AE20" i="1"/>
  <c r="AE77" i="1"/>
  <c r="AE169" i="1"/>
  <c r="AE60" i="1"/>
  <c r="AE194" i="1"/>
  <c r="AE6" i="1"/>
  <c r="AE263" i="1"/>
  <c r="AE259" i="1"/>
  <c r="AE255" i="1"/>
  <c r="AE251" i="1"/>
  <c r="AE247" i="1"/>
  <c r="AE243" i="1"/>
  <c r="AE239" i="1"/>
  <c r="AE235" i="1"/>
  <c r="AE231" i="1"/>
  <c r="AE227" i="1"/>
  <c r="AE223" i="1"/>
  <c r="AE219" i="1"/>
  <c r="AE215" i="1"/>
  <c r="AE211" i="1"/>
  <c r="AE207" i="1"/>
  <c r="AE203" i="1"/>
  <c r="AE199" i="1"/>
  <c r="AE175" i="1"/>
  <c r="AE171" i="1"/>
  <c r="AE132" i="1"/>
  <c r="AE5" i="1"/>
  <c r="AE262" i="1"/>
  <c r="AE258" i="1"/>
  <c r="AE254" i="1"/>
  <c r="AE250" i="1"/>
  <c r="AE246" i="1"/>
  <c r="AE242" i="1"/>
  <c r="AE238" i="1"/>
  <c r="AE234" i="1"/>
  <c r="AE230" i="1"/>
  <c r="AE226" i="1"/>
  <c r="AE222" i="1"/>
  <c r="AE218" i="1"/>
  <c r="AE214" i="1"/>
  <c r="AE210" i="1"/>
  <c r="AE206" i="1"/>
  <c r="AE202" i="1"/>
  <c r="AE198" i="1"/>
  <c r="AE208" i="1"/>
  <c r="AE204" i="1"/>
  <c r="AE120" i="1"/>
  <c r="AE70" i="1"/>
  <c r="AE80" i="1"/>
  <c r="AE57" i="1"/>
  <c r="AE40" i="1"/>
  <c r="AE173" i="1"/>
  <c r="AE168" i="1"/>
  <c r="AE155" i="1"/>
  <c r="M124" i="1"/>
  <c r="AE130" i="1"/>
  <c r="AE152" i="1"/>
  <c r="AE149" i="1"/>
  <c r="AE174" i="1"/>
  <c r="AE165" i="1"/>
  <c r="AE160" i="1"/>
  <c r="AE158" i="1"/>
  <c r="M158" i="1" s="1"/>
  <c r="AE151" i="1"/>
  <c r="AE47" i="1"/>
  <c r="AE63" i="1"/>
  <c r="AE83" i="1"/>
  <c r="AE76" i="1"/>
  <c r="AE81" i="1"/>
  <c r="AE69" i="1"/>
  <c r="AE93" i="1"/>
  <c r="AE67" i="1"/>
  <c r="AE200" i="1"/>
  <c r="AE56" i="1"/>
  <c r="AE46" i="1"/>
  <c r="AE229" i="1"/>
  <c r="AE225" i="1"/>
  <c r="AE217" i="1"/>
  <c r="AE213" i="1"/>
  <c r="AE62" i="1"/>
  <c r="AE182" i="1"/>
  <c r="AE141" i="1"/>
  <c r="AE131" i="1"/>
  <c r="AE159" i="1"/>
  <c r="AE134" i="1"/>
  <c r="AE195" i="1"/>
  <c r="AE7" i="1"/>
  <c r="AE17" i="1"/>
  <c r="AE264" i="1"/>
  <c r="AE260" i="1"/>
  <c r="AE256" i="1"/>
  <c r="AE252" i="1"/>
  <c r="AE248" i="1"/>
  <c r="AE244" i="1"/>
  <c r="AE240" i="1"/>
  <c r="AE236" i="1"/>
  <c r="AE232" i="1"/>
  <c r="AE228" i="1"/>
  <c r="AE224" i="1"/>
  <c r="AE220" i="1"/>
  <c r="AE216" i="1"/>
  <c r="AE212" i="1"/>
  <c r="AE97" i="1"/>
  <c r="AE108" i="1"/>
  <c r="AE196" i="1"/>
  <c r="AE101" i="1"/>
  <c r="AE269" i="1"/>
  <c r="AE265" i="1"/>
  <c r="AE261" i="1"/>
  <c r="AE257" i="1"/>
  <c r="AE253" i="1"/>
  <c r="AE249" i="1"/>
  <c r="AE245" i="1"/>
  <c r="AE241" i="1"/>
  <c r="AE237" i="1"/>
  <c r="AE233" i="1"/>
  <c r="AE221" i="1"/>
  <c r="AE209" i="1"/>
  <c r="AE205" i="1"/>
  <c r="AE201" i="1"/>
  <c r="AE197" i="1"/>
  <c r="AE193" i="1"/>
  <c r="AE176" i="1"/>
  <c r="AE144" i="1"/>
  <c r="AE142" i="1"/>
  <c r="AE136" i="1"/>
  <c r="AE112" i="1"/>
  <c r="AE92" i="1"/>
  <c r="AE34" i="1"/>
  <c r="AE37" i="1"/>
  <c r="AE33" i="1"/>
  <c r="AE18" i="1"/>
  <c r="AE38" i="1"/>
  <c r="AE8" i="1"/>
  <c r="AE16" i="1"/>
  <c r="AE36" i="1"/>
  <c r="M26" i="1" l="1"/>
  <c r="M149" i="1"/>
  <c r="M33" i="1"/>
  <c r="M152" i="1"/>
  <c r="M175" i="1"/>
  <c r="M122" i="1"/>
  <c r="M40" i="1"/>
  <c r="M77" i="1"/>
  <c r="M127" i="1"/>
  <c r="M57" i="1"/>
  <c r="M142" i="1"/>
  <c r="M56" i="1"/>
  <c r="M69" i="1"/>
  <c r="M76" i="1"/>
  <c r="M165" i="1"/>
  <c r="M70" i="1"/>
  <c r="M8" i="1"/>
  <c r="M176" i="1"/>
  <c r="M174" i="1"/>
  <c r="M132" i="1"/>
  <c r="M182" i="1"/>
  <c r="M63" i="1"/>
  <c r="M130" i="1"/>
  <c r="M171" i="1"/>
  <c r="M37" i="1"/>
  <c r="M93" i="1"/>
  <c r="M168" i="1"/>
  <c r="M38" i="1"/>
  <c r="M17" i="1"/>
  <c r="M173" i="1"/>
  <c r="M169" i="1"/>
  <c r="M128" i="1"/>
  <c r="M136" i="1"/>
  <c r="M151" i="1"/>
  <c r="M160" i="1"/>
  <c r="M80" i="1"/>
  <c r="M25" i="1"/>
  <c r="M34" i="1"/>
  <c r="M18" i="1"/>
  <c r="M155" i="1"/>
  <c r="M221" i="1"/>
  <c r="M226" i="1"/>
  <c r="M36" i="1"/>
  <c r="M228" i="1"/>
  <c r="M249" i="1"/>
  <c r="M232" i="1"/>
  <c r="M237" i="1"/>
  <c r="M60" i="1"/>
  <c r="M7" i="1"/>
  <c r="M145" i="1"/>
  <c r="M271" i="1"/>
  <c r="M47" i="1"/>
  <c r="M219" i="1"/>
  <c r="M248" i="1"/>
  <c r="M214" i="1"/>
  <c r="M203" i="1"/>
  <c r="M198" i="1"/>
  <c r="M264" i="1"/>
  <c r="M253" i="1"/>
  <c r="M235" i="1"/>
  <c r="M220" i="1"/>
  <c r="M205" i="1"/>
  <c r="M251" i="1"/>
  <c r="M204" i="1"/>
  <c r="M208" i="1"/>
  <c r="M224" i="1"/>
  <c r="M236" i="1"/>
  <c r="M252" i="1"/>
  <c r="M209" i="1"/>
  <c r="M225" i="1"/>
  <c r="M241" i="1"/>
  <c r="M257" i="1"/>
  <c r="M269" i="1"/>
  <c r="M207" i="1"/>
  <c r="M223" i="1"/>
  <c r="M239" i="1"/>
  <c r="M255" i="1"/>
  <c r="M202" i="1"/>
  <c r="M218" i="1"/>
  <c r="M230" i="1"/>
  <c r="M242" i="1"/>
  <c r="M258" i="1"/>
  <c r="M193" i="1"/>
  <c r="M195" i="1"/>
  <c r="M212" i="1"/>
  <c r="M240" i="1"/>
  <c r="M256" i="1"/>
  <c r="M197" i="1"/>
  <c r="M213" i="1"/>
  <c r="M229" i="1"/>
  <c r="M245" i="1"/>
  <c r="M261" i="1"/>
  <c r="M194" i="1"/>
  <c r="M211" i="1"/>
  <c r="M227" i="1"/>
  <c r="M243" i="1"/>
  <c r="M259" i="1"/>
  <c r="M206" i="1"/>
  <c r="M222" i="1"/>
  <c r="M234" i="1"/>
  <c r="M246" i="1"/>
  <c r="M262" i="1"/>
  <c r="M196" i="1"/>
  <c r="M254" i="1"/>
  <c r="M200" i="1"/>
  <c r="M216" i="1"/>
  <c r="M244" i="1"/>
  <c r="M260" i="1"/>
  <c r="M201" i="1"/>
  <c r="M217" i="1"/>
  <c r="M233" i="1"/>
  <c r="M265" i="1"/>
  <c r="M199" i="1"/>
  <c r="M215" i="1"/>
  <c r="M231" i="1"/>
  <c r="M247" i="1"/>
  <c r="M263" i="1"/>
  <c r="M210" i="1"/>
  <c r="M238" i="1"/>
  <c r="M250" i="1"/>
  <c r="M267" i="1"/>
  <c r="M112" i="1"/>
  <c r="M101" i="1"/>
  <c r="M144" i="1"/>
  <c r="M20" i="1"/>
  <c r="M5" i="1"/>
  <c r="M46" i="1"/>
  <c r="M120" i="1"/>
  <c r="M102" i="1"/>
  <c r="M83" i="1"/>
  <c r="M159" i="1"/>
  <c r="M131" i="1"/>
  <c r="M108" i="1"/>
  <c r="M31" i="1"/>
  <c r="M141" i="1"/>
  <c r="M97" i="1"/>
  <c r="M81" i="1"/>
  <c r="M92" i="1"/>
  <c r="M67" i="1"/>
  <c r="M6" i="1"/>
  <c r="M16" i="1"/>
  <c r="M134" i="1"/>
  <c r="AB99" i="1" l="1"/>
  <c r="AE99" i="1" l="1"/>
  <c r="M99" i="1" l="1"/>
</calcChain>
</file>

<file path=xl/sharedStrings.xml><?xml version="1.0" encoding="utf-8"?>
<sst xmlns="http://schemas.openxmlformats.org/spreadsheetml/2006/main" count="5018" uniqueCount="1530">
  <si>
    <t>Nr. crt.</t>
  </si>
  <si>
    <t>Titlu proiect</t>
  </si>
  <si>
    <t xml:space="preserve">Regiune </t>
  </si>
  <si>
    <t>Localitate</t>
  </si>
  <si>
    <t>Tip beneficiar</t>
  </si>
  <si>
    <t>Total valoare proiect</t>
  </si>
  <si>
    <t>Act aditional NR.</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</si>
  <si>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</si>
  <si>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</si>
  <si>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</si>
  <si>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</si>
  <si>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</si>
  <si>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</si>
  <si>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</si>
  <si>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</si>
  <si>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</si>
  <si>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</si>
  <si>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</si>
  <si>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</si>
  <si>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</si>
  <si>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</si>
  <si>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</si>
  <si>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</si>
  <si>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</si>
  <si>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</si>
  <si>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</si>
  <si>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</si>
  <si>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</si>
  <si>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</si>
  <si>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</si>
  <si>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</si>
  <si>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</si>
  <si>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</si>
  <si>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</si>
  <si>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</si>
  <si>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</si>
  <si>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</si>
  <si>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</si>
  <si>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</si>
  <si>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</si>
  <si>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</si>
  <si>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</si>
  <si>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</si>
  <si>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</si>
  <si>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</si>
  <si>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</si>
  <si>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</si>
  <si>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</si>
  <si>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</si>
  <si>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</si>
  <si>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</si>
  <si>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</si>
  <si>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</si>
  <si>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</si>
  <si>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</si>
  <si>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</si>
  <si>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</si>
  <si>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</si>
  <si>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</si>
  <si>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Dezvoltarea capacității de administrare a datoriei publice guvernamentale prin utilizarea instrumentelor financiare derivate</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</si>
  <si>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</si>
  <si>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</si>
  <si>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</si>
  <si>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</si>
  <si>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</si>
  <si>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</si>
  <si>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</si>
  <si>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</si>
  <si>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</si>
  <si>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</si>
  <si>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</si>
  <si>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</si>
  <si>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</si>
  <si>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</si>
  <si>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</si>
  <si>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</si>
  <si>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</si>
  <si>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</si>
  <si>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</si>
  <si>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</si>
  <si>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</si>
  <si>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</si>
  <si>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</si>
  <si>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</si>
  <si>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</si>
  <si>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</si>
  <si>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</si>
  <si>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</si>
  <si>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</si>
  <si>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</si>
  <si>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</si>
  <si>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</si>
  <si>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</si>
  <si>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</si>
  <si>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</si>
  <si>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Dezvoltarea capacității administrative a ANCSI de implementare a unor acțiuni stabilite în Strategia Națională de Cercetare, Dezvoltare tehnologică și Inovare 2014-2020</t>
  </si>
  <si>
    <t xml:space="preserve">Scopul proiectului: adaptarea structurilor, optimizarea proceselor și pregătirea resurselor umane din Autoritatea națională de Cercetare Științifică și Inovare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ANCSI, respectiv ale MECS, prin realizarea unei Platforme Informatice Integrate pentru Cercetare-Dezvoltare și Inovare (PII-CDI). Aceasta efectuează activități de culegere, agregare, prelucrare şi distribuire a informaţiilor. Utilizarea PII-CDI contribuie la aplicarea sistemului de politici bazate pe dovezi în autoritățile și instituțiile publice centrale.
B) Indeplinirea conditionalităților ex-ante pentru Obiectivul Tematic 1 (OT1) al FESI, prevăzute în cadrul Programului Operațional Competitivitate 2014-2020 prin realizarea mecanismului de orientare strategică, bazat pe descoperirerea antreprenorială și creșterea gradului de integrare a sistemului de CDI în economia națională ca răspuns la nevoia de a  îmbunătăți procesul de monitorizare și evaluare a SNCDI. Implementarea acestui mecanism de orientare strategică va crește capacitatea administrativă a Autorității de a efectua planificări strategice și bugetarea pe programe.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</si>
  <si>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</si>
  <si>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</si>
  <si>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</si>
  <si>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</si>
  <si>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</si>
  <si>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</si>
  <si>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</si>
  <si>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</si>
  <si>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</si>
  <si>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</si>
  <si>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</si>
  <si>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</si>
  <si>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</si>
  <si>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</si>
  <si>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</si>
  <si>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</si>
  <si>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</si>
  <si>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</si>
  <si>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</si>
  <si>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</si>
  <si>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</si>
  <si>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</si>
  <si>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</si>
  <si>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</si>
  <si>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</si>
  <si>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</si>
  <si>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</si>
  <si>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</si>
  <si>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</si>
  <si>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</si>
  <si>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</si>
  <si>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</si>
  <si>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</si>
  <si>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</si>
  <si>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</si>
  <si>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</si>
  <si>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</si>
  <si>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</si>
  <si>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</si>
  <si>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</si>
  <si>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</si>
  <si>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</si>
  <si>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</si>
  <si>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</si>
  <si>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</si>
  <si>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</si>
  <si>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</si>
  <si>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</si>
  <si>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</si>
  <si>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</si>
  <si>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</si>
  <si>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</si>
  <si>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</si>
  <si>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</si>
  <si>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</si>
  <si>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</si>
  <si>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</si>
  <si>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</si>
  <si>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</si>
  <si>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</si>
  <si>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</si>
  <si>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Valoarea eligibilă a proiectului</t>
  </si>
  <si>
    <t>Cod SIPOCA</t>
  </si>
  <si>
    <t>OFP</t>
  </si>
  <si>
    <t>AP3/  /3.1</t>
  </si>
  <si>
    <t>AP3/  /3.2</t>
  </si>
  <si>
    <t>MP</t>
  </si>
  <si>
    <t>Cod apel</t>
  </si>
  <si>
    <t>AP1/11i /1.1</t>
  </si>
  <si>
    <t>AP1/11i /1.4</t>
  </si>
  <si>
    <t>AP 2/11i  /2.2</t>
  </si>
  <si>
    <t>DV</t>
  </si>
  <si>
    <t xml:space="preserve">AP1/11i /1.3 </t>
  </si>
  <si>
    <t>CA</t>
  </si>
  <si>
    <t>GD</t>
  </si>
  <si>
    <t>RG</t>
  </si>
  <si>
    <t>RB</t>
  </si>
  <si>
    <t>AI</t>
  </si>
  <si>
    <t>OD</t>
  </si>
  <si>
    <t>MN</t>
  </si>
  <si>
    <t>MM</t>
  </si>
  <si>
    <t xml:space="preserve">AP1/11i /1.2 </t>
  </si>
  <si>
    <t>**</t>
  </si>
  <si>
    <t>***</t>
  </si>
  <si>
    <t>IP2/2015</t>
  </si>
  <si>
    <t>IP5/2016</t>
  </si>
  <si>
    <t>regiune mai dezvoltată</t>
  </si>
  <si>
    <t>regiune mai puțin dezvoltată</t>
  </si>
  <si>
    <t>n.a</t>
  </si>
  <si>
    <t>AA5/ 27.11.2017</t>
  </si>
  <si>
    <t>AA3/ 12.10.2017</t>
  </si>
  <si>
    <t>AA6/ 21.11.2017</t>
  </si>
  <si>
    <t>AA2 / 17.10.2017</t>
  </si>
  <si>
    <t>AA2 /14.09.2017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</si>
  <si>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</si>
  <si>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</si>
  <si>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</si>
  <si>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</si>
  <si>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</si>
  <si>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</si>
  <si>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</si>
  <si>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</si>
  <si>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</si>
  <si>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</si>
  <si>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</si>
  <si>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</si>
  <si>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</si>
  <si>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</si>
  <si>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</si>
  <si>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</si>
  <si>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</si>
  <si>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 xml:space="preserve">1. Ministerul Afacerilor Interne
Direcţia Generală Anticorupţie
</t>
  </si>
  <si>
    <t>AA6/ 04.01.2018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</si>
  <si>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</si>
  <si>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</si>
  <si>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</si>
  <si>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</si>
  <si>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</si>
  <si>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</si>
  <si>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</si>
  <si>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</si>
  <si>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</si>
  <si>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</si>
  <si>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</si>
  <si>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</si>
  <si>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</si>
  <si>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</si>
  <si>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</si>
  <si>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</si>
  <si>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</si>
  <si>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APT_SMC – Administrație Publică eficienTă prin Sistem de Management al Calității</t>
  </si>
  <si>
    <t>Judeţul Dâmbovița</t>
  </si>
  <si>
    <t xml:space="preserve">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</si>
  <si>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</si>
  <si>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</si>
  <si>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</si>
  <si>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</si>
  <si>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</si>
  <si>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</si>
  <si>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</si>
  <si>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</si>
  <si>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</si>
  <si>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</si>
  <si>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</si>
  <si>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</si>
  <si>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</si>
  <si>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</si>
  <si>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</si>
  <si>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</si>
  <si>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</si>
  <si>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</si>
  <si>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</si>
  <si>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</si>
  <si>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</si>
  <si>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</si>
  <si>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</si>
  <si>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</si>
  <si>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</si>
  <si>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</si>
  <si>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</si>
  <si>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</si>
  <si>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</si>
  <si>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Sebeș</t>
  </si>
  <si>
    <t>Gheorgheni</t>
  </si>
  <si>
    <t>Municipiului
Gheorgheni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</si>
  <si>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</si>
  <si>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</si>
  <si>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</si>
  <si>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</si>
  <si>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</si>
  <si>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</si>
  <si>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</si>
  <si>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</si>
  <si>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</si>
  <si>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</si>
  <si>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</si>
  <si>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</si>
  <si>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</si>
  <si>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</si>
  <si>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</si>
  <si>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</si>
  <si>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</si>
  <si>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</si>
  <si>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</si>
  <si>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</si>
  <si>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</si>
  <si>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</si>
  <si>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</si>
  <si>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</si>
  <si>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</si>
  <si>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</si>
  <si>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</si>
  <si>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</si>
  <si>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</si>
  <si>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</si>
  <si>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</si>
  <si>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</si>
  <si>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</si>
  <si>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</si>
  <si>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</si>
  <si>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</si>
  <si>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</si>
  <si>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</si>
  <si>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</si>
  <si>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</si>
  <si>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</si>
  <si>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</si>
  <si>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</si>
  <si>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</si>
  <si>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</si>
  <si>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</si>
  <si>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</si>
  <si>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</si>
  <si>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</si>
  <si>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</si>
  <si>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</si>
  <si>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Sistem de management integrat la standarde europene pentru administrația județului Brașov</t>
  </si>
  <si>
    <t>Jud. 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</si>
  <si>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</si>
  <si>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</si>
  <si>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</si>
  <si>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</si>
  <si>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</si>
  <si>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</si>
  <si>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</si>
  <si>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CP 2/2017 (MySMIS: POCA/111/1/1)</t>
  </si>
  <si>
    <t>CONSILIUL NAȚIONAL AL INTREPRINDERILOR PRIVATE MICI ȘI MIJLOCII DIN ROMÂNIA</t>
  </si>
  <si>
    <t>Proiect cu acoperire națională</t>
  </si>
  <si>
    <t>Sectorul 1</t>
  </si>
  <si>
    <t>ONG</t>
  </si>
  <si>
    <t>AA5 /08.03.2018</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</si>
  <si>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</si>
  <si>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</si>
  <si>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</si>
  <si>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</si>
  <si>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</si>
  <si>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</si>
  <si>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Constanța</t>
  </si>
  <si>
    <t>Mangalia</t>
  </si>
  <si>
    <t>CETATE.Caransebeş, Eficient şi Tânăr prin Administrare Transparentă şi Economică</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</si>
  <si>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</si>
  <si>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</si>
  <si>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</si>
  <si>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</si>
  <si>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</si>
  <si>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</si>
  <si>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</si>
  <si>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</si>
  <si>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</si>
  <si>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</si>
  <si>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</si>
  <si>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</si>
  <si>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</si>
  <si>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</si>
  <si>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</si>
  <si>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</si>
  <si>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</si>
  <si>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</si>
  <si>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</si>
  <si>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</si>
  <si>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</si>
  <si>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</si>
  <si>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</si>
  <si>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</si>
  <si>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</si>
  <si>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</si>
  <si>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</si>
  <si>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</si>
  <si>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</si>
  <si>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</si>
  <si>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</si>
  <si>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</si>
  <si>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</si>
  <si>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</si>
  <si>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</si>
  <si>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</si>
  <si>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Politici publice pentru Educație (EDUPOL)</t>
  </si>
  <si>
    <t>Asociația Centrul Syene pentru Educație</t>
  </si>
  <si>
    <t>Asociația pentru Promovarea Economiei Cunoașterii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</si>
  <si>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</si>
  <si>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</si>
  <si>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</si>
  <si>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</si>
  <si>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</si>
  <si>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</si>
  <si>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</si>
  <si>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</si>
  <si>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</si>
  <si>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</si>
  <si>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</si>
  <si>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</si>
  <si>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</si>
  <si>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</si>
  <si>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</si>
  <si>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</si>
  <si>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</si>
  <si>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</si>
  <si>
    <t>Etica – eficiență, transparență și intiminate în cariera din admninistrație</t>
  </si>
  <si>
    <t>Blocul Național Sindical</t>
  </si>
  <si>
    <t>Obiectivul general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Cresterea capacitații a 15 ONG-uri de a formula si promova politici publice alternative si de a înființa si participa la o rețea pe teme urgente si relevante de politici publice pentru domeniul educației, si anume utilizarea ITC în educație si utilizarea curriculumului la decizia scolii (CDS);
2. Dezvoltarea si promovarea a unui mecanism de monitorizare si a 2 politici publice alternative în domeniul educației.</t>
  </si>
  <si>
    <t>Un dialog social european prin imbunatatirea si actualizarea Legii Dialogului Social din Romania</t>
  </si>
  <si>
    <t>Federația Sindicatelor din Industria Alimentară</t>
  </si>
  <si>
    <t>Obiectivul general:  Modificarea legislatiei dialogului social in vederea optimizarii dialogului tripartit si imbunatarii conditiilor de munca ale angajatilor din România.
OS1 - Realizarea unei imagini de ansamblu asupra implementarii legislatiei dislogului social prin intermediul unei cercetari/studiu in randul reprezentantilor autoritatilor publice, patronatelor si sindicatelor
OS2 - Dezvoltarea competentelor si insusirea unui „know how’ specific pentru 60 reprezentanti ai sindicatelor si autoritatilor publice in vederea consolidarii abilitatilor de negociere cu reprezentantii autoritatilor locale si patronatelor.
OS3 - Sintetizarea unor propuneri de modificari ale legislatiei dialogului social in cadrul unei mese rotunde (conferinte) bazata pe principiul dezbaterii publice.
OS4 - Realizarea unei alternative viabile la actuala lege a dialogului social in cadrul unei prupuneri legislative concrete.
OS 5 - Dezvoltarea unui sistem de cooperare institutionala bazat pe instrumente de dialog, monitorizare si evaluare permanenta.</t>
  </si>
  <si>
    <t>nstrumente de sistematizare a legislației, de monitorizare și de evaluare în administrația public</t>
  </si>
  <si>
    <t>Obiectiv: Creșterea calității activităților și proceselor derulate de către autoritățile administrației publice și a actelor administrative emise de către acestea, prin dezvoltarea și aplicarea de instrumente de sistematizare a legislației, de monitorizare și evaluare în administrația publică.
OS1:
Codificarea legislației prin sistematizarea soluțiilor legale disparate privind procedura administrativă existente în legislația actuală, precum și reglementarea unor situații juridice noi semnalate de practica administrativă prin fundamentarea și elaborarea proiectului Codului de procedură administrativă. 
OS2:
Dezvoltarea de instrumente/mecanisme de monitorizare și evaluarea a impactului implementării măsurilor cuprinse în „Planul integrat pentru simplificarea procedurilor administrative aplicabile cetățenilor” și în „Planul de acțiuni pentru implementarea etapizată a managementului calității în autorități și instituții publice 2016-2020” prin care să fie sprijinit procesul de implementare a planurilor de acțiuni, precum și procesele decizionale ulterioare în domeniul simplificării procedurilor administrative aplicabile cetățenilor și implementării sistemelor de management al calității în administrația publică, derulate de către instituțiile și autoritățile publice.</t>
  </si>
  <si>
    <r>
      <t xml:space="preserve">MINISITERUL DEZVOLTĂRII REGIONALE, ADMINISTRAȚIEI PUBLICE ȘI FONDURILOR EUROPENE
</t>
    </r>
    <r>
      <rPr>
        <sz val="11"/>
        <color theme="1"/>
        <rFont val="Calibri"/>
        <family val="2"/>
        <charset val="238"/>
        <scheme val="minor"/>
      </rPr>
      <t>Direcția Generală Administrație Publică, Direcția pentru Strategii și Reforme în Administrația Publică</t>
    </r>
  </si>
  <si>
    <t>Municipiul Brăila</t>
  </si>
  <si>
    <t>Sprijinirea Municipiului Brăila pentru introducerea managementului calității</t>
  </si>
  <si>
    <t>ASOCIATIA "Partnet - Parteneriat Pentru Dezvoltare Durabilă"</t>
  </si>
  <si>
    <t xml:space="preserve">Obiectivul general al proiectului il constituie introducerea de sisteme, instrumente si procese de managementul calitatii si performantei, precum ISO 9001:2015 si CAF, la nivelul Municipiului Braila, a serviciilor descentralizate si subordonate, prin imbunatatirea durabila a eficacitatii managementului la nivel local, prin furnizarea unor inalte standarde de cunostinte si expertiza pentru functionarii publici din cadrul Primariei. 
OS 1: Introducerea si implementarea unui sistem de management al calitatii ISO 9001:2015 la nivelul Municipiului Braila, serviciilor descentralizate si subordonate
OS 2: Introducerea si implementarea unui sistem de management al calitatii si performantei CAF la nivelul Municipiului Braila, serviciilor descentralizate si subordonate
OS 3: Dezvoltarea abilitatilor si cunostintelor a 56 de persoane din personalul Municipiului Braila, serviciilor descentralizate si subordonate, pentru asigurarea managementului calitatii si performantei la nivel local
</t>
  </si>
  <si>
    <t>BRAĂILA</t>
  </si>
  <si>
    <t>Asociația "C4C Communication for Community"</t>
  </si>
  <si>
    <t>„Acces la educație incluzivă de calitate pentru copiii CES cu deficiențe auditive și vizuale (EDU-CES)”,</t>
  </si>
  <si>
    <t>IAȘI</t>
  </si>
  <si>
    <t>PRO Dezvoltare - ONGuri PRO-active în politicile publice vizând dezvoltarea economică și socială</t>
  </si>
  <si>
    <t>ALBA IULIA</t>
  </si>
  <si>
    <t>Obiectiv general - Cresterea capacitatii de dezvoltare strategica si implicare a organizatiilor neguvernamentale, care activeaza in domeniul
dezvoltarii economice si sociale, atat in regiunea mai dezvoltata (B-Il), cat si in regiunile mai putin dezvoltate (Centru si Sud-Est), in a
formula si promova propuneri alternative cu impact national, la politicile publice in aria cheie ocupare&amp;antreprenoriat/economie sociala si a
coopera cu autoritati/institutii publice, pentru optimizarea proceselor decizionale orientate catre cetateni, in concordanta cu SCAP.
Obiectivele specifice ale proiectului
1. O1. Dezvoltarea abilitatilor si competentelor practice a cel putin 60 reprezentanti ai ONGurilor cu focus pe dezvoltarea economica
si sociala, in a-si reprezenta interesele, in a interveni profesional in dialogul social si procesul decizional, pe diferite nivele
ierarhice, in aria cheie ocupare&amp; antreprenoriat/economie sociala.
2. O2. Facilitarea dezvoltarii de actiuni de formulare si promovare a unei propuneri alternative la politicile publice, cu impact national,
in aria cheie vizata, de catre ONGuri cu focus pe dezvoltarea economica si sociala, in parteneriat cu autoritati/institutii publice,
prin oferirea de suport integrat.</t>
  </si>
  <si>
    <t>Municipiul Turnu Măgurele</t>
  </si>
  <si>
    <t>Administrație publică locală eficientă, transparentă și orientată către cetățean în municipiul Turnu Măgurel</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</si>
  <si>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(1 sistem ISO9001)
OS2 – Organizarea unui schimb de experienta cu institutii/organisme publice internationale (1 schimb de experienta)
OS3 – Participarea unui numar de 60 de membri ai grupului tinta la sesiuni de pregatire in domenii de interes pentrucresterea calitatii resurselor umane din administratie si prestarea de servicii publice de calitate (60 membri GT participanti la cursuride formare)</t>
  </si>
  <si>
    <t>Teleorman</t>
  </si>
  <si>
    <t>Asociația Centrul Regional de Voluntariat</t>
  </si>
  <si>
    <t>1. Asociaţia Tinerilor cu Iniţiativă din Zona Olteniei - Atizo
2.Asociatia Consilierilor Romani</t>
  </si>
  <si>
    <t>ONG-uri, actori relevanți în societatea civilă</t>
  </si>
  <si>
    <t>Craiova</t>
  </si>
  <si>
    <t>n.a.</t>
  </si>
  <si>
    <t>Politici alternative in economia sociala</t>
  </si>
  <si>
    <t>UNIUNEA GENERALA A INDUSTRIASILOR DIN ROMANIA UGIR 1903 FILIALA DOLJ</t>
  </si>
  <si>
    <t>Iași</t>
  </si>
  <si>
    <t>Turnu Magurele</t>
  </si>
  <si>
    <t>BRĂILA</t>
  </si>
  <si>
    <t>CĂLĂRAȘI</t>
  </si>
  <si>
    <t>PRAHOVA</t>
  </si>
  <si>
    <t>SĂLAJ</t>
  </si>
  <si>
    <t>SATU MARE</t>
  </si>
  <si>
    <t>TULCEA</t>
  </si>
  <si>
    <t>VÂLCEA</t>
  </si>
  <si>
    <t>VRANCEA</t>
  </si>
  <si>
    <t>Cod MySMIS</t>
  </si>
  <si>
    <t>1.MFE</t>
  </si>
  <si>
    <t>Asociaţia Consultanţilor și Experţilor în Economie Socială România</t>
  </si>
  <si>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</si>
  <si>
    <t>FUNDATIA WORLD VISION ROMANIA</t>
  </si>
  <si>
    <t>"Centru de inovație și excelență în domeniul politicilor publice de tineret”</t>
  </si>
  <si>
    <t>Fundația Județeană pentru Tineret Timiș</t>
  </si>
  <si>
    <t>Universitatea de Vest Timișoara</t>
  </si>
  <si>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</si>
  <si>
    <t>Creșterea eficienței intervențiilor atât la nivelul MMJS, cât și a structurilor aflate în coordonarea MMJS</t>
  </si>
  <si>
    <t>IP8/2017 (MySMIS:
POCA/129/1/1)</t>
  </si>
  <si>
    <t>Agentia Nationala pentru Plati si Parteneri Inspectie Sociala</t>
  </si>
  <si>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</si>
  <si>
    <t>Sistematizarea legislației din domeniul amenajării teritoriului, urbanismului și construcțiilor și consolidarea capacității administrative a structurilor de specialitate din instituțiile publice centrale cu responsabilități în domeniu</t>
  </si>
  <si>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</si>
  <si>
    <t>Implementarea unui sistem de management performant pentru imbunatatirea proceselor interne și cresterea calitatii serviciilor Primariei Sectorului 6 Bucureşti</t>
  </si>
  <si>
    <t>Sect. 6 București</t>
  </si>
  <si>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</si>
  <si>
    <r>
      <t xml:space="preserve">MINISITERUL DEZVOLTĂRII REGIONALE, ADMINISTRAȚIEI PUBLICE ȘI FONDURILOR EUROPENE
</t>
    </r>
    <r>
      <rPr>
        <sz val="12"/>
        <rFont val="Calibri"/>
        <family val="2"/>
        <charset val="238"/>
        <scheme val="minor"/>
      </rPr>
      <t>Direcția generală dezvoltare regională și infrastructură</t>
    </r>
  </si>
  <si>
    <t>Dezvoltarea de politici și mecanisme în domeniul serviciilor de utilitate publică prin entități asociative de tip intercomunitar și promovarea parteneriatelor public privat pentru o dezvoltare sustenabila a comunităților</t>
  </si>
  <si>
    <t>ASOCIAȚIA DE DEZVOLTARE INTERCOMUNITARĂ "EURONEST" - A.D.I.E.</t>
  </si>
  <si>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</si>
  <si>
    <t>AA6/ 03.05.2018</t>
  </si>
  <si>
    <t>Sistem integrat de management pentru o societate informațională performantă (SIMSIP)</t>
  </si>
  <si>
    <t>Ministerul Comunicațiilor și Societații Informaționale</t>
  </si>
  <si>
    <t>CENTRUL NATIONAL DE RASPUNS LA INCIDENTE DE SECURITATE CIBERNETICA - CERTRO</t>
  </si>
  <si>
    <t>POlitici în turism pentru o dezvoltare durabilă</t>
  </si>
  <si>
    <t>Agenția de Dezvoltare Durabilă a Județului Brașov</t>
  </si>
  <si>
    <t>1. Asociația de Dezvoltare Economică și Regională - A.D.E.R
2. Asociația pentru Promovarea și Dezvoltarea Turismului din Județul Brașov</t>
  </si>
  <si>
    <t>AA7/17.05.2018</t>
  </si>
  <si>
    <t>Calitate și performanță în administrația publică locală a Municipiului Urziceni</t>
  </si>
  <si>
    <t>Primăria Municipiului Urziceni</t>
  </si>
  <si>
    <t>Urziceni</t>
  </si>
  <si>
    <t>Buna guvernare in domeniul serviciilor sociale</t>
  </si>
  <si>
    <t>ASOCIATIA ASISTENTILOR SOCIALI PROFESIONISTI "PROSOCIAL"</t>
  </si>
  <si>
    <t>Cluj-Napoca</t>
  </si>
  <si>
    <t>”Zero birocrație - mecanism integrat de identificare si simplificare a sarcinilor administrative pentru mediul de afaceri si pentru cetațeni”</t>
  </si>
  <si>
    <t>Institutul Roman Pentru Educație și Incluziune Sociala</t>
  </si>
  <si>
    <t>Implicare civică pentru formularea propunerilor alternative de politici publice în educație”</t>
  </si>
  <si>
    <t>Asociația pentru Participare Civică</t>
  </si>
  <si>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</si>
  <si>
    <t>Consolidarea institutionala a sistemului penitenciar romanesc</t>
  </si>
  <si>
    <t>ADMINISTRAȚIA NAȚIONALĂ A PENITENCIARELOR</t>
  </si>
  <si>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</si>
  <si>
    <t>Întărirea capacității ONG pentru o dezvoltare durabilă prin parteneriat social</t>
  </si>
  <si>
    <t>ALMA RO</t>
  </si>
  <si>
    <t>Asociația Orașelor din România</t>
  </si>
  <si>
    <t>COOL JOBS –propunere alternativa de politici publici pentru prevenirea somajului în rândul tinerilor</t>
  </si>
  <si>
    <t>Federația „Forumul Tinerilor din România”</t>
  </si>
  <si>
    <t>Tinerii au prioritate pe agenda publica!</t>
  </si>
  <si>
    <t>Neamț</t>
  </si>
  <si>
    <t>Patra Neamț</t>
  </si>
  <si>
    <t>CENTRUL DE RESURSE ECONOMICE SI EDUCATIE PENTRU DEZVOLTARE - CREED</t>
  </si>
  <si>
    <t>Initiativa Nationala pentru Formularea si Promovarea de Politici Publice Alternative - INAPP</t>
  </si>
  <si>
    <t>Fundația de Caritate și Întrajutorare ANA</t>
  </si>
  <si>
    <t>Suceava</t>
  </si>
  <si>
    <t>1. Blocul Național Sindical Filiala Suceava
2.Filiala Bucovina Suceava a Uniunii Generale a Industriașilor din România (U.G.I.R.)
3. Fundația Umanitară Adam - Mădălin</t>
  </si>
  <si>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</si>
  <si>
    <t>Coaliția pentru romi: elaborare și monitorizare de politici publice</t>
  </si>
  <si>
    <t>Agenția de Dezvoltare Comunitară ,,ÎMPREUNĂ”</t>
  </si>
  <si>
    <t>Bihor</t>
  </si>
  <si>
    <t>Beiuș</t>
  </si>
  <si>
    <t>Municipiul Beiuș</t>
  </si>
  <si>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</si>
  <si>
    <t>Servicii de calitate în administrația publică locală a municipiului Beiuș asigurate prin introducerea și menținerea sistemului de management al calității ISO 9001</t>
  </si>
  <si>
    <t>Optimizarea procedurilor administrative din cadrul Ministerului pentru Relația cu Parlamentul</t>
  </si>
  <si>
    <t>Ministerul pentru Relația cu Parlamentul</t>
  </si>
  <si>
    <t>Academia de Studii Economice</t>
  </si>
  <si>
    <t>Creșterea gradului de pregătire profesională a personalului auxiliar pentru a face față noilor provocări legislative</t>
  </si>
  <si>
    <t>Școala Națională de Grefieri</t>
  </si>
  <si>
    <t>IP9/2017 (MySMIS:
POCA/131/2/3)</t>
  </si>
  <si>
    <t>Fundația Orizont</t>
  </si>
  <si>
    <t>„Politici Publice in Economie Sociala - P.P.E.S"</t>
  </si>
  <si>
    <t>Cresterea si consolidarea capacitatii organizationale a ONG-ului solicitant si a partenerilor sociali cooptati de a formula si promova
propuneri alternative la politicile publice initiate de Guvern in domeniul economiei sociale si antreprenoriatului social.
1. OS.1. Dezvoltarea cunostintelor si abilitatilor a 30 persoane grup tinta din cadrul personalului ONG solicitant de a formula
propuneri alternative la politici publice in domeniul economiei sociale si antreprenoriatului social prin instruire/formare in politici
publice europene si nationale.
Obiectivul se concretizeaza in proiect prin activitatile A2, A3 si A4.
2. OS.2. Dezvoltarea de actiuni de formulare de propuneri alternative la politicile publice initiate de Guvern in domeniul economiei
sociale si antreprenoriatului social prin organizarea a 5 conferinte si ateliere regionale de lucru cu participarea a 140 persoane
grup tinta pentru cresterea capacitatii ONG solicitant si a partenerilor sociali cooptati de a se implica in formularea de propuneri
alternative la politici publice.
Obiectivul se concretizeaza in proiect prin activitatile A2, A4 si A5.
3. OS.3. Elaborarea politicii publice alternative in domeniul economiei sociale si antreprenoriatului social si promovarea acesteia prin
actiuni de lobby si advocacy pentru sustinerea unei economii moderne si competitive.
Obiectivul se concretizeaza in proiect prin activitatile A5 si A6.
4. OS.4. Consolidarea capacitatii organizationale a ONG-ului solicitant prin constituirea si dezvoltarea Retelei nationale a
specialistilor in economie sociala (RNSES) - instrument independent de promovare si monitorizare a politicilor publice in domeniul
economiei sociale si antreprenoriatului social.
Obiectivul se concretizeaza in proiect prin activitatea A6.</t>
  </si>
  <si>
    <t>Institutul National al Magistraturii</t>
  </si>
  <si>
    <t>Justiția 2020: profesionalism și integritate</t>
  </si>
  <si>
    <t>"RePas - Responsabilitate ;I parteneriat pentru sănătate"</t>
  </si>
  <si>
    <t>Asociația Română pentr Promovarea Sănătății</t>
  </si>
  <si>
    <t>Obiectivul general: Implementarea / consolidarea si sustinerea unui management performant la nivelul Primariei Municipiului Sebes si al institutiilor subordonate, realizate prin aplicarea CAF ca instrument de îmbunatatire a performantelor Sistemului de Management al Calitatii al Primariei Sebes, pentru crearea unei administratii publice moderne, capabila sa faciliteze dezvoltarea socio-economica prin intermediul
unor servicii publice competitive.                                                                                                                                                                                                                                    OS 1 – Implementarea de sisteme unitare de management al calitatii aplicabile administratiei publice, prin utilizarea instrumentului
CAF, inclusiv formarea/ instruirea specifica a personalului Primariei Municipiului Sebes pentru implementarea instrumentului CAF
2. OS 2 – Consolidarea SMC prin actiuni de îmbunatatire rezultate în urma evaluarii pe baza criteriilor modelului CAF
3. OS 3 – Dezvoltarea abilitatilor personalului din cadrul Primariei Municipiului Sdebes si al institutiilor subordonate Primariei Sebes
prin:
• asigurarea formarii profesionale a 10 persoane din cadrul primariei Municpiului Sebes pentru efectuarea autoevaluarii
SMC utilizând modelul CAF;
• asigurarea formarii profesionale a 46 persoane din grupul tinta, pentru implementarea Sistemului de Mangement al
Calitatii, integrarea SMC cu SCIM si monitorizarea acestuia cu ajutorul instrumentului CAF.
• dezvoltarea unui Ghid de buna practica privind integrarea SMC cu SCIM în cadrul UAT si evaluarea performantelor SMC
pe baza Modelului CAF
4. OS 4 – Asigurarea unui instrument suport pentru SMC prin proiectarea si implementarea unui sistem informatic.
5. OS 5 – Promovarea standardelor si instrumentelor managementului calitatii prin oOrganizarea si derularea unei conferinte de
informare/ constientizare privind principiile si instrumentele managementului calitatii</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</si>
  <si>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functionare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</si>
  <si>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Obiectivul general al proiectului
Optimizarea proceselor orientate catre cetatenii municipiului Târgu Jiu prin introducerea de sisteme si standarde comune în administrația
publica locala.
Obiectivele specifice ale proiectului
 Îmbunatatirea calitatii si eficientei serviciilor pentru cetateni prin :
a. introducerea în institutiile administratiei publice locale a municipiului Târgu Jiu a sistemelor de management al performantei si
calitatii (ISO 9001: 2015 si CAF), corelate cu Planul de actiune în etape implementat în administratia publica locala;
b. dobândirea de cunostinte si abilitati de catre personalul din institutiile administratiei publice locale a municipiului Târgu Jiu.</t>
  </si>
  <si>
    <t>Planificare strategica si managementul performantei la nivelul Primariei Municipiului
Gheorgheni prin instrumentul Balanced Scorecard</t>
  </si>
  <si>
    <t>Obiectivul general: Optimizarea proceselor de managementul performantei la nivel strategic prin introducerea instrumentului de Balanced Scorecard în cadrul Primariei Municipiului Gheorgheni.                                                                                                                                                                                                                          OS1. Elaborarea unui studiu privind situatia actuala a managementului performantei la nivel strategic în cadrul Primariei Municipiului Gheorgheni.
OS2. Introducerea unui instrument de management strategic de tip Balanced Scorecard la nivelul institutiei.
OS3. Dezvoltarea cunostintelor si abilitatilor pentru 32 de persoane în cadrul Primariei Municipiului Gheorgheni în domeniul
managementului performantei.</t>
  </si>
  <si>
    <t>Consolidarea capacitatii administrative a Unitatii administrativ teritoriale (UAT) Municipiul Urziceni, judetul Ialomita, din regiunea mai putin dezvoltata Sud-Est, pentru sustinerea unui management performant si calitativ prin implementarea si utilizarea a doua sisteme unitare de managenent al calitatii CAF si ISO, aplicabile  administratiei locale, în concordanta cu ”Planul de actiuni pentru implementarea etapizata a managementului calitatii în autoritati si institutii publice 2016-2020”.
OS 1. Implementarea si utilizarea instrumentului de auto-evaluare de tip CAF (Cadrul comun de autoevaluare a modului de functionare a institutiilor publice) la nivelul UAT Municipiul Urziceni pentru sprijinirea schimbarii pentru performanta, îmbunatatirea modului de realizare a activitatilor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calitatii ISO 9001 în UAT Municipiul Urziceni pentru o administratie publica locala consolidata si eficienta si îmbunatatirea serviciilor publice furnizate. Din dorinta de a-si îmbunatati procesul de management al calitatii la nivelul întregii organizatii, institutia va îndeplini acest obiectiv prin implementarea, actualizarea procedurilor pentru fiecare directie/compartiment si trecerea la noul standard de management al calitatii ISO 9001, care a fost implementat in anul 2010 printr-un proiect PODCA derulat de Institutia Prefectului, judetul Ialomita.
3. OS 3. Dezvoltarea/cresterea abilitatilor si certificarea unui numar de 120 de persoane din toate nivelurile ierarhice din cadrul unitatii adminsitrativ teritoriale, UAT Municipiul Urziceni autoritatii locale pe teme specifice în scopul implementarii unui management al calitatii si performantei si utilizarea managementului calitatii.
Formarea/instruirea specifica pentru implementarea sistemului/instrumentului de management al calitatii se va realiza ca parte a procesului de implementare al celor doua sisteme.</t>
  </si>
  <si>
    <t>Cresterea capacitatii CNIPMMR de a formula si sustine politici publice alternative cu privire la activitatea sectorului IMM</t>
  </si>
  <si>
    <t>Obiectivul general al proiectului vizeaza dezvoltarea capacitatii operationale si administrative a Consiliului National al Întreprinderilor
Private Mici si Mijlocii din România (CNIPMMR) de a fundamenta, elabora si sustine politici publice în aria sa de activitate si expertiza,
respectiv reprezentarea unitara si eficace a IMM-urilor si a miscarii patronale din România la nivel national si international si sustinerea
dezvoltarii competitivitatii si performantelor din acest sector. Principalul punct de concentrare în cadrul acestui proiect va fi reprezentat de
o mai buna implementare a utilizarii testului IMM în procesele legislative din România. Ulterior, pe baza experientei dobândite din
implemenarea proiectului, beneficiarul va putea fundamenta, elabora si promova si alte politici publice alternative ce vizeaza sectorul
reprezentat.
Având în vedere numarul mic de initiative legislative testate anterior avizarii, din perspectiva impactului asupra sectorului IMM, consideram
necesara si relevanta o actualizare a metodologiei asociate acestei evaluari de impact si cresterea nivelului de informare asupra acesteia,
atât în rândul institutiilor publice ce pot initia acte legislative cu impact asupra sectorului IMM, cât si în rândul mediului de afaceri si a
reprezentantilor acestuia. Concret, ca urmare a implementarii proiectului, CNIPMMR va formula o propunere îmbunatatita pentru politica
de implementare a testului IMM.
Obiectivele specifice ale proiectului
1. OS1. Sustinerea capacitatii CNIPMMR de a formula alternative de politici publice prin derularea unor activitati de formare
specifice acestui domeniu
În cadrul acestui proiect, se va avea în vedere derularea de actiuni de formare-instruire pentru un numar de 120 de persoane,
reprezentanti ai beneficiarului, scopul acestor actiuni fiind acela de a dezvolta capacitatea acestora de a fundamenta, elabora si
promova propuneri de politici publice, în special în domeniul de activitate al CNIPMMR. La nivelul activitatii CNIPMMR,
principalele actiuni în ceea ce priveste fundamentarea, elaborarea si promovarea de politici publice alternative sunt realizate la
nivelul aparatului executiv central si mai putin la nivelul structurilor afiliate (federatii regionale, de sector, etc.). În acest context,
proiectul va viza reprezentanti ai acestor structuri si va contribui în mod direct la dezvoltarea capacitatii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initiativelor legislative asupra activitatii sectorului IMM. Se va avea în vedere cresterea relevantei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</si>
  <si>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OG - Formularea unei politici publice care urmareste reglementarea statutului inspectorului de munca, stabilind cadrul legal si oferind o
alternativa la proiectul de lege initiat de Guvern, dezvoltând astfel un set de masuri unitar, stabil, eficient si impartial.
Obiectivele specifice ale proiectului
1. 1. Cresterea capacitatii Federatiei Nationale a Sindicatelor Muncii si a Protectiei Sociale si a partenerilor acesteia prin consultarea
legislatiei în vigoare si a tuturor actorilor implicati în procesul de organizare si functionare a Inspectiei Muncii în formularea de
politici publice privind inspectia muncii si alte domenii conexe prin intermediul a 16 evenimente si 1 sesiune de instruire.
2. 2. Elaborarea unui set de masuri concrete (politica publica) printr-o abordare integrata, care va duce la cresterea transparentei
actului de elaborare politici publice, proiecte de lege si legi în urma organizarii de actiuni de colectare de date relevante (8
evenimente) si diseminare a rezultatelor (8 evenimente si o conferinta finala).
3. 3. Optimizarea proceselor decizionale orientate catre persoanele încadrate în munca si catre inspectorii de munca, devenind
astfel o actiune colectiva, cu un scop formulat în functie de normele si valorile unei comunitati, care va rezulta într-un statut al
inspectorului de munca, ca parte a politicii publice.</t>
  </si>
  <si>
    <t>Optimizarea procesului de reforma administrativa si cresterea transparentei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coerentei, eficientei,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capacitatii a 40 de parteneri sociali care activeaza în sectorul public de a se implica în formularea si promovarea de propuneri alternative la politicile publice initiate de Guvern pentru dialog social prin dezvoltarea si livrarea catre 240 pers din cele 40 org vizate a doua traininguri si facilitarea accesului acestora la o retea de consolidare a dialogului social si pentru cresterea coerentei, eficienței, predictibilitații si transparenței procesului decizional în administrația publica.
OS2. Formularea, promovarea si acceptarea de catre autoritatile publice centrale relevante din domeniul muncii si dialogului social a unei propuneri alternative de politica publica privind cresterea calitații si eficienței dialogului social de catre un ONG si un partener social, timp de 16 luni.</t>
  </si>
  <si>
    <t xml:space="preserve">Obiectivul general al proiectului este: Consolidarea capacitatii ONG-urilor si a altor actori relevanti din domeniul sanatatii sexuale si reproductive de a initia si promova politici publice alternative prin punerea acestora la dispozitia autoritatilor publice centrale pentru îmbunatatirea accesului la servicii de sanatate nediscriminatorii.
Obiective specifice:
OS1 - Cresterea capacitatii a 15 ONG-uri de a formula si promova politici publice alternative în domeniul sanatatii sexuale si reproductive.
OS2 - Dezvoltarea a doua (2) politici publice alternative de catre ONG-urile din domeniul sanatatii sexuale si
reproductive, care sa fie acceptate.
</t>
  </si>
  <si>
    <t>Obiectiv general: consolidarea participarii sectorului ONG la formularea si la promovarea politicilor
guvernamentale din domeniul "Educatiei pentru dezvoltarea durabila" (EDD).
Obiective specifice:
OS1. Dezvoltarea competentelor a 80 de reprezentanti a 80 de ONG-uri pentru a formula si promova eficient, prin activitati de lobby, propuneri alternative de politici publice în domeniul Educatiei pentru dezvoltarea durabila
2. OS2. Cooperarea sistematica între min. 70 de ONG-uri în cadrul unei retele tematice nationale care le stimuleaza contributiile si le coordoneaza participarea la formularea si la promovarea politicilor de Educatie pentru dezvoltarea durabila
3. OS3. Formularea participativa în cadrul retelei de ONG-uri a unei propuneri alternative de politica publica privind Educatia pentru dezvoltarea durabila, în masura sa satisfaca angajamentele nationale si internationale ale Guvernului în acest domeniu
4. OS4. Implicarea a cca. 10 stakeholderi institutionali relevanti si a publicului într-o campanie de lobby si promovare pentru asumare propunerii alternative de politica publica formulata de ONG-uri de catre Ministerul Educatiei si Ministerul Mediului</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</si>
  <si>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capacitatii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nationala
2. 2. Consolidarea capacitatii institutionale a Pactului regional pentru ocupare si incluziune sociala din regiunea NE la nivel strategic si la nivel de membership
3. 3. Cresterea vizibilitatii si consolidarea rolului Pactelor regionale în domeniul ocuparii si incluziunii sociale la nivelul decidentilor de politici publice relevante</t>
  </si>
  <si>
    <t>Obiectivul general:  Cresterea capacitatii partenerilor sociali de a dezvolta standarde comune pentru optimizarea procesului decizional, alternative la politicile publice existente precum si pentru cresterea calitații procesului de reprezentare al salariaților din administrația publica în vederea orientarii procesului decizional catre cetateni, în conformitate cu prevederile SCAP.
Obiectiv Specific 1 - Cresterea capacitații partenerilor sociali si a calitatii proceselui de reprezentare a intereselor salariatilor din administrația publica în vederea implicarii în optimizarea proceselor decizionale si orientarea proceselor decizionale catre cetateni prin realizarea a 2 sesiuni de instruire de specializare pentru ocupația de delegat sindical de întreprindere la care vor participa 45 de reprezentanti ai partenerilor sociali din 30 de organizatii diferite precum si prin elaborarea unui instrument de monitorizare a drepturilor angajatilor
din administratia publica si a calcularii indicelui drepturilor salariatilor.
Obiectiv Specific 2 - Optimizarea procesului decizional prin dezvoltarea, fundamentarea, promovarea si sustinerea unei alternative la politicile publice existente si a unui ghid de bune practici care vizeaza respectarea dreptului la informare si consultare dar si de a lua parte la stabilirea si ameliorarea condițiilor de munca si a mediului de munca pentru salariații din administrația publica în vederea cresterii calitatii locurilor de munca din administrația publica.</t>
  </si>
  <si>
    <t>Obiectivul general al proiectului/Scopul proiectului
Obiective proiect
Optimizarea proceselor decizionale ce vizeaza serviciile educationale destinate copiilor cu cerinte educationale speciale (CES) prin
cresterea capacitatii de implicare a organizatiilor neguvernamentale de a se implica în actiuni de formulare si promovare de propuneri
alternative la politicile publice initiate de Guvern, prin dezvoltarea de retele si parteneriate între societatea civila si factorii institutionali
relevanti/vizati în vederea derularii de activitati de advocacy, în sprijinul îmbunatatirii accesului la educatie pentru copiii CES cu deficiente
de tip auditiv si vizual, al cresterii calitatii procesului educational adaptat nevoilor acestora, si al asigurarii egalitatii de sanse si
nediscriminarii acestor copii in scoala, în concordanta cu SCAP.
Obiectivele specifice ale proiectului
1. OS1. Dezvoltarea cunostintelor si abilitatilor în domeniul politici publice si advocacy pentru 45 reprezentanti ai organizatiilor
neguvernamentale active in domeniul educatiei si al promovarii drepturilor persoanelor cu dizabilitati
2. OS2. Formularea, promovarea si acceptarea unei propuneri de politica publica având ca obiect îmbunatatirea accesului la
educatie, adaptarea serviciilor educationale la nevoile copiilor CES cu dizabilitati vizuale si auditive si asigurarea egalitatii de
sanse privind accesul acestor copii la servicii educationale de calitate si a nediscriminarii acestora în scoala, în cadrul unui amplu
proces consultativ, cu implicarea factorilor neguvernamentali si guvernamentali cointeresati (120 reprezentanti ONG si 80
reprezentanti institutionali)
3. OS3. Dezvoltarea retelei nationale EDU-CES destinata promovarii accesului la educatie de calitate si fara bariere pentru copii cu
cerinte educationale speciale (CES), creata si utilizata ca instrument de elaborare participativa a propunerii de politica publica
alternativa (100 organizatii neguvernamentale implicate)</t>
  </si>
  <si>
    <t>Obiectivul general al proiectului consta in dezvoltarea si introducerea de politici, sisteme si standarde comune alternative în administratia publica ce optimizeaza procesele decizionale din domeniul orientarii si consilierii cu accent pe consilierea si orientarea in cariera, in concordanta cu SCAP.
Obiective specifice:
1. Cresterea gradului de monitorizare si evaluare a politicilor publice, prin elaborarea unei metodologii si a unui raport de evaluare a politicilor publice care cuprinde si un set de indicatori de monitorizare a acestora, in domeniul consilierii cu accent pe consilierea si orientarea in cariera.
2. Imbunatatirea, stimularea si consolidarea dialogului social si a interactiunii intre ong-uri, sindicate si autoritatile publice abilitate in domeniul orientarii si consilierii, prin organizarea unui numar de 8 workshopuri regionale, in vederea cresterii implicarii acestora in formularea si imbunatatirea politicilor publice din domeniul orientarii si consilierii in cariera.
3. Cresterea capacitatii a 16 ONG-urilor de profil si a unui numar de 8 parteneri sociali, de a se implica în formularea si promovarea de propuneri alternative la politicile publice initiate de Guvern in domeniul competitivitatii economice, prin organizarea de instruiri in politici publice,lobby si advocacy, egalitate de sanse, dezvoltare durabila si responsabilitate sociala.
4. Dezvoltarea capacitatii a 40 de persoane - angajati si voluntari din ONG-uri si sindicate, in formularea de propuneri alternative la politicile publice initiate de Guvern prin instruire specifica.
 5. Sporirea vizibilitatii si promovarea politicii publice alternative la Ordinul de ministru nr. 650/2014 si completat cu Ordinul nr.3070/2015, care cuprindea Metodologia-cadru privind organizarea si functionarea Centrelor de Consiliere si Orientare în Cariera în sistemul de învatamânt superior din România in randul a cel putin 10 autoritati si institutii publice locale si centrale si a cel putin 10.000 cetateni, in vederea constientizarii importantei constituirii de bugete locale prin metoda participativa precum si in vederea adoptarii cadrului legislativ propus, prin intermediul unei campanii de advocacy si a diseminarii materialelor realizate in cadrul proiectului.</t>
  </si>
  <si>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solutionarea nevoilor de servicii sociale ale comunitatii, prin analiza, evaluarea si modificarea normelor de functionare a acestora</t>
  </si>
  <si>
    <t>Obiectivul general al proiectului este cresterea capacitatii administrative a MCSI si CERT-RO pentru sustinerea reformelor institutionale prin implementarea unui sistem unitar de management al calitatii (care sa aiba la baza instrumentul CAF si standardul ISO 9001:2015) si performantei (care sa aiba la baza BSC), precum si a unui sistem care sa cuprinda proceduri si mecanisme pentru coordonare si consultare cu factorii interesati privind implementarea, monitorizarea si evaluarea politicilor si strategiilor pentru care MCSI este responsabil, precum si sistematizarea fondului activ al legislatiei cu incidenta si impact asupra investitiilor în dezvoltarea retelelor de acces la NGN.                                                                Obiectivele specifice ale proiectului
1. Îmbunatatirea managementului proceselor si activitatilor prin implementarea, monitorizarea si evaluarea instrumentului CAF în cadrul celor doua organizatii.
2. Crearea cadrului intern si a mecanismelor pentru îmbunatatirea continuua a activitatii, pentru o mai mare întelegere a
proceselor institutiilor, definirea clara a responsabilitatilor si autoritatilor, utilizarea mai eficienta a resurselor si reducerea costurilor de neconformitate, prin implementarea si monitorizarea standardului ISO 9001:2015 în cadrul celor doua organizatii.
3. Eficientizare organizationala, operationala si individuala prin implementarea si monitorizarea managementului performantei (BSC) în cadrul celor doua organizatii.
4. Îmbunatatirea procesului de coordonare si consultare cu factorii interesati privind implementarea, monitorizarea si
evaluarea politicilor si strategiilor pentru care MCSI este responsabil prin utilizarea unui sistem care sa cuprinda proceduri si mecanisme aferente acestui proces.
5. Cresterea capacitatii personalului din cadrul MCSI si CERT-RO, care implementeaza sistemul de management al calitatii si performantei, în vederea utilizarii si gestionarii eficiente a instrumentelor de management al calitatii, precum si aplicarea unui sistem de politici bazate pe dovezi în MCSI, inclusiv evaluarea ex ante a impactului, prin sesiuni de instruire, formare si diseminare a bunelor practici.
6. Sistematizarea fondului activ al legislatiei cu incidenta si impact asupra investitiilor operatorilor privati în dezvoltarea
retelelor de acces la internet broadband de noua generatie (NGN) prin realizarea unei analize a cadrului normativ si crearea unor mecanisme de coordonare si cooperare.</t>
  </si>
  <si>
    <t>Obiectivul general al proiectului
Cresterea capacitatii ONG-urilor de la nivel national, în special din domeniul turismului, de a formula si promova propuneri alternative la politicile publice privind turismul, initiate de Guvern. Îndeplinirea obiectivului se concentreaza pe cresterea calitatii si eficientei activitatilor/ actiunilor de implicare a ONG-urilor din domeniul turismului în demersul de a formula si promova propuneri alternative la politicile publice initiate de Guvern cu scopul dezvoltarii/ promovarii unui turism sustenabil.
Obiectivele specifice ale proiectului
1. Implicarea ONG-urilor din turism în formularea si promovarea de propuneri alternative la politicile publice initiate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societatii publice privind implicarea comunitatii în viata publica si participarea la procese decizionale</t>
  </si>
  <si>
    <t>OBIECTIVUL GENERAL: Consolidarea capacitatii sectorului neguvernamental în vederea sustinerii dezvoltarii mecanismului national de
incluziune sociala prin elaborarea de politici publice predictibile si fundamentate vizând dezvoltarea capacitatii de planificare,
implementare, monitorizare si evaluare în domeniul serviciilor sociale prin implicarea activa a profesionistilor din structura sectorului
neguvernamental si al autoritatilor publice locale.
1. OS 1 – Întarirea capacitatii institutionale a ONG-urilor pentru elaborarea politicilor publice privind cadrul procedural pentru
identificarea si evaluarea nevoilor sociale individuale, familiale sau de grup pentru prevenirea, combaterea si solutionarea
situatiilor de dificultate
2. OS 2 – Formularea de politica publica în domeniul serviciilor sociale ca element important al dezvoltarii societatii;
3. OS 3 – Cresterea competentelor profesionale ale profesionistilor din structura ONG-urilor cu responsabilitati în domeniul
serviciilor sociale în tematici privind managementului de caz al serviciilor sociale si comunicarea si facilitarea colaborarii cu
persoane din structura administratiei publice locale.
4. OS 4 – Stimularea spiritului de initiativa si favorizarea de actiuni de advocacy pentru sensibilizarea actorilor institutionali de la
nivel local si central cu privire la politica publica propusa.</t>
  </si>
  <si>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cetatenilor.</t>
  </si>
  <si>
    <t>Obiectivul general al proiectului: Dezvoltarea capacitatii organizatiilor neguvernamentale de a realiza parteneriate sociale viabile si
durabile cu autoritatile publice locale si de a propune politici publice alternative în beneficiul cetatenilor.
Obiectivul general al proiectului este în concordanta cu Obiectivul tematic 11 din Politica de coeziune 2014 – 2020 (OT 11 Consolidarea
capacitatii institutionale a autoritatilor publice si a partilor interesate si eficienta administratiei publice), abordând provocarea 5 Administratia si guvernarea si provocarea 2 Oamenii si societatea din Acordul de Parteneriat al României, prin actiuni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administratie eficienta si competitiva.</t>
  </si>
  <si>
    <t>OG: Cresterea gradului de implicare al ONG-urilor si partenerilor sociali în proceselor decizionale ale autoritatilor publice cu atributii în
reglementarea si organizarea consilierii si orientarii profesionale a elevilor, în beneficiul viitorilor absolventi de învatamânt preuniversitar si
mediului de afaceri.
OG raspunde astfel problemelor identificate de parteneri în sectiunea „Justificare” si „Grup tinta”:
a) lipsa unui sistem national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învatamântul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învatamântul preuniversitar. Concluziile cercetarii vor fi coroborate cu un studiu comparat
România – tari ale UE asupra politicilor publice de dezvoltare a serviciilor de mai sus. Pe aceste informatii se va baza elaborarea
propunerii alternative la politicile publice din educatie initiate de Guvern. La elaborarea / formularea, promovarea ei vor participa
cele liderul, partenerul si alte ONG-uri si parteneri sociali care activeaza în domeniul educatie,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îmbunatati capacitatea de
formulare si promovare de propuneri alternative la politicile publice initiate de Guvern prin formarea a 320 de persoane
(reprezentanti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capacitatii a ONGurilor
si partenerilor sociali care activeaza în domeniile educatie,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autoritatilor publice cu
atributii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implicati în activitati de formare pentru
îmbunatatirea capacitatii de formulare si promovare de propuneri alternative la politicile publice initiate de Guvern timp de 16 luni.
În toate etapele de elaborare, promovare, acceptare, se vor integra, respecta si promova principiile orizontale POCA si se va face
cunoscuta sursa de finantare si oportunitatile oferite de aceasta (FSE prin POCA). Actiunile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finantarii FSE
prin POCA si a oportunitatilor de finantare ONG va creste capacitatea lor de accesare a finantarilor nerambursabile prin informare
clara si pragmatica. În selectia GT si achizitia de bunuri si servicii se vor integra principiile orizontale POCA.</t>
  </si>
  <si>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capacitatii a 40 de ONG-urilor de tineret si a unui 1 partener social care activeaza in domeniul tineretului, de a se
implica în formularea si promovarea de propuneri alternative la politicile publice initiate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initiate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</si>
  <si>
    <t>Obiectivul general al proiectului:
Cresterea nivelului de competente profesionale ale personalului propriu SPO din regiunile Sud Muntenia, Nord Est si Sud Est în vederea furnizarii unor servicii de calitate.
Obiectivele specifice:
OBS1: Sa îmbunatatim sistemul de formare profesionala a personalului propriu al SPO în ocupatii corelate cu serviciile furnizate.
OBS2: Sa dezvoltam competente profesionale si sociale pentru personalul SPO necesare unei abordari integratoare a nevoilor specifice ale grupurilor vulnerabile.
OBS3. Sa facilitam preluarea de experiente transnationale care sa contribuie la dezvoltarea competentelor personalului SPO.</t>
  </si>
  <si>
    <t>Obiectivul general al acestui proiect este reprezentat de optimizarea cadrului administrativ de functionare al Ministerului pentru Relatia cu
Parlamentul. Se urmareste eficientizarea coordonarii si comunicarii atât la nivel intra-ministerial cât si în relatia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</si>
  <si>
    <t>„Cresterea gradului de pregatire profesionala a personalului
auxiliar din cadrul instantelor si parchetelor în vederea îmbunatatirii calitatii serviciilor furnizate la nivelul sistemului judiciar”.
Obiectivele specifice ale proiectului
1. Obiectivul specific al proiectului consta în îmbunatatirea cunostintelor si abilitatilor profesionale la nivelul personalului auxiliar de
specialitate din cadrul instantelor si parchetelor în vederea unificarii jurisprudentei, acesta contribuind la atingerea obiectivului
general al proiectului.
Prin obiectivul general si obiectivul specific, proiectul îsi propune sa contribuie la atingerea atât a obiectivelor asumate prin
Strategia de Dezvoltare a Sistemului Judiciar 2015 - 2020, cât si a obiectivului specific 2.3. al Programului Operational
Capacitate Administrativa 2014 – 2020: Asigurarea unei transparente si integritati sporite la nivelul sistemului judiciar în vederea
îmbunatatirii accesului si a calitatii serviciilor furnizate la nivelul acestuia.</t>
  </si>
  <si>
    <t>Obiectivul general al proiectului consta în cresterea capacitații ONG-urilor si a partenerilor sociali de a formula politici publice alternative în domeniul sanatatii publice care sa duca la optimizarea proceselor decizionale orientate catre cetateni.
Proiectul contribuie la atingerea obiectivului specific 1.1. Dezvoltarea si introducerea de sisteme si standarde comune în administrația publica ce optimizeaza procesele decizionale orientate catre cetateni si mediul de afaceri în concordanta cu SCAP prin introducerea la nivelul Directiilor de Sanatate Publica din cadrul Institului National de Sanatate Publica a unor mecanisme/instrumente care sa vina în sprijinul comunitatilor, factorilor de decizie si practicienilor sa faca alegeri care sa îmbunatateasca sanatatea publica printr-un design comunitar.  Obiectivele specifice ale proiectului
1. ObS1 Dezvoltarea unui set de proceduri, mecanisme, instrumente de optimizare a proceselor decizionale orientate catre cetateni în domeniul sanatatii
2. ObS2 Dezvoltarea capacitatii a minim 20 de ONG-uri de a se implica în formularea si promovarea de propuneri alternative la
politicile publice.
3. ObS3 Formularea si promovarea a 5 alternative la politicile publice initiate de autoritati în domeniul sanatatii</t>
  </si>
  <si>
    <t>Bucuresști</t>
  </si>
  <si>
    <t>CP6 less /2017</t>
  </si>
  <si>
    <t>"Administrație eficientă, servicii de calitate la nivel local"</t>
  </si>
  <si>
    <t>Județul Prahova</t>
  </si>
  <si>
    <t>Optimizarea proceselor orientate catre beneficiari la nivelul Consiliului Judetean Prahova si al institutiilor subordonate: Directia Generala
pentru Asistenta Sociala si Protectia Copilului Prahova si Directia Judeteana de Evidenta persoanelor Prahova, necesara unei
administratii moderne, performante, eficiente si eficace, in concordanta cu Strategia pentru Consolidarea Administratiei Publice2014-2020,
intr-o perioada de 16 luni.
Obiectivele specifice ale proiectului
1. Dezvoltarea capacitaþii manageriale caracteristice unei administraþii moderne prin Implementarea instrumentului de management
al calitatii, CAF(Common Assessment Framework), la nivelul Consiliul Judetean Prahova si a institutiilor subordonate: Directia
Generala de Asistenta Sociala si Protectia Copilului Prahova si Directia Judeteana de Evidenta Persoanelor Prahova
2. Dezvoltarea de competenþe la toate nivelurile ierarhiei profesionale din cadrul Consiliului Judetean Prahova si a doua dintre
institutiile subordonate: Directia pentru Asistenta Sociala si Protectia Copilului Prahova si Directia Judeteana Evidenta
Persoanelor prin Pregatirea a 210 persoane din cele 3 institutii ale administratiei publice locale, in domeniul managementul
calitatii - sisteme si standarde ce optimizeaza procesele orientate catre beneficiarii serviciilor publice.</t>
  </si>
  <si>
    <t>119 -  Investiții în capacitatea instituțională și în eficiența administrațiilor și a serviciilor publice la nivel național, regional și local, în perspectiva realizării de reforme, a unei mai bune legiferări și a bunei guvernanțe</t>
  </si>
  <si>
    <t>Obiectivul general urmarit prin proiect este acela de îmbunataþire a cunostinþelor profesionale si abilitaților membrilor sistemului judiciar vizavi de acest proiect (judecatori, procurori, magistrați-asistenți si personal din cadrul instituțiilor sistemului judiciar asimilat judecatorilor si procurorilor), necesare desfasurarii activitaþii în cadrul instanþelor si parchetelor.
Obiectivul specific al proiectului vizeaza implementarea unui program de formare profesionala continua adaptat nevoilor actuale ale sistemului judiciar, în special în ceea ce priveste schimbarile aduse de aplicarea noilor coduri si care sa contribuie la eforturile instituþiilor sistemului judiciar privind unificarea practicii judiciare.</t>
  </si>
  <si>
    <t>Consolidarea capacității instituționale a Oficiului Național al Registrului Comerțului, a sistemului registrului comerțului și a sistemului de publicitate legală</t>
  </si>
  <si>
    <t xml:space="preserve">Obiectivul principal al proiectului este realizarea si implementarea unui sistem eficient si performant pentru „Consolidarea capacitații instituþionale a Oficiului Național al Registrului Comerțului, a sistemului registrului comerțului si a sistemului de publicitate legala”.
</t>
  </si>
  <si>
    <t xml:space="preserve"> </t>
  </si>
  <si>
    <t>Fundația Corona</t>
  </si>
  <si>
    <t>1. MDRAP</t>
  </si>
  <si>
    <t>Bugetarea pe bază de gen în politicile public</t>
  </si>
  <si>
    <t>FUNDAÞIA "CENTRUL DE MEDIERE SI SECURITATE COMUNITARA" 
AGENTIA NATIONALA PENTRU
EGALITATEA DE SANSE INTRE FEMEI
SI BARBATI</t>
  </si>
  <si>
    <t>Obiectivul general:
Cresterea capacitatii ONG-urilor de a se implica în formularea si promovarea de propuneri alternative la politicile publice iniþiate de Guvern
in domeniul bugetarii pe baza de gen, vizand alocarea corespunzatoare a resurselor financiare tinand cont de dimensiunea de gen.
OS.1 Cresterea capacitatii a 60 ONGuri in plan national in constructia si elaborarea de politici publice alternative in domeniul
bugetarii pe baza de gen prin formarea specifica a 80 de reprezentanti din personalul ONG si crearea de instrumente specifice de
monitorizare ONG politici publice.
OS. 2 Stimularea, sustinerea si intarirea capacitatii a minim 20 ONGuri beneficiare de elaborare si promovare de politici publice
alternative in domeniul bugetarii pe baza de gen.
OS. 3 Evaluarea impactului a 4 politici publice alternative in domeniul bugetarii pe baza de gen formulate de 4 ONGuri beneficiare
prin intermediul testarii acestora ca studii de caz la nivelul comunitatilor locale vizate de propuneri.
OS. 4 Cresterea capacitatii de evaluare a 4 politicilor publice nationale alternative in domeniul bugetarii pe baza de gen propuse
de ONGuri in vederea acceptarii acestora prin organizarea a 3 workshopuri sustinute de experti romani si europeni in domeniul
bugetarii pe baza de gen cu participarea autoritatilor centrale si reprezentantilor ministerelor de resort implicate.
OS. 5 Dezvoltarea responsabilitaþii civice, de implicare a comunitaþilor locale în viaþa publica si de participare la procesele
decizionale, de promovare a egalitaþii de sanse, nediscriminarii si dezvoltarii durabile prin organizarea a 4 audieri publice
nationale pe marginea variantei consultative a celor 4 politici publice nationale in domeniul bugetarii pe baza de gen acceptate de
autoritatile responsabile.</t>
  </si>
  <si>
    <t>DAP Voluntar Dialog, Acțiune și Profesionalism în promovarea de către ONG-uri a voluntariatului în interesul copilului</t>
  </si>
  <si>
    <t>Asociația „Centrul De Resurse și Informare pentru Profesiuni Sociale" C.R.I.P.S.</t>
  </si>
  <si>
    <t>Obiectivul general:
Cresterea capacitatii ONGurilor active in sectorul social- protectia drepturilor copilului si in sectorul educatie de a se implica în formularea si promovarea de propuneri alternative la politicile publice
Nota explicativa: pe tot parcursul cererii de finantare, atunci cand facem referire la „ONGuri”care beneficiaza si sunt implicate in activitatile prezentului proiect avem in vedere urmatoarele categorii de organizatii neguvernamentale :
1.  ONG care asigura furnizarea de servicii sociale pentru copii
2. ONG care asigura formarea personalului din sectorul social - protectia copilului
3.  ONG care se implica in integrarea scolara si sociala a copilului, promovarea drepturilor copilului, asigurarea calitatii serviciilor sociale
4. ONG care reprezinta cadre didactice , respectiv diferite categorii de personalul din institutii publice si servicii sociale care au responsabilitati in promovarea drepturilor copilului (de exemplu FICE, Asociatia Directorilor de DGASPCuri)
Obiectivele specifice:
1. OS1. Cresterea competentelor a 60 de persoane din ONGuri de a se implica in elaborarea si promovarea de politici publice
vizand voluntariatul cu si pentru copii, pana la finalul lunii a 11-a de derulare a proiectului;
Pentru atingerea OS1 avem in vedere, pe langa procesul formativ propriu-zis, o etapa premergatoare de elaborare a unui model
de formare adaptat nevoilor si specificului grupului tinta. In etapa premergatoare cursurilor se asigura elaborarea modelului de
formare „ POLITICI PUBLICE - informare, participare si dialog pentru voluntariat in interesul copilului” si pregatirea formatorilor
locali membri ai echipei de proiect, in cadrul unui atelier de lucru organizat la Bucuresti. In etapa de organizare a cursurilor,
formatorii locali membri ai echipei de proiect (cate doi din fiecare judet) vor aplica modelul de formare in cadrul a trei serii de curs
organizate in judetele Alba, Buzau si Ialomita. Cursurile se organizeaza in beneficiul a 60 de persoane din 30 de ONGuri; prin
procedura de evaluare la final de curs, beneficiarii vor demonstra cresterea competentelor de implicare in elaborarea si
promovarea de politici publice. D.p.d.v al strategiei de actiune, OS1 este in deplin acord cu metodologia de lucru a asociatiei
CRIPS, raspunzand nevoilor personalului din servicii publice si din ONGuri prin elaborare si aplicare de modele de formare cu
preocupari pentru calitatea cursurilor.
OS1 este corelat cu Rezultat proiect 1 si cu activitatea A2.
2. OS2. Imbunatatirea resurselor pedagogice de formare si cresterea competentelor a 8 formatori din reteaua CRIPS, precum si a
altor formatori interesati, pentru a sustine formarea personalului din ONGuri pentru a se implica in elaborarea si promovarea de
politici publice vizand voluntariatul cu si pentru copii, pana la finalul proiectului
Continuand traditia asociatiei CRIPS de a elabora modele de formare usor de replicat de catre formatorii din reteaua de formatori
promovate de CRIPS, denumita „EDUC Trainer”, acest obiectiv specific are in vedere:
a) realizarea unui kit pedagogic „POLITICI PUBLICE - informare, participare si dialog pentru voluntariat in interesul copilului” care
se publica pe site si se difuzeaza, putand fi accesat de toti formatorii interesati; kit-ul contine modelul de formare revizuit in urma
aplicarii in judetele Alba, Buzau si Ialomita si un material video pedagogic elaborat
b) pregatirea a 8 formatori pentru aplicarea kit-ului in formarea personalului din ONGuri (in plus fata de cei 6 formatori locali
pregatiti in A2.1 pentru cursurile organizate in A2.2)
Prin aceasta abordare, care favorizeaza atat definitivarea unui produs cu impact formativ usor de aplicat in viitoare cursuri pentru
personalul ONG (kit pedagogic), pregatirea resurselor umane care aplica produsul (formatorii), precum si punerea kit-ului
pedagogic la dispozitia tuturor formatorilor interesati prin publicare pe web-site-uri ” - se creeaza perspective de diseminare a
rezultatelor si experientei proiectului - contribuind la sustenabilitatea rezultatelor. OS 2 este corelat cu rezultatele proiectului 2 si 3
si pentru indeplinirea sa se va implementa activitatea A3.
3. OS3. Cresterea accesului la informatie si imbunatatirea participarii personalului din ONGuri la dialog social si civic pe tema
voluntariatului cu si pentru copii, in randul a peste 50 de ONGuri pana la finalul proiectului
Obiectivul raspunde unei nevoi de informare si de imbunatatire a dialogului social si civic identificate atat in randul ONGurilor, cat
si al institutiilor publice. Are in vedere realizarea, dezvoltarea si actualizarea unui website cu rol de instrument de dialog social si
civic pe tema promovarii actiunilor de voluntariat cu si pentru copii, precum si crearea si animarea unui grup de dezbateri pe
Facebook.
Obiectivul specific 3 este corelat cu rezultatul 4 si pentru indeplinirea sa va fi implementata activitatea A4.
4. OS4. Formularea si promovarea unei propuneri alternative la politicile publice referitoare la voluntariatul cu si pentru copii avand
in vedere asigurarea unui cadru metodologic bazat pe respectarea si promovarea drepturilor copilului, atat in cazul voluntarului
copil, cat si a copilului beneficiar al actiunilor efectuate de voluntari, pana la finalul proiectului.
Obiectivul vizeaza crearea unui cadru de aplicare a legii voluntariatului cu deplina respectare a drepturilor copilului - in doua
situatii distincte:
a) in situatia specifica a voluntarilor copii, ale caror drepturi trebuie respectate in toate etapele procesului de pregatire si derulare
a interventiei voluntare (recrutare, contractare, formare, supervizare pe parcursul interventiei etc);
b) in situatia specifica a copiilor din grupuri vulnerabile (copii aflati in sistemul de protectie, copii din familii vulnerabile) beneficiari
ai activitatilor de voluntariat. La elaborarea si definitivarea acestor propuneri alternative aferente OS 4 vor contribui ? echipa de
proiect ? reprezentantii ONGurilor participante la proiect - respectiv: a) beneficiari ai cursurilor „POLITICI PUBLICE - informare,
participare si dialog pentru voluntariat in interesul copilului”, b) participanti la grupul consultativ c) participanti la procesul de
consultare prin email ? reprezentanti ai parintilor si ai copiilor voluntari, respectiv ai educatorilor si ai copiilor din sistemul de
protectie care beneficiaza de voluntariat. ? Reprezentanti ai autoritatilor publice centrale si ai altor structuri publice a) participanti
la grupul consultativ b) participanti la procesul de consultare prin email.
OS4 este corelat cu rezultatul de proiect 5 si cu activitatea A5.</t>
  </si>
  <si>
    <t>Abordare integrata a politicilor sociale si
medicale prin formularea de politici publice
alternative de catre societatea civila</t>
  </si>
  <si>
    <t>ASOCIATIA ROMANA ANTI-SIDA</t>
  </si>
  <si>
    <t>ASOCIATIA PENTRU APARAREA DREPTURILOR OMULUI IN ROMANIA - COMITETUL
HELSINKI</t>
  </si>
  <si>
    <t>Cresterea capacitaþii ONG-urilor de formulare de politici publice alternative în domeniile sanatate publica sau protecþie sociala
Obiectivele specifice ale proiectului
1. Obiectiv specific 1. Elaborarea unui ghid de proceduri si instrumente pentru monitorizarea si evaluarea politicilor publice din
domeniul social sau medical
2. Obiectiv specific 2. Dezvoltarea cunostinþelor si abilitaþilor pentru 100 de persoane din cadrul ONG-urilor din domeniul domeniile
social sau medical în formularea de politici publice alternative si în monitorizarea independenta a politicilor guvernamentale
3. Obiectiv specific 3. Crearea unei reþele informale de ONG-uri în domeniul politicilor publice sociale sau medicale
4. Obiectiv specific 4. Formularea de 5 propuneri de politici publice alternative în domeniul politicilor publice sociale sau medicale</t>
  </si>
  <si>
    <t>Medierea-politică publică eficientă în dialogul civic</t>
  </si>
  <si>
    <t>Asociația "Centrul de Mediere si Arbitraj Propact"</t>
  </si>
  <si>
    <t>Universitatea ”Andrei Șaguna”</t>
  </si>
  <si>
    <t xml:space="preserve">Obiectivul general al proiectului este cresterea capacitatii ONG-urilor si a partenerilor sociali de a formula politici publice alternative in domeniul medierii, la nivele national, ce va contribui la dezvoltarea si introducerea de sisteme si standarde comune in administratia publica, ce optimizeaza procesele decizionale orientate catre cetateni si mediul de afaceri in concordanta cu SCAP.
Obiective specifice:
OS 1 - Asigurarea unui sistem de management si de control performant si riguros prin monitorizarea continua a rezultatelor obtinute, in vederea maximizarii impactului asupra grupului tinta vizat, in cele 16 de luni de implementare. Asigurarea unui management
eficient si transparent al resurselor umane, materiale, financiare.Pregatirea si realizarea activitatilor de comunicare institutionala in cadrul activitatilor de proiect
OS 2 - Dezvoltarea de instrumente/mecanisme ce optimizeaza procesele decizionale orientate catre cetaþeni si mediul ONG/parteneri sociali
</t>
  </si>
  <si>
    <t>Cresterea capacitatii societatii civile de a formula politici publice alternative pentru sprijinirea
protectiei mediului prin reglementarea aplicabilitatii legilor privind perdelele forestiere – RPR</t>
  </si>
  <si>
    <t>ASOCIATIA "ROMANIA PRINDE RADACINI"</t>
  </si>
  <si>
    <r>
      <t xml:space="preserve">Obiectivul general al proiectului este de imbunatatire a procesului de elaborare participativa a politicilor publice pentru asigurarea aplicarii, reglementarii si functionarii Legii 46/2008 numita si Legea Codului silvic si a Legii 289/2002 republicata în 2014 denumita si Legea
perdelelor forestiere de protecþie, precum si implementarea sistemului de perdele forestiere de protectie,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t>
    </r>
    <r>
      <rPr>
        <b/>
        <sz val="12"/>
        <rFont val="Calibri"/>
        <family val="2"/>
        <scheme val="minor"/>
      </rPr>
      <t>Obiectivele specifice ale proiectului</t>
    </r>
    <r>
      <rPr>
        <sz val="12"/>
        <rFont val="Calibri"/>
        <family val="2"/>
        <charset val="238"/>
        <scheme val="minor"/>
      </rPr>
      <t xml:space="preserve">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pentru asigurarea aplicarii, reglementarii si functionarii Legii
46/2008 numita si Legea Codului silvic si a Legii 289/2002 republicata în 2014 denumita si Legea perdelelor forestiere de
protecþie, precum si pentru implementarea sistemului de perdele forestiere de protectie.
Obs.2) Cultivarea si dezvoltarea cunostintelor, competentelor si abilitatilor a 30 de persoane din Gupul tinta, reprezentanti ai
ONG-ului, in urma participarii la sesiuni de instruire in formularea politicilor publice si in mananagement strategic, inclusiv prin
abordarea temelor de devoltare durabila, egalitate de sanse si nediscriminare.
Obs.3) Formularea si promovarea a cel putin 2 politici publice pentru pentru asigurarea aplicarii, reglementarii si functionarii Legii
46/2008 numita si Legea Codului silvic si a Legii 289/2002 republicata în 2014 denumita si Legea perdelelor forestiere de
protecþie, precum si implementarea sistemului de perdele forestiere de protectie, ca urmare a dezvoltarii unui mecanism
performant si profesionist (caravana nationala sub forma unor evenimente de tip „masa rotunda”, cu aplicabilitate de workshop),
pentru formularea si promovarea de politici publice alternative.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t>
    </r>
  </si>
  <si>
    <t>Politici publice pentru dezvoltare durabilă</t>
  </si>
  <si>
    <t>Asociația ,,Centrul pentru Politici Publice Durabile Ecopolis”</t>
  </si>
  <si>
    <r>
      <rPr>
        <b/>
        <sz val="12"/>
        <rFont val="Calibri"/>
        <family val="2"/>
        <scheme val="minor"/>
      </rPr>
      <t xml:space="preserve">Obiectiv general  </t>
    </r>
    <r>
      <rPr>
        <sz val="12"/>
        <rFont val="Calibri"/>
        <family val="2"/>
        <charset val="238"/>
        <scheme val="minor"/>
      </rPr>
      <t xml:space="preserve">                                                                                                                                                                                                                      Cresterea capacitatii ONG-urilor si a partenerilor sociali cu interes în domeniile protectiei mediului si a schimbarilor climatice de a colabora cu scopul de a contribui la monitorizarea, evaluarea, formularea si promovarea de politici alternative la politicile publice formulate de
Guvern, în sase domenii prioritare de mediu si dezvoltare durabila.                                                                                                                     </t>
    </r>
    <r>
      <rPr>
        <b/>
        <sz val="12"/>
        <rFont val="Calibri"/>
        <family val="2"/>
        <scheme val="minor"/>
      </rPr>
      <t xml:space="preserve">Obiective specifice                                                                                                                                                                                                                         </t>
    </r>
    <r>
      <rPr>
        <sz val="12"/>
        <rFont val="Calibri"/>
        <family val="2"/>
        <scheme val="minor"/>
      </rPr>
      <t>OS 1: Dezvoltarea capacitatii a 40 de ONG-uri si 10 parteneri sociali prin instruirea a 120 de persoane din cadrul ONG-urilor si
partenerilor sociali în domeniul evaluarii si propunerii de politici publice alternative la politicile promovate de guvern în domeniul
mediului si al dezvoltarii durabile si dezvoltarea de activitaþi în comun pe baza abilitaþilor dobândite
OS 2: Dezvoltarea de 6 instrumente independente de monitorizare si evaluare a politicilor publice de mediu
OS 3: Dezvoltarea unui mecanism de consolidare a dialogului social si civic în domeniul mediului si a dezvoltarii durabile si
pilotarea lui;
OS 4: Dezvoltarea responsabilitatii civice, de implicare a 6 comunitati locale în viaþa publica si de participare la procesele
decizionale, de promovare a egalitatii de sanse si nediscriminarii, precum si a dezvoltarii durabile.
OS 5: Dezvoltarea a 6 actiuni de formulare si promovare de propuneri alternative la politicile publice initiate de Guvern si
acceptarea acestor propuneri.</t>
    </r>
  </si>
  <si>
    <t>Performanță și calitate în administrația publică locală din municipiul Motru</t>
  </si>
  <si>
    <t>Municipiul Motru</t>
  </si>
  <si>
    <t>Obiectivul general al proiectului - Optimizarea si eficientizarea proceselor orientate catre cetaþeni, în concordanþa cu Strategia pentru Consolidarea Administraþiei Publice, prin introducerea sistemelor comune de calitate si performanþa, în cadrul UAT Municipiul Motru.                                                                                                                                                                                                                                                                      Obiectiv specific 1: Implementarea unui sistem unitar de management al calitaþii si performanþei (în conformitate cu Planul de
acþiune pentru prioritizarea si etapizarea implementarii managementului calitaþii) la nivelul UAT Municipiul Motru si realizarea unui schimb de experienþa între personalul din instituþia publica beneficiara a proiectului si autoritaþi, organisme, organizaþii publice naþionale.
2. Obiectiv specific 2: Dezvoltarea abilitaþilor unui numar de 40 participanþi din cadrul UAT Municipiul Motru în domeniile
implementarii sistemelor de management al calitaþii (CAF, ISO), control managerial intern, politici publice locale.</t>
  </si>
  <si>
    <t>Motru</t>
  </si>
  <si>
    <t>"Societatea civilă dezvoltă politici publice"</t>
  </si>
  <si>
    <t>Asociația pentru Implicare Socială, Educație și Cultură</t>
  </si>
  <si>
    <t>Obiectivul general al proiectului/Scopul proiectului
Obiective proiect
Obiectivul general al proiectului este dezvoltarea capacitaþii organizațiilor non-guvernamentale din România de a participa la procesul de
elaborare a politicilor publice în domeniul social, cu impact la nivel național, pentru a creste calitatea politicilor publice din domeniu.
Obiectivele specifice ale proiectului
1. OS1 - Dezvoltarea si perfecționarea cunostințelor si competențelor resursei umane aparținând organizațiilor non-guvernamentale
în elaborarea propunerilor legislative si colaborarea cu instituțiile publice, pentru un numar de 80 de persoane.
2. OS 2 - Aplicarea cunostințelor dobândite de resursa umana, prin participarea la dezvoltarea de propuneri la politicile publice din
domeniul social cu impact la nivel naþional, pentru un numar de 50 de persoane.
3. OS 3 - Îmbunatațirea colaborarii si a dialogului dintre organizaþiile non-guvernamentale si autoritațile publice, pentru dezvoltarea
capacitații acestora de a iniția parteneriate si de a colabora în procesul de elaborare a politicilor publice.</t>
  </si>
  <si>
    <t>„Implicare, colaborare şi sprijin reciproc pentru un viitor mai bun al tinerilor!”</t>
  </si>
  <si>
    <t>Asociația “Ai încredere”</t>
  </si>
  <si>
    <t xml:space="preserve">P1: Asociația de Dezvoltare Durabilă a Județului Tulcea 
</t>
  </si>
  <si>
    <t xml:space="preserve">Obiectivul general al proiectului:
Cresterea capacitaþii ONG-urilor si a partenerilor sociali de a se implica în formularea si promovarea de propuneri alternative la politicile publice iniþiate de Guvern, în domeniul ocuparii tinerilor prin comunicare, colaborare si sprijin reciproc.
Obiectivele specifice ale proiectului:
1. Instruirea unui numar de 100 de persoane prin cursurile de Delegat Sindical- Cod COR 111411. Scopul instruirii este de a
consolidarea organizaþiilor sindicale astfel încât acestea sa îsi îmbunataþeasca capacitatea de a formula si promova propuneri de politici publice alternative la politicile publice iniþiate de Guvern în domeniu. Rolul cursului este de a creste interesul pentru recrutarea tinerilor în sindicate si pentru a le înþelege mai bine nevoile.
2. Elaborarea unei Politici publice alternative la politicile publice iniþiate de Guvern în domeniul ocuparii tinerilor si al tranziþiei acestora de la scoala la viaþa active. Politica publica alternativa va încerca sa rezolve o serie de probleme identificate prin dezbateri si analiza asupra legislaþiei în vigoare.
3. Realizarea unui mecanism de Monitorizare, dezvolatre de politici alternative la cele iniþiate de Guvern, colaborare, susþinere reciproca, Hub-ul Online al ONG-urilor si ai partenrilor sociali. Un rol important al acestei platforme este dezvoltarea responsabilitaþii civice, de implicare a comunitaþilor locale în viaþa publica si de participare la procesele decizionale, de promovare a egalitaþi de sanse si nediscriminarii, precum si a dezvoltarii durabile. Dezvolta capacitatea partenerilor sociali si a ONG prin activitaþi întreprinse în comun, participarea si dezvoltarea de reþele tematice locale/naþionale.
</t>
  </si>
  <si>
    <t>Tulcea</t>
  </si>
  <si>
    <t xml:space="preserve"> în implementare</t>
  </si>
  <si>
    <t>Dezvoltarea unui sistem unitar de management al calității la nivelul Consiliului Județean Vâlcea și al instituțiilor subordonate</t>
  </si>
  <si>
    <t>Județul Vâlcea</t>
  </si>
  <si>
    <t>Râmnicu Vâlcea</t>
  </si>
  <si>
    <t>Dezvoltarea unui sistem unitar si sustenabil de management al calitaþii la nivelul Consiliului Judeþean Vâlcea si al altor 12 instituþii publice din subordinea sa, în scopul optimizarii proceselor orientate catre beneficiari, în concordanþa cu SCAP.
Obiectivele specifice ale proiectului
1. Implementarea Sistemului de Management al Calitaþii, conform SR EN ISO 9001:2015, la nivelul a 12 instituþii publice din
subordinea Consiliului Judeþean Vâlcea.
2. Certificarea Sistemului de Management al Calitaþii, conform SR EN ISO 9001:2015, la nivelul Consiliului Judeþean Vâlcea si al
altor 12 instituþii subordonate.
3. Consolidarea sistemului de management al calitaþii la nivelul Consiliului Judeþean Vâlcea, prin implementarea instrumentului de autoevaluare CAF.
4. Îmbunataþirea cunostinþelor si abilitaþilor personalului, din cadrul Consiliul Judeþean Vâlcea si instituþiile publice subordonate, prin participarea la programe si evenimente de formare profesionala în domeniul managementului calitaþii.
5. Asigurarea sustenabilitaþii sistemelor de management implementate si/sau certificate în cadrul proiectului, prin formarea si certificarea unui numar de 15 de specialisti în domeniul calitaþii si a 15 auditori în domeniul calitaþii, din rândul personalului angajat în aceste instituþii, cu atribuþii în domeniul managementului calitaþii.</t>
  </si>
  <si>
    <t>Nonformal se poate – Politica publica alternativa pentru inserția tinerilor pe piața muncii</t>
  </si>
  <si>
    <t>Asociatia SE POATE</t>
  </si>
  <si>
    <t>Asociația Umanistă Română</t>
  </si>
  <si>
    <t xml:space="preserve">Ilfov </t>
  </si>
  <si>
    <t>Chiajna</t>
  </si>
  <si>
    <t>Obiectivul general al proiectului este cresterea capacitatii Solicitantului si partenerului de a formula si promova propuneri alternative la politicile publice existente in domeniul educatiei non- formale cu accent pe dezvoltarea competentelor transversale in vederea insertiei sustenabile si eficiente a tinerilor pe piata muncii.
Obiective specifice:
OS1. Formarea unui numar de 20 de reprezentanti din cadrul Solicitantului si Partenerului (organizatii neguvernamentale) in
domeniul elaborarii politicilor publice.
OS2. Formularea si fundamentarea unei politici publice alternative in domeniul educatiei non-formale (conform HG 775/2005 si
modificarilor aduse de HG 523/2016) in cadrul unui proces de consultare cu participarea 112 reprezentanti ai ONGurilor/ partenerilor sociali (56 de organizatii) si a 32 de reprezentanti ai institutiilor/autoritatilor locale si centrale de la nivel national
OS3. Promovarea in randul decidentilor si al stakeholderilor de la nivel central si local a oportunitatii si eficacitatii politicii publice alternative in domeniul educatiei non-formale, elaborata in cadrul proiectului  in vederea acceptarii.</t>
  </si>
  <si>
    <t>Optiuni strategice pentru dezvoltarea durabila a sectorului forestier</t>
  </si>
  <si>
    <t>Asociația Centrul pentru Dezvoltare Durabilă Columna</t>
  </si>
  <si>
    <t>Asociația Administratorilor de Păduri</t>
  </si>
  <si>
    <t>Dolj</t>
  </si>
  <si>
    <t xml:space="preserve">Obiectiv general: Dezvoltarea sectorului forestier în scopul cresterii contribuþiei acestuia la ridicarea nivelului calitaþii vieþii, pe baza gestionarii durabile a padurilor.
Obiective specifice:
O.S. 1. Evaluarea cadrului institutional si de reglementare a activitatii din sectorul forestier
O.S. 2. Identificarea masurilor de gestionare durabila si dezvoltare a resurselor forestiere
O.S. 3. Dezvoltarea dialogului intersectorial si a comunicarii strategice în domeniul forestier si cu alte domenii de activitate
</t>
  </si>
  <si>
    <t>Etică și integritate la Consiliul Județean Vaslui</t>
  </si>
  <si>
    <t>Cresterea capacitatii de implementare a masurilor de prevenire a coruptiei la nivelul judetului Vaslui (Consiliu judetean si institutiile subordonate)
OS1 Sprijinirea Consiliului Judetean Vaslui pentru aplicarea unitara a normelor de etica, integritate si prevenire a coruptiei prin elaborarea si adoptarea de proceduri operatíonale, ghiduri si instrumente suport, conform SNA 2016-2020.
OS2 Imbunatatirea cunostintelor si competentelor in ceea ce priveste prevenirea coruptiei a a minim 150 de persoane (angajati cu functii de conducere si executie din aparatul de specialitate al Consiliului Judetean Vasluii si institutiilor publice subordonate si alesi locali).</t>
  </si>
  <si>
    <t>Creșterea calității serviciilor publice, îmbunătățirea sistemului de management al calității - Târgu-Mureș</t>
  </si>
  <si>
    <t>Județul Vaslui</t>
  </si>
  <si>
    <t>Cresterea calitaþii serviciilor publice furnizate de catre Primaria Municipiului Tîrgu Mures cetaþenilor prin îmbunataþirea sistemului de management al calitaþii si performanþei în concordanþa cu Planul de acþiuni pentru implementarea etapizata a managementului calitaþii în autoritaþi si instituþii publice 2016-2020.
Obiectivele specifice ale proiectului
1. Cresterea transparenþei instituþionale si a proceselor decizionale din cadrul municipiului Tîrgu Mures cu 20%, prin introducerea unui sistem unitar de mangement: ISO 9001:2015-Managementul calitaþii
2. Cresterea calitaþii serviciilor publice cu 20%, prin instruirea unui numar de 102 angajaþi cu funcþii de conducere din cadrul municipiului Tîrgu Mures în domeniul managementului calitaþii.
3. Consolidarea sistemului de management al calitaþii la nivelul municipiului Tîrgu Mures cu cel puþin 20% - organizare 1 Conferinþa privind managementul calitaþii în administraþia publica.</t>
  </si>
  <si>
    <t>Municipiul Aiud</t>
  </si>
  <si>
    <t>Performanța si eficiența în administrație prin implementarea unui management competitiv</t>
  </si>
  <si>
    <t>Implementarea unui sistem de management al calitaþii si performanþei integrat si eficient, prin autoevaluarea CAF, standardizarea proceselor de lucru, recertificarea ISO:9001 si dezvoltarea abilitaþilor personalului din cadrul UAT Primariei Municipiului Aiud, în vederea optimizarii proceselor orientate catre beneficiari, în concordanþa cu SCAP                                                                                                                                                                                                                         Obiectiv Specific 1: Dezvoltarea unui sistem unitar de management al calitaþii si performanþei la nivelul UAT Primariei Municipiului Aiud prin aplicarea instrumentului de autoevaluarea CAF (Cadrul Comun de Autoevaluare/ Common Assesment Framework),elaborarea unui instrument de monitorizare a utilizarii managementului calității si obținerea recertificarii ISO 9001.
2. Obiectiv Specific 2: Organizarea de acþiuni de identificare a bunelor practici si networking între instituþii publice locale cu atribuții similare, în scopul introducerii de sisteme si standarde comune în administrația publica locala în concordanța cu OS 2.1 si implicit în vederea promovarii bunelor practici în domeniul managementului calitații, pentru optimizarea proceselor orientate catre beneficiari.
3. Obiectiv Specific 3: Dezvoltarea cunostinþelor si abilitaþilor a 30 de persoane, însemnând personal din cadrul Primariei Municipiului Aiud, prin participarea la cursuri de formare profesionala pe teme specific de interes precum managementul calitaþii si managementul performanței, în vederea sprijinirii masurilor si acțiunilor de OS2.1 si implicit de proiect pentru optimizarea proceselor orientate catre beneficiari.</t>
  </si>
  <si>
    <t>Aiud</t>
  </si>
  <si>
    <t>CP1 less /2017</t>
  </si>
  <si>
    <t>CP1 more /2017</t>
  </si>
  <si>
    <t>Asociația Centrul European pentru Sprijinirea Incluziunii Sociale a Romilor din România (CESIRR)</t>
  </si>
  <si>
    <t>Asociația ASIST</t>
  </si>
  <si>
    <t>Întărirea capacității societății civile de a formula politici publice alternative în domeniul serviciilor sociale prin dezvoltarea unui mecanism de colectare și monitorizare a nevoilor persoanelor vulnerabile</t>
  </si>
  <si>
    <t xml:space="preserve">Obiectivul general al proiectului este de imbunatatire si optimizare a procesului de elaborare participativa a politicilor publice si de stabilire de directii strategice de actiune in administratia publica locala din domeniul serviciilor sociale, prin cresterea capacitatii organizatiilor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 specifice:
OS 1 Dezvoltarea unui program informatic centralizat, in vederea cresterii capacitatii serviciului public de asistenta sociala de a identifica si monitoriza permanent nevoile specifice ale tinerilor si grupurilor vulnerabile din mediul rural cu accent pe comunitatile rome care sa stea la baza fundamentarii actualizarii permanente a Planului de actiune privind serviciile sociale precum si a Strategiei judetene.
OS 2 Instruirea unui numar de 40 de persoane, personal al ONG-urilor, in vederea dobandirii de noi cunostinte, competente si aptitudini privind elaborarea de politici publice orientate spre cetaþean si bazate pe dovezi, precum si alte tematici de interes aferente acþiunilor care se vor desfasura în cadrul proiectului, inclusiv prin abordarea temelor de devoltare durabila, egalitate de sanse si nediscriminare.
OS 3 Elaborarea, promovarea, monitorizarea si evaluarea unei propuneri de politica publica in scopul imbunatatirii capacitatii organizationale, actionale si de planificare strategica in administratia publica locala in domeniul serviciilor sociale, prin consolidarea parteneriatelor public private si a dialogului social si civic.
</t>
  </si>
  <si>
    <t>Platforma Acţiunilor Comune Transparente - PACT A.Co.R</t>
  </si>
  <si>
    <t>Asociația Comunelor din România</t>
  </si>
  <si>
    <t>Obiectivul general al proiectului este crearea si dezvoltarea, la nivelul Asociaþiei Comunelor din România, a unui mecanism alternativ functional, cu o abordare de jos în sus (bottom-up), de elaborare si monitorizare a politicilor publice ce vizeaza mediul rural din România, respectiv de consultare a membrilor privind politicile publice initiate de autoritaþile si institutiile publice centrale - Platforma actiunilor comune transparente PACT - A.Co.R.</t>
  </si>
  <si>
    <t>Consolidarea și promovarea poziției României ca actor relevant în cadrul proceselor de luare a
deciziilor la nivel european</t>
  </si>
  <si>
    <t>Ministerul Afacerilor Externe</t>
  </si>
  <si>
    <t xml:space="preserve">SECRETARIATUL GENERAL AL GUVERNULUI
ECOLE NATIONALE D’ADMINISTRATION - 
INSTITUTUL EUROPEAN DIN ROMANIA/Compartiment Proiecte - institute, centre sau stațiuni de cercetare-dezvoltare organizate ca instituții publice </t>
  </si>
  <si>
    <t xml:space="preserve">Proiectul își propune consolidarea si promovarea poziției României ca actor relevant în cadrul proceselor de policy making la nivel european. Acesta vizează consolidarea rolului pro-activ al României la nivel european prin dezvoltarea unei politici publice în domeniul afacerilor europene, dezvoltarea unor proceduri de lucru eficiente la nivelul ministerelor, consolidarea capacitații acestora în domeniul afacerilor europene, elaborarea si implementarea unei strategii de comunicare si realizarea unor analize pe tematici de actualitate, prioritare din domeniul afacerilor europene, cu privire la care sa poată fi identificat si fundamentat adecvat interesul național. Modalitatea de gestionare a afacerilor europene, atât în plan interinstituțional, cât si în planul reprezentării intereselor României la nivelul decizional al UE, va fi îmbunătățit în mod semnificativ, având ca rezultat creșterea relevantei si gradului de fundamentare a poziției României în planul decizional al UE, inclusiv prin îmbunătățirea nivelului de reprezentare activa în cadrul procesului de negociere european.
Obiectivele specifice ale proiectului
1. îmbunătățirea participării României la procesul de luare a deciziilor la nivelul UE prin dezvoltarea unei politici publice în domeniul afacerilor europene
2. îmbunătățirea comunicării si colaborării în domeniul afacerilor europene
3. consolidarea capacitații personalului implicat în gestionarea afacerilor europene
</t>
  </si>
  <si>
    <t xml:space="preserve"> Oficiului Național al Registrului Comerțului</t>
  </si>
  <si>
    <t>Dezvoltarea calității serviciilor în administrația publică locală</t>
  </si>
  <si>
    <t>Municipiul Tulcea</t>
  </si>
  <si>
    <t>Obiectivul general al proiectului: Cresterea calitatii serviciilor publice furnizate de catre autoritate cetatenilor prin consolidarea /imbunatatirea sistemului de management al calitatii si performanta in concordanta cu Planul de actiuni pentru implementarea etapizata a managementului calitatii in autoritati si institutii publice 2016-2020, Obiectivul Specific 2.1: Introducerea de sisteme si standarde comune in administratia publica locala ce optimizeaza procesele orientate catre beneficiari in concordanta cu SCAP, inclusiv dezvoltarea abilitatilor personalului din autoritatea publica locala.
Obiectivele specifice ale proiectului
1. OS1 Cresterea calitaþii si performanþei organizationale in administratia publica locala ce optimizeaza procesele orientate catre beneficiari.
2. OS2. Imbunatatirea capacitatii personalului referitor la sisteme si standarde comune de management al calitatii si performantei prin pregatirea/instruirea specifica a unui numar de 60 angajati si perfectionarea a 20 angajati.
3. OS3. Dezvoltarea si sustinerea activitatilor de colaborare si interactiune cu cetateni, autoritati, institutii si organisme publice nationale si internationale.</t>
  </si>
  <si>
    <t>Asociația Centrul pentru Legislație Nonprofit</t>
  </si>
  <si>
    <t>Îmbunatațirea cadrului juridic privind finanțarea publica a organizațiilor neguvernamentale</t>
  </si>
  <si>
    <t>OBIECTIVUL GENERAL al proiectului îl constituie cresterea gradului de implicare a Centrului pentru Legislație Nonprofit si a personalului acestuia in evaluarea, monitorizarea si formularea de politici publice alternative privind finantarea activitatilor nonprofit.
1. OS.1 - Cresterea capacitaþii a 15 organizaþii neguvernamentale si parteneri sociali de a se implica activ în formularea si promovarea unui set de propuneri de modificare a Legii 350/2005 privind regimul finanþarilor nerambursabile din fonduri publice alocate pentru activitați nonprofit de interes general
2. OS.2 - Realizarea în mod participativ a unei propuneri de politica publica alternativa privind finanþarea publica a activitaților nonprofit de intres general prin implicarea unui numar de 50 de reprezentanþi ai organizaþiilor neguvernamentale si partenerilor sociali împreuna cu 10 reprezentanþi din autoritațile si instituțiile publice.</t>
  </si>
  <si>
    <t>CP 5/2017 (MySMIS: POCA/130/2/2)</t>
  </si>
  <si>
    <t>Mecanisme eficace de control administrativ si de prevenire a coruptiei</t>
  </si>
  <si>
    <t>SECRETARIATUL GENERAL AL GUVERNULUI</t>
  </si>
  <si>
    <t>MINISTERUL JUSTITIEI</t>
  </si>
  <si>
    <t>Obiectivul general al proiectului este reprezentat de consolidarea mecanismelor de control administrativ si de prevenire a coruptiei in administratia publica centrala.
1. Obiectiv specific 1: Reglementarea organizarii si functionarii Corpului de control al primului-ministru si eficientizarea activitatii. 
2. Obiectiv specific 2: Reglementarea unitara a functiei de control administrativ in cadrul autoritatilor publice centrale.
3. Obiectiv specific 3: Consolidarea sistemului intern de prevenire a coruptiei al Secretariatului General al Guvernului.</t>
  </si>
  <si>
    <t>CP3/2017 (MySMIS: POCA/113/2/3)</t>
  </si>
  <si>
    <t>Asociația "Institutul pentru Politici Publice"</t>
  </si>
  <si>
    <t>INFO-MEDIERE - relație eficientă administrație -cetățean folosind alternativa amiabilă și accesibilă a medierii în soluționarea litigiilor</t>
  </si>
  <si>
    <t xml:space="preserve"> 1. ASOCIATIA MUNICIPIILOR DIN ROMANIA - (A.M.R.),
2.  ASOCIATIA PROFESIONALA A MEDIATORILOR DIN ROMANIA, 
3. Asociatia PRO MEDIEREA</t>
  </si>
  <si>
    <t>„STAND UP - Creșterea participării și rolului societății civile în influențarea și îmbunătățirea politicilor publice”</t>
  </si>
  <si>
    <t>ASOCIATIA TELEFONUL COPILULUI</t>
  </si>
  <si>
    <t>Obiectivul general al proiectului - asigurarea unei educații de calitate în învațamântul preuniversitar prin restructurarea curriculumului pentru consiliere si orientare si prin elaborarea, implementarea si monitorizarea de proceduri, instrumente si mecanisme, în vederea asigurarii unui management eficient al situațiilor de criza la nivelul unitaților de învațamânt.</t>
  </si>
  <si>
    <t xml:space="preserve">Creșterea capacitații de înțelegere si a nivelului de conștientizare a cetățenilor dar si a responsabililor din cadrul administrației de la nivelul municipiilor din România, cu privire la soluționarea unui litigiu cu autoritatea publica locala prin folosirea medierii ca metoda alternativa
accesibila si amiabila, degrevând instanțele de judecata.
Obiectivele specifice ale proiectului
1. Creșterea gradului de informare si de sprijinire efectiva a cetățenilor pentru a avea acces la masuri eficiente din punct de vedere al timpului dar si al resurselor implicate în soluționarea litigiilor cu o autoritate publica locala prin difuzarea a unei campanii naționale de informare privind condițiile si avantajele procesului de mediere in plan local (1 spot tv, 500.000 cetățeni care urmăresc campania media, 8 conferințe de presa în fiecare regiune de dezvoltare, 1000 pliante, sondaj de opinie, centru de informare si consiliere pentru cetățeni) concomitent cu derularea unui pachet de acțiuni de conștientizare a tuturor grupurilor ținta vizate, la nivelul tuturor celor 8 regiuni de dezvoltare.
2. Consolidarea capacitații administrației publice municipale pentru a folosi toate pârghiile oferite de cadrul legal în vigoare în
soluționarea unei dispute cu un cetățean, într-o maniera amiabila dar si eficienta, cu un cost de timp si resurse scăzut, prin
organizarea a 8 workshop-uri în fiecare regiune de dezvoltare cu participarea a 206 responsabili ai departamentului juridic din
primarii, proiectând astfel imaginea unei administrații cooperante ci nu conflictuale în relație cu membrii comunității
3. Promovarea înțelegerii asupra metodelor alternative de soluționare a disputelor prin organizarea a 8 acțiuni de informare pentru 160 de mediatori, pentru ca aceștia sa cunoască datele necesare înțelegerii specificului relației dintre administrație si cetățean, degrevându-se, în final, instanțele de dosare ce pot fi soluționate amiabil.
</t>
  </si>
  <si>
    <t>Munuicipiul Craiova</t>
  </si>
  <si>
    <r>
      <t>SIMCA -</t>
    </r>
    <r>
      <rPr>
        <sz val="10"/>
        <color theme="1"/>
        <rFont val="Calibri"/>
        <family val="2"/>
        <scheme val="minor"/>
      </rPr>
      <t xml:space="preserve"> </t>
    </r>
    <r>
      <rPr>
        <sz val="11"/>
        <color theme="1"/>
        <rFont val="Calibri"/>
        <family val="2"/>
        <scheme val="minor"/>
      </rPr>
      <t>Standarde și Instrumente în Implementarea Managementului Calității Administrative la nivelul Primăriei Municipiului Craiova</t>
    </r>
  </si>
  <si>
    <r>
      <t>Obiectivul general C</t>
    </r>
    <r>
      <rPr>
        <sz val="12"/>
        <rFont val="Calibri"/>
        <family val="2"/>
        <scheme val="minor"/>
      </rPr>
      <t>onsta in sustinerea unui proces de management performant la nivelul Primariei Municipiului Craiova, proces ce va conduce la beneficii
durabile pentru grupul tinta angrenat, precum:
• certificarea sistemului de management al calitatii conform standardului ISO 9001/2015;
• dezvoltarea personala profesionala prin cursuri specializate;
• dezvoltarea abilitatilor individuale in domenii specifice activitatii administratiei publice  Proiectul isi propune 3 obiective specifice care contribuie in mod efectiv la atingerea obiectivului general al proiectului,asigurand o
buna implementare a proiectului,printr-o corelare logica a acestora cu obiectivul general,rezultatele,indicatorii de proiect si activitatile/sub-activitatile proiectului.Primul obiectiv specific (OS1) consta in introducerea de instrumente,procese de management la nivel local si va fi atins prin introducerea unui sistem de management al calitatii si performantei la nivelul Primariei Municipiului Craiova,in concordanta cu Planul de actiuni pentru implementarea etapizata a managementului calitatii in autoritati si institutii publice 2016-2020 – conform standardului ISO 9001/2015.Al doilea obiectiv specific (OS2) consta in organizarea de schimburi de experienta pentru grupul-tinta implicat,echipa proiectului si invitati din cadrul institutiilor publice din judetul Dolj si va
fi atins prin organizarea a 3 workshopuri.Al treilea obiectiv specific (OS3) consta in dezvoltarea abilitatilor personalului de la nivelul Primariei Municipiului Craiova pe teme specifice de interes si va fi atins prin organizarea de cursuri specializate pentru grupul-tinta implicat.Tematica si titlul cursurilor vor fi stabilite in cadrul Analizei Diagnostic si a celor 3 workshop-uri din cadrul Activitatii 3 „Realizarea unei Analize Diagnostic a sistemului de management al calitatii existent in vederea tranzitiei la prevederile standardului SR EN ISO 9001/2015,in concordanta cu Planul de actiuni pentru implementarea etapizata a managementului calitatii in autoritati si institutii publice 2016-2020 si organizarea a 3 workshopuri cu personalul din grupul tinta” si vor reprezenta nevoia de instruire a primariei.</t>
    </r>
  </si>
  <si>
    <t>ET</t>
  </si>
  <si>
    <t>Dezvoltarea unui management performant în cadrul primăriei municipiului Lugoj prin optimizarea proceselor orientate către beneficiari și pregătirea resurselor umane</t>
  </si>
  <si>
    <t>Municipiului Lugoj</t>
  </si>
  <si>
    <t>Obiectivul General.
Dezvoltarea unui management performant la nivelul Municipiului Lugoj, în vederea cresterii calitații, eficienței, transparenței si integritații
serviciilor publice oferite cetațenilor, instituþiilor administrației publice centrale si locale, operatorilor economici privați si organismelor
neguvernamentale cu care relaționeaza în spiritul dezvoltarii durabile, egalitații de sanse, securitații si sanataþii ocupaționale, prin
implementarea standardului ISO 9001/2015, precum si integrarea coroborata cu restul procedurilor din cadrul institutiei.
Obiectivele specifice ale proiectului
1. OS.1. Îmbunataþirea furnizarii serviciilor publice la nivelul Primariei Municipiului Lugoj prin implementarea Sistemului de Management al Calitatii;
2. OS.2. Dezvoltarea cunostinþelor si abilitaþilor profesionale grupului þinta prin participarea la cursuri;
3. OS.3. Cresterea transparenþei actului public prin organizarea unor acþiuni de diseminare a rezultatelor proiectului, cuprinzând si module de dezvoltare durabila si egalitate de sanse.</t>
  </si>
  <si>
    <t>Timiș</t>
  </si>
  <si>
    <t>Lugoj</t>
  </si>
  <si>
    <t>Cresterea capacitaþii administrative a Municipiului Constanþa prin introducerea si menþinerea
sistemului de management al calitaþii ISO 9001</t>
  </si>
  <si>
    <t>Municipiul Constanta</t>
  </si>
  <si>
    <t xml:space="preserve">Obiectivul general al proiectului consta in dezvoltarea capacitatii administrative a Municipiului Constanta, prin implementarea si certificarea sistemului de management al calitatii in conformitate cu prevederile standardului SR EN ISO 9001:2015, fapt ce va determina cresterea calitatii actului administrativ pe termen lung.
Obiective specifice:
OS 1 - Revizuirea si optimizarea fluxurilor interne de lucru in vederea proiectarii corespunzatoare a sistemului de management al calitatii la nivelul Primariei Municipiului Constanta
OS2 - Implementarea sistemului de management al calitatii in conformitate cu prevederile standardului SR EN ISO 9001:2015 in scopul imbunatatirii calitatii si eficientei serviciilor publice furnizate de catre Municipiul Constanta
OS3 - Promovarea modernizarii in administratia publica locala din Municipiul Constanta, prin specializarea angajatilor primariei pe teme specifice managementului calitatii (551 persoane), ceea ce va determina motivarea si mobilizarea acestora in directia inovatiei si in oferirea de servicii publice de calitate.
</t>
  </si>
  <si>
    <t>Constanta</t>
  </si>
  <si>
    <t>Transparență, etica și integritate</t>
  </si>
  <si>
    <t>1. Dezvoltarea unui sistem de proceduri operationale privind masurile preventive anticoruptie si indicatorii aferenþi în cadrul UAT Judeþul Gorj si a structurilor subordonate.
2. Implementarea masurilor referitoare la prevenirea corupþiei si a indicatorilor de evaluare inclusiv prin cresterea gradului de constientizare publica si campanii de educatie anticoruptie privind masurile referitoare la prevenirea coruptiei si a indicatorilor de evaluare.
3. Îmbunataþirea cunostinþelor si competentelor în domeniul prevenirii coruptiei, transparentei, eticii si integritatii pentru: - 25 persoane - personal de conducere si de execuþie din cadrul aparatului de specialitate al Unitaþii Administrativ Teritoriale Judeþul Gorj;
- 25 persoane - personal de conducere si de execuþie din cadrul structurilor subordonate Unitatii Administrativ Teritoriale Judeþul Gorj;
- 20 alesi locali ( consilieri judeteni, presedinte, vicepresedinti) ai Consiliului Judetean Gorj</t>
  </si>
  <si>
    <t>Targu Jiu</t>
  </si>
  <si>
    <t>Integritatea - condiþie esenþiala pentru o
administratie eficienta</t>
  </si>
  <si>
    <t>Obiectiv Specific 1: Dezvoltarea unui mecanism eficient de prevenire a corupþiei în cadrul unitatii administrativ-teritoriale Primaria Municipiului Aiud, prin elaborarea si/sau actualizarea a minimum 7 proceduri de sistem/operationale privind indicatorii anticorupþie, în concordanþa cu Strategia Naþionala Anticoruptie 2016 – 2020.
Obiectiv Specific 2: Implementarea mecanismului de prevenire a corupþiei la nivelul UAT Municipiul Aiud, prin dispozitie de primar, cu ajutorul unui manual de implementare elaborat în cadrul proiectului.
3. Obiectiv Specific 3: Instruirea si certificarea a 30 de persoane, însemnând personal de conducere si de execuþie din cadrul Primariei Municipiului Aiud, prin intermediul unui curs de formare pe tematici privind importanta eticii si integritatii în institutia publica.</t>
  </si>
  <si>
    <t>Legislație actualizată pentru un comerț calitativ cu produse agroalimentare</t>
  </si>
  <si>
    <t>Asociația ACDBR</t>
  </si>
  <si>
    <t>Obiectivul general al proiectului/Scopul proiectului
Obiective proiect
Formularea de propuneri alternative la politicile publice pentru actualizarea cadrului legislativ specific in vederea imbunatatirii activitatilor
de comert cu produse agroalimentare din Romania
Obiectivul General contribuie la atingerea obiectivului tematic nr. 11 Consolidarea capacitaþii instituþionale a autoritaþilor publice si a
parþilor interesate si eficienþa administraþiei publice (OT 11) dar si a Obiectivelor specifice ale Axei prioritare 1,OS 1.1: Dezvoltarea si
introducerea de sisteme si standarde comune în administraþia publica ce optimizeaza procesele decizionale orientate catre cetaþeni si
mediul de afaceri în concordanþa cu SCAP precum si la realizarea obiectivelor si masurilor stabilite în cadrul Strategiei pentru
Consolidarea Administraþiei Publice 2014-2020 (SCAP).
Obiectivele specifice ale proiectului
1. OS1 Realizarea unei imagini de ansamblu asupra deficientelor cadrului legislativ, la nivel national, prin intermediul unei
cercetari/studiu in randul celor implicati in comertul cu produse agroalimentare inclusiv a autoritatilor publice de resort
2. OS2 Dezvoltarea competentelor si insusirea unui „know how’ specific pentru 50 reprezentanti ai ong-urilor si partenerilor de dialog
social in vederea consolidarii cunostintelor de continut si tehnica legislativa
3. OS3 Sintetizarea unor propuneri de modificari ale legislatiei privind comertul cu produse agroalimentare si diseminarea acestora
in cadrul a doua mese rotunde bazate pe principiul dezbaterii publice
4. OS4 Realizarea unor alternative viabile la actualul cadru legislativ care reglementeaza comertul cu produse agroalimentare prin
propuneri de modificare si completare legislative concrete
5. OS5 Diseminarea propunerilor legislative si dezvoltarea unui sistem de cooperare institutionala bazat pe instrumente de dialog,
monitorizare si evaluare permanenta</t>
  </si>
  <si>
    <t>EGAL - Dialog civic și advocacy pentru poltici publice sensibile la egalitatea de gen</t>
  </si>
  <si>
    <t>„RENASC – Rețea Națională de promovare a Sănătății reproduCerii prin politici publice integrate”</t>
  </si>
  <si>
    <t>Asociația "Partnet - Parteneriat pentru Dezvoltare Durabilă"</t>
  </si>
  <si>
    <t>INSTITUTUL NATIONAL PENTRU SANATATEA MAMEI SI COPILULUI "ALESSANDRESCU RUSESCU"                                                                ASOCIATIA SAMAS                                            ASOCIATIA MOASELOR INDEPENDENTE</t>
  </si>
  <si>
    <t xml:space="preserve">Obiectivul general al proiectului este cresterea capacitatii a 3 ONG-uri de a formula propuneri la politici publice initiate de Guvern, prin interventii complexe de monitorizare, evaluare, instruire a 80 de persoane, promovare a politicii publice alternative elaborate in domeniul sanatatii reproducerii.
Obiectivele specifice ale proiectului
1. O.S.1: Cresterea capacitatii a 3 ONG-uri de a monitoriza si evalua politicile publice, prin dezvoltarea si utilizarea a 2 instrumente inovative de monitorizare si evaluare in domeniul sanatatii reproducerii.
2. O.S.2: Cresterea capacitatii a 3 ONG-uri de a formula politici publice alternative, prin instruirea a 80 de persoane din grupul tinta - personal din ONG-uri, in domenii de interes si elaborarea unei propuneri alternative la politicile publice in domeniul sanatatii
reproducerii.
3. O.S.3: Promovarea politicii publice alternative elaborate in domeniul sanatatii reproducerii si obtinerea acceptului acesteia.
</t>
  </si>
  <si>
    <t>Asociația Centrul de Suport și Formare pentru Dezvoltarea unei Societăți Echitabile</t>
  </si>
  <si>
    <t>Asociația Centrul de Dezvoltare Curriculară și Studii de Gen: Filia</t>
  </si>
  <si>
    <t xml:space="preserve">
Obiective proiect
Proiectul este depus în cadrul Programului Operaþional Capacitatea Administrativa, Componenta 1 CP2/2017 - Cresterea capacita?ii
ONG-urilor si a partenerilor sociali de a formula politici publice alternative, Axa prioritara 1 Administratie publica si sistem judiciar eficiente,
Operaþiunea Dezvoltarea si introducerea de sisteme si standarde comune în administra?ia publica ce optimizeaza procesele decizionale
orientate catre ceta?eni si mediul de afaceri în concordanta cu SCAP.
OG: Dezvoltarea capacitaþii ONG-urilor de a formula si propune politici publice sensibile la egalitatea de gen si egalitatea de sanse prin
formarea a 160 de persoane din ONG-uri din domeniul egalitaþii de sanse si de gen, drepturile omului si tineret, prin facilitarea accesului
acestora la cunostere privind inegalitaþile de gen si privind mecanismele de dialog civic si sprijin pentru advocacy si prin desfasurarea unei
campanii de dialog civic si advocacy pentru politici privind egalitatea de gen la nivel naþional, la nivel naþional pe parcursul a 16 luni.
OG raspunde astfel problemelor identificate de parteneri în secþiunea „Justificare” si „Grup þinta”: 1/ deteriorarea continua a dialogului civic
si adoptarea politicilor publice fara consultare cu societatea civila si 2/ promovarea egalitaþii de sanse între femei si barbaþi printr-o
abordare integratoare de gen în toate politicile publice initiate de Guvern.
Obiectivele specifice ale proiectului
1. OS1 Devoltarea capacitaþii a 80 de ONG-uri de a formula si propune politici publice sensibile la egalitatea de gen si egalitatea de
sanse prin formarea a 160 de persoane din ONG si prin facilitarea accesului la mecanisme de dialog civic si sprijin pentru
advocacy, la nivel naþional pe parcursul a 16 luni.
Proiectul prevede dezvoltarea si livrarea a 4 cursuri „CONSOLIDAREA CAPACITATII ADMINISTRATIVE A ONG-URILOR PRIN
EDUCATIE MANAGERIALA, FINANCIARA ?I JURIDICA”, „RECRUITER DE VOLUNTARI”, „POLITICI PUBLICE ?I EGALITATE
DE GEN” si „DIALOG CIVIC SI ADVOCACY” cu rol în cresterea capacitaþii a 80 de ONG-uri care activeaza în domeniile drepturile
omului, egalitate de sanse si gen, tineret prin instruirea a 160 de reprez ai acestora. În plus, ONG-urile interesate (inclusive cele
80 participante la instruire) vor avea acces gratuit la un centru de resurse online pentru cresterea implicarii societaþii civile în
consultarile publice si crestere calitaþii intervenþiilor lor. Acþiunile de mai sus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OS1 va fi atins prin implementarea SA1.1, SA1.2, SA2.1, SA2.2, SA2.3, SA5.1, SA7.1 si obþinerea rezultatelor de proiect R1, R3
si R4.
OS1 participa la atingerea IR 5S44-80, IR 5S45-160, ISR1.1-5, ISR2.1-1.
2. OS2 Consolidarea capacitaþii a 11 ONG-uri din dom egalitaþii de gen si de sanse pentru formularea si propunerea unei politici
publice alternative pentru egalitate de gen, prin cresterea accesului la cunostere privind inegalitaþile de gen si desfasurarea unei
campanii de dialog civic si advocacy pentru politici privind egalitatea de gen la nivel naþional, pe parcursul a 16 luni.
Proiectul prevede realiz unei cercetari cantitative la nivel national (Barometrul de gen) privind percepþia românilor / româncelor cu
privire la egalitatea de gen. Concluziile cercetarii vor fi coroborate cu un studiu comparat România – þari ale UE asupra politicilor
publice aprobate sensibile la egalitatea de gen. Pe aceste informaþii se va baza elaborarea propunerii alternative la politicile
publice sensibile la egalitatea de gen iniþiate de Guvern. La elaborarea / formularea, promovarea ei vor participa 11 ONG-uri care
activeaza în domeniul egalitaþii de sanse si gen (cei 2 parteneri din proiect + alte 9 ONG-uri similar) ce vor delega 20 pers din
aparatul propriu pentru proiect (ref. cele 9 ONG-uri). La promovarea PPP vor participa si 30 pers delegate de autoritaþi publice
centrale relevante pentru egalitatea de gen. Campania de advocacy se va finaliza cu acceptarea PPP de catre o autoritate
relevanta. În etapele de elaborare, promovare, acceptare, se vor integra, respecta si promova principiile orizontale POCA si se
promova sursa de finanþare si oportunitaþile sale.
OS2 va fi atins prin SA3.1, SA3.2, SA4.1, SA4.2, SA4.3, SA5.1, SA7.1 si obþinerea rezultatelor de proiect R2, R3 si R4.
OS2 part la IR 5S6-11, ISR2.2-50, ISR2.3-1.</t>
  </si>
  <si>
    <t>Servicii medicale îmbunătățite calitativ printr-o nouă politică publică privind valorile profesiilor de asistent medical și noașă - POLMED</t>
  </si>
  <si>
    <t>Ordinul Asistenților Medicali Generaliști, Moașelor și Asistenților Medicali din România</t>
  </si>
  <si>
    <t xml:space="preserve">
Obiective proiect
Obiectivul general al proiectului este dezvoltarea unui set de valori fundamentale pentru asistenti medicali si moase, pentru a fi introdus la
nivelul sistemului sanitar, in beneficiul relatiei personal medical-pacient.
Proiectul se aliniaza obiectivului POCA „Dezvoltarea si introducerea de sisteme si standarde comune in administratia publica ce
optimizeaza procesele decizionale orientate catre cetateni si mediul de afaceri in concordanta cu SCAP” prin:
- Introducerea unui set de standarde comune, ce vor asigura o viziune unitara la nivel national pentru toti asistentii medicali si
moase;
- Proiectul va contribui la indeplinirea rolului administratiei publice de a dezvolta servicii publice de calitate, in beneficiul
pacientilor din Romania;
- Promovarea noii politici prin intermediul organizatiei profesionale va asigura implementarea acesteia atat in mediul privat cat si
cel public, cu beneficii atat pentru pacienti –utilizatori ai sistemului de ingrijiri public si/sau privat dar si pentru mediul de afaceri.
Obiectivele specifice ale proiectului
1. OS1: Cresterea capacitatii organizatiei profesionale cu rol de reglementare in profesia de asistent medical de a formula propuneri
de politici publice in sectorul medical in 16 luni
2. OS2: Dezvoltarea unei propuneri de politica publica alternativa ce cuprinde un set de valori fundamentale pentru profesia de
asistent medical si moasa in 16 luni</t>
  </si>
  <si>
    <t>AA5/ 27.06.2018</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</si>
  <si>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 de implementare a strategiilor educaționale condiționalitate ex-ante prin asigurarea dezvoltării și aplicării unui cadru metodologic de monitorizare și evaluare în vederea atingerii în 2020 a țintelor educaționale estimate
- creșterea capacității MEN de formulare de politici publice sectoriale prin asigurarea unor decizii informate privind dezvoltarea forței de muncă, politicile privind profesorii și cele privind educația timpurie sprijinite prin studii comparative
</t>
  </si>
  <si>
    <t xml:space="preserve">Calitate, Standarde, Performanță - premisele unui management eficient la nivelul Ministerului Dezvoltării Regionale si Administrației Publice </t>
  </si>
  <si>
    <t xml:space="preserve">Scopul proiectului:Consolidarea integrității la nivelul MDRAP, al structurilor din subordinea/sub autoritatea sa precum și la nivelul autorităților administrației publice locale, prin dezvoltarea, promovarea și utilizarea de instrumente specifice prevenirii corupției.
Obiective specifice:
A. Creșterea capacității administrative a MDRAP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 al structurilor din subordinea / sub autoritatea ministerului și la nivelul autorităților administrației publice locale în ceea ce privește prevenirea corupției. 
</t>
  </si>
  <si>
    <t xml:space="preserve">Obiectiv general: Eficientizarea activității MDRAP și a instituțiilor din subordinea/sub autoritatea MDRAP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 și a instituțiilor din subordinea/ sub autoritatea MDRAP (Agenția Națională pentru Locuințe).
B. Perfecționarea personalului din MDRAP și din structurile din subordinea/ sub autoritatea MDRAP (Agenția Națională pentru Locuințe) prin cursuri de perfecționare în domeniul managementului calității în administrația publică.
</t>
  </si>
  <si>
    <t>Uniunea Naționala a Barourilor din Romania</t>
  </si>
  <si>
    <t>Program de educație și asistență juridică pentru îmbunătățirea accesului cetățenilor la justiție – JUST ACCESS</t>
  </si>
  <si>
    <t xml:space="preserve">FUNDATIA "CENTRUL DE RESURSE JURIDICE", </t>
  </si>
  <si>
    <t xml:space="preserve">Îmbunătățirea accesului cetățenilor la justiție (în special pentru categoriile aparținând grupurilor vulnerabile) prin informare-conștientizare în rândul cetățenilor si prin creșterea calității serviciilor furnizate de către autoritățile centrale si locale ca urmare a promovării formarii continue a avocaților si specialiștilor din domeniul social si a inter-disciplinari tații în abordarea cazurilor.
Obiectivele specifice ale proiectului
1. Obiectiv specific nr. 1: Creșterea accesului la justiție al cetățenilor prin derularea de campanii naționale de informare si educație
juridica în rândul a peste 6000 de tineri (elevi si studenți) pe durata a 10 luni de implementare.
2. Obiectiv specific nr. 2: Îmbunătățirea serviciilor si a asistentei juridice oferite cetățenilor prin formarea a cel puțin 210 de angajai DGASPC si SPAS la nivel național, în vederea alcătuirii de echipe multidisciplinare (avocați, juriști, asistent social, psiholog) care sa răspundă nevoilor cetățenilor cu privire la accesul la justiție, în cel mult 12 luni de la demararea proiectului .
3. Obiectiv specific nr. 3: Îmbunătățirea serviciilor juridice puse la dispoziția cetățenilor, inclusiv a categoriilor vulnerabile prin crearea unor resurse de învățare si formarea a aprox. 1400 de profesioniști din domeniul juridic (avocați si personal din cadrul
administrației publice cu atribuii în legătură cu activitatea sistemului judiciar) pentru implementarea Noilor Coduri fundamentale
(penal, procedura penala, civil, procedura civila).
4. Obiectiv specific nr. 4: Îmbunătățirea cadrului legislativ în vederea creșterii accesului la justiție al categoriilor
defavorizate/grupurilor vulnerabile prin elaborarea de propuneri de modificare în vederea îmbunătățirii asistenței juridice si
accesului la justiție
</t>
  </si>
  <si>
    <t>DJ</t>
  </si>
  <si>
    <t>Calitate și performanță în administrația publică din județul Brăila</t>
  </si>
  <si>
    <t>Priorități publice de control a poluării atmosferice</t>
  </si>
  <si>
    <t>ECOIMPACT - Asociația Română a Evaluatorilor și Auditorilor de Mediu</t>
  </si>
  <si>
    <t>UNIVERSITATEA DE STIINTE AGRICOLE SI MEDICINA VETERINARA A BANATULUI " REGELE MIHAI I AL ROMANIEI " DIN TIMISOARA</t>
  </si>
  <si>
    <t>Obiectivul general al proiectului il reprezinta dezvoltarea de politici publice alternative in domeniul protectiei mediului corelate cu cerintele europene pentru sectorul emisiilor atmosferice antropice si al calitatii aerului in Romania si dosarul de mediu al tarii noastre.Obiectivele specifice ale proiectului sunt urmatoarele:
OS1 – Elaborarea de politici publice alternative in domeniul emisiilor atmosferice antropice si calitatea aerului in Romania.
OS2 – Dezbatere publica asupra politicii elaborate in vederea prezentarii rezultatelor obtinute si a schimbarii comportamentului si atitudinii opiniei publice privind protectia mediului si dezvoltarea durabila.                              OS3 – Includerea obiectivelor politicilor dezvoltate in documente programatice la nivel national.
OS4 – Formarea unui numar de 60 de persoane implicate in utilizarea si diseminarea politicii dezvoltate in cadrul proiectului.</t>
  </si>
  <si>
    <t>Consolidarea integrității, reducerea vulnerabilităților și a riscurilor de corupție</t>
  </si>
  <si>
    <t>Municipiul Buzău</t>
  </si>
  <si>
    <t>Buzău</t>
  </si>
  <si>
    <t>1. AUTORITATEA NAŢIONALĂ DE MANAGEMENT AL CALITĂŢII ÎN SĂNĂTATE
2. ASOCIATIA NATIONALA PENTRU PROTECTIA PACIENTILOR</t>
  </si>
  <si>
    <t>Societatea Academică din România (SAR)</t>
  </si>
  <si>
    <r>
      <rPr>
        <b/>
        <sz val="12"/>
        <rFont val="Calibri"/>
        <family val="2"/>
      </rPr>
      <t>Obiectivul general</t>
    </r>
    <r>
      <rPr>
        <sz val="12"/>
        <rFont val="Calibri"/>
        <family val="2"/>
        <charset val="238"/>
      </rPr>
      <t xml:space="preserve"> al proiectului vizeaza cresterea capacitatii administratiei publice, a asociatiilor de pacienti si partenerilor sociali in dezvoltarea unui sistem performant de evaluare, benchmarking, optimizare si formulare de politici publice alternative in domeniul sanatatii, avand la baza analize stiintifice privind tehnologiile medicale, prin definirea si aplicarea unor indicatori cheie, adaptati contextului national,
de masurare a cost-eficacitatii interventiilor si investitiilor.
</t>
    </r>
    <r>
      <rPr>
        <b/>
        <sz val="12"/>
        <rFont val="Calibri"/>
        <family val="2"/>
      </rPr>
      <t>Obiectivele specifice ale proiectului</t>
    </r>
    <r>
      <rPr>
        <sz val="12"/>
        <rFont val="Calibri"/>
        <family val="2"/>
        <charset val="238"/>
      </rPr>
      <t xml:space="preserve">
1. Obiectivul specific nr. 1 urmareste dezvoltarea capacitatii a 40 de reprezentanti, provenind din minim 30 de asociatii si federatii de pacienti, de a formula politici publice alternative in domeniul sanatatii, atat la nivel central cat si la nivel local, utilizand instrumente de masura adecvate si recunoscute international privind evaluarea rezultatelor/impactului tehnologiilor medicale, prin organizarea a 2 sesiuni de formare.
2. Obiectivul specific nr. 2 vizeaza imbunatatirea fundamentarii de baze stiintifice a proceselor decizionale orientate catre cetateni, prin aplicarea unei cercetari calitative si cantitative la nivel national de validare a valorilor normative ale instrumentului de evaluare
a calitatii vietii EQ-5D si evaluare a starii de sanatate a populatiei Romaniei.
3. Obiectivul specific nr. 3 îsi propune încurajarea dialogului social si civic intre autoritatile publice, centrale si locale, din domeniul
sanatatii, asociatiile de pacienti si partenerii sociali de profil prin organizarea a doua mese rotunde, in cadrul caror vor fi dezbatute propunerile de politici publice alternative in domeniul evaluarii tehnologiilor medicale.
4. Obiectivul specific nr. 4 tineste aducerea unei contributii semnificative la imbunatatirea rationalizarii cadrului de politica publica privind alocarea resurselor materiale si financiare in domeniul sanatatii, prin formularea si promovarea a 4 politici publice
alternative in domeniul evaluarii tehnologiilor de sanatate.</t>
    </r>
  </si>
  <si>
    <t>„VALUEMED - Elaborarea de politici publice în domeniul sănătății prin utilizarea studiilor de evaluare a tehnologiilor medicale”</t>
  </si>
  <si>
    <t>OS 1 Consolidatea integritatii, reducerea vulnerabilitatilor si a riscurilor de coruptie in cadrul institutiei prin elaborarea, revizuirea si simplificarea procedurilor administrative in materie de etica si integritate. Atingerea acestui obiectiv in cadrul Activitatii 3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3 si 4,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5 cu subactivitatile aferente unde vor avea lor dezbateri publice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25 de persoane din cadrul UAT Municipiul Buzau, personal de conducere si executie din primarie privind masurile de prevenire a coruptiei si a standardelor de integritate. Cresterea gradului de educatie anticorutie se va realiza prin implicarea personalului institutiei locale intr-un program de formare profesionala specifica privind conflictul de interese, etica, integritatea, in urma derularii Activitatii 6.</t>
  </si>
  <si>
    <t>Etică și integritate prin prevenirea și combaterea corupției– EtICo</t>
  </si>
  <si>
    <t>Municipiul Pitești</t>
  </si>
  <si>
    <t xml:space="preserve">Obiectivul general al proiectului il reprezinta cresterea nivelului de etica si integritate la nivelul Municipiului Pitesti prin implementarea unor masuri de prevenire a coruptiei.
Obiectivele specifice ale proiectului
1. Cresterea capacitatii administrative a Municipiului Pitesti de a preveni si reduce coruptia
2. Cresterea nivelului de educatie anticoruptie pentru personalul institutiei
3. Combaterea coruptiei prin dezvoltarea capacitatii analitice de a efectua activitati de evaluare a riscurilor
</t>
  </si>
  <si>
    <t>Politici publice alternative pentru dezvoltare locală competitivă</t>
  </si>
  <si>
    <t>Asociația INACO – Inițiativa pentru Competitivitate</t>
  </si>
  <si>
    <t>Dezvoltarea si introducerea de politici, sisteme si standarde comune alternative în administratia publica ce optimizeaza procesele decizionale din domeniul economic cu accent pe modul participativ de elaborare al bugetelor publice, in
concordanta cu SCAP, pe o perioada de 14 lun</t>
  </si>
  <si>
    <t>AP 2/11i/2.2</t>
  </si>
  <si>
    <t>MaraQuality</t>
  </si>
  <si>
    <t>Județul Maramureș</t>
  </si>
  <si>
    <t>Maramureș</t>
  </si>
  <si>
    <t>Baia Mare</t>
  </si>
  <si>
    <t>„ALTERNATIVe”,</t>
  </si>
  <si>
    <t>ASOCIAȚIA PENTRU DEZVOLTARE DURABILĂ SLATINA</t>
  </si>
  <si>
    <t>Obiectivul general al proiectului este: Cresterea eficienþei administratiei publice cu atributii si rol in dezvoltarea regionala si optimizarea
proceselor decizionale orientate catre cetateni si mediul de afaceri prin crearea unui mecanism complementar de monitorizare a politicilor
publice si de fundamentare a politicilor alternative in domeniul dezvoltarii regionale.
1. OS.1. Construirea unor instrumente si metodologii de abordare sinergica a dezvoltarii regionale.
Prin crearea unui instrument de monitorizare a politciilor publice se doreste nu invalidarea politicilor si corectarea continua a
19
Conform cu originalul semnat in data de 2018.05.30 11:50:43 EEST de catre 2014.mysmis.ro
Generat pentru Mihaela Nicolae
acestora pana la obtinerea rezultatului optim. Dezvoltarea regionala este un domeniu complex si este necesara integrarea in
acelasi intrument de masura si analiza a mai multor domenii cu impact asupra dezvoltarii regionale.
2. OS.2. Cresterea capacitaþii ONG-urilor si partenerilor sociali de a identifica în mod adecvat si pertinent nevoile de dezvoltare
regionala, obstacolele existente si soluþiile care se impun.
Acest obiectiv va fi atins in special prin programul integrat de formare care va oferi reprezentantilor/personalului ONG urilor si
partenerilor sociali un context de cunoastere si formare a competentelor necesare pentru a culege date din terioriu, a le analiza ,
a identifica impactul politicilor publice asupra calitatii vietii cotidiene a cetatenilor si a propune solutii. Culegerea de date statistice
in legatura cu impactul polictilor publice la nivelul cel mai de baza – al utilizatorului/consumatorului/beneficirului final care este
cetateanul- va veni in completarea datelor statistice de tip institutional care sunt culese acum prin mecanismele publice.
Enuntarea unor indicatori noi, moderni aliniati la metolologii internationale va veni sa aduca un plus de calitate bazelor de referinta
pe care se fundamenteaza si monitorizeaza politicicile publice. Personalul ONG urilor si partenerilor sociali care va fi pregatit sa
colecteze si sa utilizeze acesti noi indicatori va constribui la cresterea capacitatii organizatiilor din care provin.
3. OS.3. Cresterea capacitaþii ONG-urilor si partenerilor sociali de a se implica, formula si promova propuneri alternative la politicile
publice initiate de guvern in domeniul dezvoltarii regionale si domeniilor care impacteaza dezvoltare regionala.
Acest obiectiv va fi atins in special prin programul integrat de instruire care va oferi reprezentantilor/personalului ONG urilor si
partenerilor sociali un context de cunoastere si formare a competentelor necesare pentru enunta si promova propuneri alternative
la politicice publice pentru a le corecta sau pentru a oferi posibilitati complementare de solutionare a problemelor. Propunerile de
alternative la politicile publice vor spijini administratia publica sa isi fundamenteze si corecteze in timp real interventiile ducand
astfel la o optimizare a procesului decizional si o reducere a costurilor ce ar fi generate de mentinerea unor interventii cu impact
redus. Vor fi enuntate minim 5 tipuri de propuneri alternative la politici publice conform indicatorilor suplimentari asumati.
4. OS.4. Dezvoltarea formelor de colaborare regionala între partenerii non-guvernamentali co-interesaþi în dezvoltarea regionala.
Prin crearea unei retele nationale colaborative in cadrul careia ONG urile si partenerii sociali vor realiza practic un Share de
expertiza si resurse tehnice, se vor pune premizele consolidarii capacitatii mediului non-guvernamental de a veni cu reactii mai
puternice din punct de vedere consensual si al calitatii fundamentarii, pentru a interveni cu propuneri alternative la politicile
publice ale guvernelor. Pe princpiul &lt;&lt; unde-s multi puterea creste &gt;&gt; organizatiile participante vor primi instrumente de lucru
colaborative necesare pentru a culege informatii impreuna si pentru a-si valorifica specilistii integrat intr-un cadru formal. Acest
obiectiv contribuie la atingerea obiectivului general prin faptul ca mediul non-guvernamental va avea o atitudine de tip participativ
in legatura cu politicile publice si practic isi va aduce resursele in completarea celor guvernamentale reusindu-se astfel o
eficientizare si optimzare a proceselor decizionale orinetate catre cetateni.</t>
  </si>
  <si>
    <t>MINISTERUL MEDIULUI</t>
  </si>
  <si>
    <t>Aplicarea sistemului de politici bazate pe
dovezi în Ministerul Mediului pentru
sistematizarea si simplificarea legislaþiei din
domeniul deseurilor si realizarea unor
proceduri simplificate pentru reducerea
poverii administrative pentru mediul de
afaceri în domeniul schimbarilor climatice</t>
  </si>
  <si>
    <t>Obiectivul general al proiectului/Scopul proiectului
Obiective proiect
Proiectul propus contribuie la dezvoltarea si introducerea de sisteme si standarde comune în administraþia publica ce optimizeaza
procesele decizionale orientate catre cetaþeni si mediul de afaceri în concordanþa cu SCAP.
Prin implementarea acestui proiect se doreste aplicarea sistemului de politici bazate pe dovezi în Ministerul Mediului pentru realizarea:
- Codului Deseurilor prin sistematizarea si simplificarea amplelor reglementari din domeniul deseurilor.
- unor proceduri simplificate pentru reducerea poverii administrative pentru mediul de afaceri în domeniul schimbarilor climatice.
Obiectivele specifice ale proiectului
1. Realizarea unui document de politica publica pentru domeniile deseuri si schimbari climatice
2. Realizarea Codului Deseurilor prin sistematizarea si simplificarea reglementarilor din acest domeniu
3. Realizarea unor proceduri simplificate pentru reducerea poverii administrative pentru agenþii economici din domeniul schimbarilor
climatice</t>
  </si>
  <si>
    <t>AA4/ 30.01.2018
AA5/03.07.2018 prel 6 luni</t>
  </si>
  <si>
    <t>Standarde si politici sustenabile in lucrul cu tinerii din Romania</t>
  </si>
  <si>
    <t>Federatia Young Men's Christian Associations</t>
  </si>
  <si>
    <t>1. Asociatia Young Initiative                                   2. Asociatia Centrul pentru Dezvoltare Comunitara Durabila</t>
  </si>
  <si>
    <t xml:space="preserve">Obiectivul general al proiectului este creşterea capacităţii ONG-urilor de a formula, monitoriza şi evalua politici publice în domeniul lucrului
cu tinerii, atât prin propunerea unor standarde de calitate în lucrul cu tinerii, cât şi prin instruirea membrilor, personalului şi voluntarilor organizaţiilor de tineret în vederea participării active la dezvoltarea şi îmbunătăţirea politicilor de tineret.
</t>
  </si>
  <si>
    <t>Maramures</t>
  </si>
  <si>
    <t>Măsuri pentru prevenirea corupției în administrația publică locală a Municipiului Deva din județul Hunedoara</t>
  </si>
  <si>
    <t>Municipiul Deva</t>
  </si>
  <si>
    <t>Hunedoara</t>
  </si>
  <si>
    <t>Deva</t>
  </si>
  <si>
    <t>Politici publice alternative pentru îmbunătățirea cadrului de organizare și funcționare a învățământului preuniversitar particular (EDU-PART)</t>
  </si>
  <si>
    <t>Asociația Centrul pentru Integritate</t>
  </si>
  <si>
    <t>Ministerul Educatiei Nationale</t>
  </si>
  <si>
    <t>Cresterea coerentei, eficientei, predictibilitatii si transparentei cadrului de organizare si functionare a învatamântului preuniversitar
particular prin dezvoltarea, promovarea si acceptarea de propuneri de politici publice alternative în cadrul unui proces decizional
participativ si consultativ, având ca beneficiari ONG-uri – inclusiv scoli organizate juridic ca asociatii, fundatii s.a., parteneri sociali,
împreuna cu decidenti din administratia publica (Ministerul Educatiei Nationale si/sau institutiile aflate în subordonarea si coordonarea
MEN), toti acestia fiind activ implicati în calitate de reprezentanti ai grupului þinta, în vederea dezvoltarii si introducerii de sisteme si
standarde comune pentru asigurarea unei educatii de calitate în învatamântul preuniversitar particular din România, în concordanta cu
SCAP</t>
  </si>
  <si>
    <t>Certificarea activităților Consiliului Județean Argeș și dezvoltarea abilităților personalului, în concordanță cu prevederile SCAP</t>
  </si>
  <si>
    <t>Județul Argeș</t>
  </si>
  <si>
    <t xml:space="preserve">1. Etapizarea introducerii unui Plan de acțiuni în cadrul Consiliul Judeþean Arges în vederea extinderii sistemului de management al calității și performanței
2. Dezvoltarea și implementarea unui sistem integrat de management al performanței și calității în cadrul Consiliul Județean Argeș corelat cu Planul de acțiuni pentru implementarea SCAP 2014 – 2020
3. Certificarea cunoștințelor și abilităților în domeniul managementului calității și performanței pentru un numar de 80 de persoane din cadrul Consiliului Județean Argeș
4. Certificarea Consiliului Județean Argeș ISO 9001:2015 </t>
  </si>
  <si>
    <t>ALT-POL - Capacitarea uniunilor sindicale
din domeniul sanitar de a formula politici
publice alternative</t>
  </si>
  <si>
    <t>UNIUNEA SINDICALA "SANITAS" BUCURESTI</t>
  </si>
  <si>
    <t>Obiectivul POCA 1.1 vizeaza dezvoltarea si introducerea de sisteme si standarde comune in administratia publica ce optimizeaza procesele decizionale orientate catre cetateni si mediul de afaceri in concordanta cu Strategia pentru Consolidarea Administratiei Publice 2014-2020 (SCAP). In acest sens, obiectivul general al proiectului este de crestere a capacitatii sindicatelor din domeniul sanitar/socio profesional de a participa activ, a sustine si promova reforma in sanatate din Romania, printr-o serie de interventii integrate care sa vizeze grup tinta din regiunile de dezvoltare Bucuresti Ilfov si Centru si prin care sa se obtina capacitarea institutiilor vizate pentru formularea si
promovarea alternativelor la politicile publice initiate de Guvern.
Obiectivele specifice ale proiectului
1. OS 1 Cresterea calitatii procesului decizional prin capacitarea a doi parteneri sociali din domeniul sanitar si o organizatie non
guvernamentala relevanta printr-o serie de interventii integrate care cuprind formare profesionala specifica (8 serii a cate 12,
respectiv 16 participanti), evenimente de instruire la nivel national (3 scoli de vara) si masuri suplimentare de crestere a capacitatii
partenerilor sociali de a formula politici publice alternative (1 instrument de monitorizare, 1 studiu al evolutiei reformei in sanatate,
1 ABC sindical, 1 strategie de advocacy, etc.).
2. OS 2 Cresterea gradului de implicare a partenerilor sociali in procesul decizional la nivel local si central prin imbunatatirea
capacitatii de a promova si de a se angaja in procese reale de reforma in domeniul sanitar/socio profesional prin
formarea/informarea/instruirea a 120 de reprezentanti sindicali.
3. OS 3 Reducerea disparitatilor dintre regiunile de dezvoltare are Romaniei, prin implicarea intr-un ciclu integrat de activitati a unui
grup tinta total de 120 de persoane care sa provina din regiunile Bucuresti Ilfov si Centru, tinand cont de faptul ca Acordul de
parteneriat cu Romania pentru perioada 2014-2020 subliniaza diferente notabile in ceea ce priveste gradul de dezvoltare a
acestor doua zone de dezvoltare.
Conform cu originalul semnat in data de 2018.06.07 08:27:47 EEST de catre 2014.mysmis.ro
Generat pentru Mihaela Nicolae
4. OS 4 Cresterea capacitatii institutionale de coordonare intre politicile elaborate in domeniile sanitar si socio profesional prin
elaborarea unui instrument independent sub forma unui raport civic bilunar in scopul de a monitoriza/evalua progresul/impactul
politicilor publice relevante pentru reforma in sanatate.
5. OS 5 Dezvoltarea capacitatii de formulare a alternativelor la politicile publice prin suport acordat pentru intelegerea conceptului de
advocacy prin dezvoltarea unui parteneriat operational intre parterii sociali, mediul academic si alti factori relevanti, elaborarea
unei strategii de advocacy relevanta la nivel national in randul partenerilor sociali din domeniul sanitar/socio profesional si
organizarea unei campaniii de advocacy, cu implicarea organizatiilor sindicale la nivel national.
6. OS 6 Cresterea capacitatii partenerilor sociali din domeniile sanitar si socio profesional prin sprijinirea acestora in dezvoltarea
tehnica/administrativa (achizitionare website, dotare cu laptopuri si multifunctionala, etc.)</t>
  </si>
  <si>
    <t>1.SINDICATUL SANITAS COVASNA
2. FUNDATIA EUROACCES</t>
  </si>
  <si>
    <t>Reteaua Nationala a Organisméøór Rome RNOR</t>
  </si>
  <si>
    <t>Asociatia Centrul de Resurse APOLLO</t>
  </si>
  <si>
    <t>Obiectivul general al proiectului: Cresterea capacitatii ONG-urilor rome de a se implica in formularea si propunerea de masuri alternative la politicile publice pentru romi initiate de Guvern. Obiective specifice:OS1. Cresterea gradului de instruire in domeniile politici publice pentru romi si promovare politici publice catre autoritaþi a 32 de reprezentanþi ai ONG-urilor rome de la nivel naþional în termen de 16 luni
2. OS2. Dezvoltarea si promovarea de politica publica alternativa în domeniul Strategia de îmbunataþire a situaþiei romilor de
reprezentanti ai 16 ONG-uri rome in termen de 16 luni</t>
  </si>
  <si>
    <t>Cresterea capacitatii PTIR de a formula politici publice alternative in domeniul debirocratizarii si
simplificarii procedurilor aplicabile mediului de afaceri</t>
  </si>
  <si>
    <t>ASOCIATIA "PATRONATUL TINERILOR INTREPRINZATORI DIN ROMANIA"</t>
  </si>
  <si>
    <t>Obiectivul general al proiectului este reprezentat de cresterea capacitatii Patronatului Tinerilor Intreprinzatori din Romania de a elabora,
fundamenta si sustine politici publice in domeniul sau de activitate, pentru a sprijini dezvoltarea competitivitatii sectorului IMM si pentru a
facilita adaptarea administratiei publice din Romania la nevoile reale ale mediului de afaceri. Elementul central al proiectului este
debirocratizarea si simplificarea procedurilor aplicabile mediului de afaceri, prin reducerea sarcinilor administrative impuse acestuia, cu
accent pe obtinerea autorizatiei de functionare a IMM-urilor, a avizelor si a acordurilor aferente</t>
  </si>
  <si>
    <t>Cresterea implicarii ONG-urilor si partenerilor sociali in promovarea politicilor pulbice alternative
pentru copiii cu TSA (ONGPP)</t>
  </si>
  <si>
    <t>ASOCIATIA HELP AUTISM</t>
  </si>
  <si>
    <t>Obiectivul general: Cresterea capacitatii ONG-urilor de la nivel national de a formula politici publice alternative in domeniul furnizarii
serviciilor specializate integrate adresate copiilor cu tulburari din spectrul autist si familiilor lor, intr-un orizont de timp de 16 luni.Rezultat program 1 - Capacitate crescuta a ONG-urilor si partenerilor sociali de a se implica în formularea si promovarea de propuneri alternative la politicile publice iniþiate de Guvern;  - Rezultat proiect 1 - Personal din ONG-uri instruiti în domeniul advocacy.;Rezultat proiect 2 politica publica alternativa în domeniul furnizarii
de servicii integrate si personalizate (sociale, educationale si de sanatate) adresate copiilor cu tulburari din spectrul autist si familiilor acestora elaborata;Rezultat proiect 3 - Instrument independent de monitorizare a politicii publice in domeniul interventiilor asupra copiilor cu tulburari din spectrul autist si familiilor lor;Rezultat program 2 - Propuneri alternative la politicile publice venite din partea ONG-urilor, acceptate; - Rezultat proiect 4 -
 politica publica alternativa în domeniul furnizarii de servicii specializate integrate de sanatate, educatie si sociale adresate
copiilor cu tulburari din spectrul autist si familiilor lor promovata si acceptata</t>
  </si>
  <si>
    <t>Galati</t>
  </si>
  <si>
    <t xml:space="preserve">Asociația Transparență pentru Integritate   </t>
  </si>
  <si>
    <t>Transparență, etică și integritate prin parteneriat social</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</si>
  <si>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</si>
  <si>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 xml:space="preserve">Obiectivul general al proiectului este: sprijinirea masurilor de prevenire a corupþiei la nivelul Primariei Municipiului Caracal.
Obiectivele specifice ale proiectului
1. OS1: Aplicarea unitara a normelor, mecanismelor si procedurilor în materie de etica si integritate la nivelul Primariei Municipiului
Caracal
2. OS2: Cresterea gradului de implementare a masurilor referitoare la prevenirea corupþiei si a indicatorilor de evaluare în
autoritaþile si instituþiile publice
3. OS3: Îmbunataþirea cunostinþelor si a competenþelor personalului din Primaria Municipiului Caracal în ceea ce
priveste prevenirea corupþiei.
</t>
  </si>
  <si>
    <t>121- Pregatire, punere în aplicare, monitorizare si inspectare</t>
  </si>
  <si>
    <t>„Sprijinirea sistemului de învățământ superior privind combaterea exodului absolvenților de studii superioare prin creșterea capacității societății civile de a formula politici publice – EXCELENȚA”</t>
  </si>
  <si>
    <t>Asociația Excelsior pentru Excelență în Educație</t>
  </si>
  <si>
    <t xml:space="preserve">Obiectivul general al proiectului este de imbunatatire a procesului de elaborare participativa a politicilor publice in domeniul invatamantului superior, pentru promovarea unor masuri alternative de insertie/ocupare pe piata muncii in randul studentilor si a absolventilor de studii superiore, precum si reducerea fenomenului de migratie a acestora pentru gasirea unui loc de munca in alte tari,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Obiectivele specifice ale proiectului
1.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in domeniul invatmantului superior pentru promovarea unor masuri alternative de insertie/ocupare pe piata muncii in randul studentilor si a absolventilor de studii superiore, precum si
reducerea fenomenului de migratie a acestora pentru gasirea unui loc de munca in alte tari.
2. Obs.2) Cultivarea si dezvoltarea cunostintelor, competentelor si abilitatilor a 40 persoane din Gupul tinta, reprezentanti ai ONGului, in urma participarii la sesiuni de instruire in formularea politicilor publice si in mananagement strategic, inclusiv prin abordarea temelor de devoltare durabila, egalitate de sanse si nediscriminare.
3. Obs.3) Formularea si promovarea a cel putin 2 politici publice in domeniul invatamantului superior, care vin in sprijinul dezvoltarii facilitatilor necesare reducerii exodului de studenti si absolventi, ca urmare a dezvoltarii unui mecanism performant si profesionist (caravana nationala sub forma unor evenimente de tip „masa rotunda”, cu aplicabilitate de workshop), pentru formularea si promovarea de politici publice alternative.
4.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
</t>
  </si>
  <si>
    <t>Targu-Jiu</t>
  </si>
  <si>
    <t>Educarea și conștientizarea personalului cu risc de corupție din cadrul UAT Sector 4, prin implementarea unor măsuri preventive anticorupție</t>
  </si>
  <si>
    <t>Cresterea transparenþei, eticii si integritaþii la nivelul Sectorului 4 al Municipiului Bucuresti, prin implementarea unor mecanisme care sa faciliteze punerea in aplicare a cadrului legal in domeniul eticii si integritatii, imbunataþirea cunostinþelor si a competenþelor personalului propriu, precum si implementarea unor mecanisme de cooperare cu societatea civila. OS. 1. Sustinerea dezvoltarii si implementarii unor unor mecanisme care sa faciliteze punerea în aplicare a cadrului legal în domeniul eticii si integritaþii la nivelul UAT Sector 4; OS 2. Cultivarea si dezvoltarea cunostintelor, competentelor si abilitatilor personalului propriu din administratia publica locala, prin participarea la programe de formare pentru prevenirea coruptiei si la programe de formare privind etica si integritatea, inclusiv prin abordarea temelor de devoltare durabila, egalitate de sanse, nediscriminare si egalitate de gen; OS 3. Sustinerea dezvoltarii si implementarii unor mecanisme de cooperare cu societatea civila si alte autoritati/institutii publice,
prin organizarea unor grupuri de lucru si a unui instrument de semnalare evenimente, cooperare si colaborare cu cetatenii, in vederea implementarii masurilor anticoruptie</t>
  </si>
  <si>
    <t>Implementarea, certificarea sistemului de management al calității conform standardului ISO 9001 la Consiliul Județean Arad</t>
  </si>
  <si>
    <t>Județul Arad</t>
  </si>
  <si>
    <t xml:space="preserve">n.a </t>
  </si>
  <si>
    <t>Optimizarea activitaþii la nivelul Consiliului Judeþean Arad prin introducerea sistemului de management al calitaþii ISO 9001. OS1 Implementarea sistemului de management al calitaþii si obþinerea certificarii ISO 9001 ; OS2 Îmbunataþirea cunostinþelor si abilitaþilor angajaþilor Consiliului Judeþean Arad, prin instruirea si diseminarea rezultatelor în urma implementarii standardelor ISO 9001, care sa asigure o mai buna administrare a patrimoniului judeþului si organizarea mai eficienta</t>
  </si>
  <si>
    <t>Politici publice alternative pentru dezvoltarea planurilor de acțiune de eficientizare energetica</t>
  </si>
  <si>
    <t>Asociația "Agenția pentru Eficiența Energetică și Protecția Mediului"</t>
  </si>
  <si>
    <t>OBIECTIV GENERAL:
Dezvoltarea capacitatii de formulare si promovare a propunerilor de politici publice de catre AEEPM, 4 parteneri sociali cu
reprezentativitate nationala (UGIR, CNIPMMR, BNS si CNSRL Fratia) si alte 4 filiale ale acestora (in total 8 parteneri sociali) si 4 ONG-uri
(ALE Alba, AME Maramures, AEEERP Prahova, AME Timis) pentru dezvoltarea unui set de propuneri de politici publice in domeniul
asigurarii eficientei energetice la nivelul comunitatilor locale prin elaborarea siimplementarea planurilor de eficienta energetica. OG al
proiectului vizeaza formularea de alternative cu privire la legea eficientei energetice (Legea 121/2014 reactualizata)</t>
  </si>
  <si>
    <t>„Creșterea capacității ONG-urilor de a formula și promova propuneri alternative la politicile publice inițiate de Guvern în domeniul egalității de șanse între femei și bărbați”</t>
  </si>
  <si>
    <t xml:space="preserve">Asociația Regională Pentru Dezvoltare Socială </t>
  </si>
  <si>
    <t>ASOCIAȚIA REGIONALĂ PENTRU PROMOVAREA CAPITALULUI UMAN</t>
  </si>
  <si>
    <t>Obiectivul general al proiectului este imbunataþirea capacitatii a 2 ONG-urilor din regiunile mai putin dezvoltate de a formula si promova
propuneri alternative la politicile publice initiate de Guvern in domeniul egalitatii de sanse intre femei si barbati. Acest obiectiv se va
indeplini prin cresterea intensitatii participarii ONG-urilor la procesul de luare al deciziilor la nivel guvernamental prin dezvoltarea unui
instrument electronic de monitorizare a politicilor publice, prin analiza situatiei actuale si prin organizarea de sesiuni de formare pentru 160
de persoane, reprezentanti ai ONG-urilor. Obiectivul General contribuie la indeplinirea OS 1.1 - Dezvoltarea si introducerea de sisteme si
standarde comune în administraþia publica ce optimizeaza procesele decizionale orientate catre cetaþeni si mediul de afaceri în
concordanþa cu SCAP - al Programului Operational Capacitate Administrativa prin cresterea capacitatii organizationale a 2 ong-uri, 1
propunere alternativa la politica publica in domeniul de interventie al proiectului elaborata si aprobata/acceptata si 160 de reprezentanti ai
ONG-urilor formati. Aceste direcþii propuse de proiect se desprind din documentul Strategia Europa 2020, ce reprezinta esenþa politicii de
dezvoltare europena, agreata la nivel UE, si pe care România si-a asumat-o.</t>
  </si>
  <si>
    <t>Dezvoltarea parteneriatului dintre ONG-uri si administratie pentru promovarea modalitatilor durabile de
transport in interiorul localitatilor</t>
  </si>
  <si>
    <t>AGENTIA PTR.DEZVOLTARE REGIONALA A REGIUNII DE DEZVOLTARE SUD-EST</t>
  </si>
  <si>
    <t>Obiectivul general al proiectului consta in cresterea capacitatii ONG-urilor si a partenerilor sociali din cele opt Regiuni de Dezvoltare ale
Romaniei de a formula propuneri de politici publice alternative care promoveaza mersul pe bicicleta. Prin obiectivul sau general, proiectul
contribuie la realizarea obiectivului specific 1.1 – „Dezvoltarea si introducerea de sisteme si standarde comune in administratia publica ce
optimizeaza procesele decizionale orientate catre cetateni si mediul de afaceri in concordanta cu Stategia pentru Consolidarea
Administratiei Publice - SCAP”, aferent axei prioritare 1 – Administratie publica si sistem judiciar eficiente, din cadrul Programului
Operational Capacitate Administrativa 2014-2020.</t>
  </si>
  <si>
    <t>ASOCIAȚIA ORGANIZAȚIA PENTRU
PROMOVAREA TRANSPORTULUI
ALTERNATIV ÎN ROMÂNIA</t>
  </si>
  <si>
    <t>Brăila</t>
  </si>
  <si>
    <t>DISC-Dezvoltarea Integrată a Sistemului Calității</t>
  </si>
  <si>
    <t>Municipiul Botoșani</t>
  </si>
  <si>
    <t>Obiectiv general: Dezvoltarea unui Sistem de Management al Calitaþii si Performanþei unitar si eficient, prin standardizarea proceselor de lucru, dezvoltarea unui sistem informatic inovativ de management al documentelor, recertificarea SR EN ISO 9001 si pregatirea resursei umane din cadrul
UAT Municipiul Botosani, în scopul consolidarii unui management performant si optimizarii proceselor orientate catre beneficiari. Obiectiv Specific 1.Standardizarea proceselor de lucru la nivelul UAT Municipiul Botosani, asigurarea eficientizarii acestora si corelarii între sistemul de management al calitaþii si performanþei cu sistemul de control intern managerial, precum si recertificarea SR EN ISO 9001, în scopul optimizarii proceselor orientate catre beneficiari în concordanþa cu SCAP si al consolidarii capacitaþii instituþionale a UAT Municipiul Botosani
Obiectiv Specific 2.Implementarea unui sistem informatic inovativ de management al proceselor si documentelor la nivelul UAT Municipiul Botosani, în vederea dezvoltarii si consolidarii Sistemului de Management al Calitaþii si Performanþei, necesar cresterii calitaþii si a accesibilitaþii serviciilor publice.Obiectiv Specific 3.Îmbunataþirea cunostinþelor si abilitaþilor a 150 de persoane, personalul din cadrul UAT Municipiul Botosani privind implementarea, respectarea si actualizarea continua a standardelor de management al calitaþii, prin sesiunile de formare profesionala clasica si e-learning, acþiuni de networking si schimb de bune practici, în vederea sprijinirii masurilor si acþiunilor de OS2.1 si implicit de proiect pentru optimizarea proceselor orientate catre beneficiari</t>
  </si>
  <si>
    <t>Botoșani</t>
  </si>
  <si>
    <t>Monumente istorice - planificare strategica si politici publice optimizate</t>
  </si>
  <si>
    <t>MINISTERUL CULTURII SI IDENTITATII NATIONALE</t>
  </si>
  <si>
    <t>INSTITUTUL NATIONAL AL PATRIMONIULUI/Direcþia Patrimoniu Imobil</t>
  </si>
  <si>
    <t xml:space="preserve">
Obiectivul general al proiectului:
Optimizarea si eficientizarea actului administrativ, legislativ si decizional în administraþia centrala si serviciile sale deconcentrate în domeniul patrimoniului cultural naþional
Obiectivele specifice ale proiectului:
1. Sistematizarea si simplificarea fondului legislativ activ din domeniul patrimoniului cultural naþional
2. Crearea cadrului strategic si operaþional pentru realizarea de politici bazate pe dovezi în domeniul patrimoniului imobil</t>
  </si>
  <si>
    <t>Servicii de consiliere juridică pentru victime ale unor abuzuri sau nereguli din administrație și justiție</t>
  </si>
  <si>
    <t>Asociația Romana pentru Transparenta</t>
  </si>
  <si>
    <t>1.  UNIVERSITATEA "ALEXANDRU IOAN CUZA" din IASI/Rectorat, 
2. UNIVERSITATEA ,, LUCIAN BLAGA '' DIN SIBIU/rectorat,
3. UNIVERSITATEA BABES BOLYAI/RECTORAT,
 4. UNIVERSITATEA BUCURESTI,
5. UNIVERSITATEA DE VEST TIMISOARA,
6. UNIVERSITATEA DIN CRAIOVA</t>
  </si>
  <si>
    <t>Obiectivul general al proiectului este creșterea accesului la justiție pentru cetățenii, în special pentru cei aparținând grupurilor vulnerabile, care sunt victime ale unor abuzuri sau nereguli din administrația publică și sistemul judiciar, prin crearea şi operaționalizarea unei rețele de centre de documentare și asistență. Existența unor centre de asistență și documentare permite de asemenea, dezvoltarea capacității profesioniștilor în domeniul dreptului de a-și reprezenta interesele și/sau clienții în litigiile sau conflictele pe care le au cu autoritățile administrației publice sau cu instituțiile din sistemul judiciar. Mai mult decât atât, având în vedere că cetățenii care aparțin unor GRUPURI VULNERABILE, sunt mai expuși decât media, unor nereguli sau abuzuri în administrație sau justiție, este necesară creșterea capacității persoanelor care desfășoară sau sunt autorizate să desfășoare o activitate juridică, a specialiștilor în domeniul dreptului și a personalului din cadrul instituțiilor din sistemul judiciar, de a lucra cu persoanele din grupurile vulnerabile. În acest moment, facultățile de drept, Institutul Național pentru Pregătirea și Perfecționarea Avocaților, Institutul Național al Magistraturii, Școala Națională de Grefieri, facultățile de administrație publică la ciclul de licență, nu oferă pregătire (nici măcar un curs) privind modul de relaționare profesională al specialiștilor în drept cu justițiabilii care fac parte din grupuri vulnerabile, având abilități foarte slab dezvoltate (fără educație, analfabeți), dizabilități fizice, persoane aparținând unor minorități naționale, refugiați sau solicitați de azil care nu stăpânesc limba română etc. Prin activitățile sale, proiectul va crește ACCESUL LA JUSTIŢIE, în special pentru persoanele aparținând grupurilor vulnerabile, mai ales în LITIGIILE de contencios administrativ și litigii de asigurări sociale, și va promova căi alternative de rezolvare a litigiilor, pe cale administrativă, inclusiv prin jurisdicțiile speciale administrative. Astfel, intervenția are în vedere că printre cele mai prezente probleme de acces la justiție pentru persoanele din GRUPURI VULNERABILE sunt cele în care cetățenii sunt victime ale unor abuzuri, sau neglijențe din administrația publică și adresează în primul rând aceste nevoi.</t>
  </si>
  <si>
    <t>Simplificarea legislației în domeniile resurselor minerale și societăților cu capital de stat</t>
  </si>
  <si>
    <t>Obiectivul general al proiectului se refera la adoptarea unei abordari moderne si inovatoare, axata pe facilitarea dezvoltarii socio-economice a þarii, prin intermediul unor servicii publice, investiþii si reglementari de calitate.
Obiectivele specifice ale proiectului
1. OS.1. Simplificarea si sistematizarea fondului activ al legislaþiei din domeniul resurselor minerale si societaþilor cu capital de stat
în concordanþa cu Strategia pentru mai buna reglementare 2014-2020:
- Stabilirea principalelor domenii asupra carora urmeaza a se interveni în scopul simplificarii si stabilirea criteriilor de prioritizare a
actelor normative aferente domeniilor selectate.
- Analiza stocului legislativ selectat si propunerea celor mai potrivite metode de simplificare.
- Îmbunataþirea accesului la informaþii publice în format reutilizabil.
2. OS.2. Elaborarea politicilor publice bazate pe dovezi prin:
- Implicarea stakeholderilor înca din etapele iniþiale ale procesului de formulare a politicilor publice si a reglementarilor;
- Promovarea strategiilor si politicilor adoptate prin intermediul unor campanii de comunicare;
- Crearea unui grup de experþi la nivelul Ministerului Economiei.</t>
  </si>
  <si>
    <t>Combaterea fraudei alimentare la nivel național prin creșterea capacității societății civile de a formula politici publice</t>
  </si>
  <si>
    <t>Asociația Corpul Experților în Siguranță Alimentară (CESA)</t>
  </si>
  <si>
    <t>Obiectivul general al proiectului este de imbunatatire a procesului de elaborare participativa a politicilor publice pentru prevenirea fraudei
alimentare si pentru asigurarea sigurantei alimentare in cadrul produselor romanesti si in cadrul produselor certificate Halal si Kosher, dar
si pentru reglementarea acestei proceduri de certificare,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t>
  </si>
  <si>
    <t>Dezvoltarea capacitatii sectorului ONG de formulare a politicilor publice in vederea optimizarii procesului de implementare a Programelor Operationale finantate prin fondurile europene structurale si de investitii (FESI) 2014-2020</t>
  </si>
  <si>
    <t>Asociatia Consultantilor din Romania pentru Accesarea Fondurilor Europene</t>
  </si>
  <si>
    <t>Obiectivul general al proiectului este cresterea capacitatii administrative a ACRAFE in vederea elaborarii unei politici publice cu impact
asupra optimizarii procedurilor de lucru existente la nivelul institutiilor implicate in coordonarea, gestionarea si controlul fondurilor ESI
2014-2020, integrata in mod coerent in politicile existente si care sa contribuie la imbunatatirea si accelerarea procesului de absorbtie a
fondurilor europene in Romania.</t>
  </si>
  <si>
    <t>Obiectivul general: creșterea transparenței actului administrativ în România prin impementarea de mecanisme și măsuri de prevenire a fenomenului de corupție, precum și pregătirea personalului din instituțiile publice în acest sens. OS1 - Implementarea în instituția publică solicitantă a unei proceduri interne specifice care are ca finalitate dezvoltarea spiritului etic și integritatea funcționarilor în exercitarea actului administrativ; OS2 - Elaborarea unui ghid de bune practici în instituția ăublică solicitantă cu scopul de a preveni corupția și conflictele de interese în APL și de astbili indicatori specifice de evaluare; OS3 - Organizarea  a 1 campanie și 1 workshop de conștientizare publică a fenomenului de corupție și promovarea transparenței în APL percum și educația anticorupței; OS4 - Formarea personalului autorității publice solicitante (30 pers.) în vederea prevenirii și limitării fenomenului de corupție în instituțiile publice locale</t>
  </si>
  <si>
    <t>Obiectivul general: eficientizarea activității administrației publice locale din județul Brăila prin implementarea unui sistem unitar de management al calității, în concordanță cu Planul de acțiuni pentru implementarea etapizată a managementului calității în autorități și instituții publice 2016-2020. OS1 - Implementarea și certificarea sistemului de management al calității ISO 9001-2015 pentru serviciile către cetățeni, la nivelul CJ Brăila și al unor instituții subordonate; OS2 - Creșterea performanței organizaționale a CJ Brăila prin implementarea instrumentului de auto-evaluare a modului de funcționare a instituiilor administrației publice (CAF); OS3 - Formarea specifică a personalului din cadrul APL din județul Brăila pentru implementarea sistemului de management al calității, în vederea obținerii de beneficii durabile</t>
  </si>
  <si>
    <t>Județul Brăila</t>
  </si>
  <si>
    <t>Dezvoltarea sistemului de management anticorupíe la nivelul judeúlui Giurgiu - SisABC</t>
  </si>
  <si>
    <t>Fundația Centrul de Resurse Juridice</t>
  </si>
  <si>
    <t>Obiectivul general: Consolidarea și certificarea conform standardului ISO 37001 a sistemului de management anticorupție la nivelul județului Giurgiu în conformitate cu cele mai bune practici promovate de Strategia Națională Anticorupție 2016-2020. OS1 - Prevenirea și combaterea corupției în cadrul CJ Giurgiu și instituțiilor subordonate prin consolidarea cadrului procedural și îmbunătățirea cunoștințelor și  abilităților personalului; OS2 - Prevenirea și combaterea corupției la nivelul a 10 UAT pilot, prin îndrumare metodologică cu privire la cadrul procedural și dezvoltarea cunoștințelor necesare dezvoltării și implementării sistemului de management anticorupție; OS 3 - Elaborarea și implementarea unor mecanisme de cooperare cu societatea civilă, precum și între autoritățile publice privind monitorizarea și evaluarea implementării măsurilor anticorupție</t>
  </si>
  <si>
    <t>Județul Giurgiu</t>
  </si>
  <si>
    <t>Sisteme, standarde si procese eficientizate si optimizate in cadrul Primariei Municipiului Codlea</t>
  </si>
  <si>
    <t>Obiectivul general:Introducerea si implementarea unitara a instrumentului specific ISO 9001, in vederea dezvoltarii unui sistem optim, unitar si performant de management al calitatii si al performantei, in cadrul administratiei publice locale a Municipiului Codlea.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Codlea,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</si>
  <si>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Îmbunătățirea capacității administrației publice locale de a furniza servicii în baza principiilor de etică, transparență și integritate</t>
  </si>
  <si>
    <t>Județul Călărași</t>
  </si>
  <si>
    <t>Obiectivul general al proiectului - Cresterea transparenței, eticii si integritații la nivelul Judetului Calarasi, prin intermediul unor activitati care vizeaza identificarea riscurilor si vulnerabilitatilor la coruptie, realizarea de mecanisme si proceduri anticoruptie si aplicarea unitara a acestora, realizarea unor mecanisme de cooperare cu societatea civila, precum si imbunataþirea cunostinþelor si a competenþelor personalului propriu.
Os.1) Cresterea gradului de dezvoltare a capacitatii analitice a UAT-ului, de a efectua activitaþi de evaluare a riscurilor si vulnerabilitatilor in vederea realizarii de actiuni concrete si eficiente de prevenire si combatere a coruptiei.
Os.2) Cresterea gradului de dezvoltare si implementare a unor proceduri de identificare a riscurilor si vulnerabilitatilor la coruptie, precum si a unor masuri concrete si modalitati de monitorizare permanenta a aplicarii acesteia, la nivel de UAT.
Os.3)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Os.4) Sustinerea dezvoltarii si diseminarii unui instrument pentru facilitarea intelegerii mecanismelor de aplicare a cadrului legal in domeniul eticii si integritatii, prin modele de buna practica.
Os.5) Cresterea gradului de informare a cetatenilor, prin organizarea si implementarea unei campanii inovative de educatie anticoruptie in randul acestora.
Os.6) Cultivarea si dezvoltarea cunostintelor, competentelor si abilitatilor angajatilor din administratia publica locala, prin participarea la programe de educatie in domeniul prevenirii si combaterii coruptiei, precum si de dobandire de competente privind</t>
  </si>
  <si>
    <t>Sa spunem NU coruptiei</t>
  </si>
  <si>
    <t>Județul Sibiu</t>
  </si>
  <si>
    <t>Asociația Română Pentru Transparență</t>
  </si>
  <si>
    <t>OBIECTIV GENERAL: Îmbunataþirea capacitaþii administrative a Consiliului Judeþean Sibiu de a creste integritatea si preveni corupþia, prin dezvoltarea si implementarea unui standard de integritate, prin dezvoltarea si implementarea unui mecanism de cooperare cu societatea civila si prin cresterea nivelului de educaþie anticorupþie a personalului din cadrul instituþiei.
Obiectivele specifice ale proiectului
1. OBIECTIV SPECIFIC 1: Dezvoltarea unui standard de integritate, ca mecanism aplicabil la nivelul CJ Sibiu, în corespondenþa cu SNA 2016-2020 si raportat la SCAP, prin Elaborarea a minimum 5 politici si proceduri operaþionale/de sistem, cu indicatorii aferenþi si prin dezvoltarea unui sistem de avertizare a iregularitaþilor si a posibilelor fapte de corupþie la nivelul instituþiei publice.
2. OBIECTIV SPECIFIC 2: Implementarea unui standard de integritate, mecanism aplicabil în cadrul CJ Sibiu în vederea cresterii integritaþii si reducerii vulnerabilitaþii la corupþie, implementat prin Hotarâre de CJ, cu ajutorul unui manual de implementare elaborat în cadrul proiectului.
3. OBIECTIV SPECIFIC 3: Dezvoltarea si implementarea unui mecanism de cooperare cu societatea civila pentru monitorizarea si evaluarea implementarii masurilor anticorupþie la nivelul CJ Sibiu, în scopul monitorizarii si evaluarii implementarii masurilor anticorupþie aplicabile la nivel de instituþiei, în corelare cu Strategia Naþionala Anticorupþie 2016-2020.
4. OBIECTIV SPECIFIC 4: Cresterea nivelului de educaþie anticorupþie în rândul personalului de conducere si execuþie din cadrul instituþiei CJ Sibiu, prin organizarea de cursuri de formare/ perfecþionare în domeniul prevenirii corupþiei, eticii si integritaþii.</t>
  </si>
  <si>
    <t>Sibiu</t>
  </si>
  <si>
    <t>Cresterea capacitatii administrative a Municipiului Constanta prin implementarea de masuri in
domeniul anticoruptiei</t>
  </si>
  <si>
    <t xml:space="preserve">Obiectivul general al proiectului il reprezintă creșterea transparentei, eticii si integrității în cadrul Primăriei Constanta, in decursul a 16 luni, prin realizarea unei proceduri operaționale anticorupție, a unui ghid/manual bune practici de etica si integritate si instruirea personalului propriu in vederea aplicării masurilor de prevenire a corupției.
Obiectivele specifice ale proiectului
1. OS1. Realizarea unui ghid/procedura operaționala privind corupția si masurile necesare de prevenire a acesteia
2. OS2. Realizarea unei campanii pentru educarea comportamentului anticorupție
3. OS3. Instruirea angajaților Primăriei municipiului Constanta in domeniul anticorupție, eticii si integrității (40 de persoane).
</t>
  </si>
  <si>
    <t>0,00</t>
  </si>
  <si>
    <t>Politici publice alternative în domeniul calității aerului</t>
  </si>
  <si>
    <t>Asociația „Breasla Constructorilor Ieșeni”</t>
  </si>
  <si>
    <t>Asociația Creștem România Împreună / Grupul de Inițiativă în Promovarea Opiniei Publice - GIPRO /  Asociația Eco Natura Comunității Băicoi / Asociația ,,Organizația Huțul-Eko” Brodina</t>
  </si>
  <si>
    <r>
      <rPr>
        <b/>
        <sz val="12"/>
        <rFont val="Calibri"/>
        <family val="2"/>
        <scheme val="minor"/>
      </rPr>
      <t>Obiectivul general</t>
    </r>
    <r>
      <rPr>
        <sz val="12"/>
        <rFont val="Calibri"/>
        <family val="2"/>
        <charset val="238"/>
        <scheme val="minor"/>
      </rPr>
      <t xml:space="preserve"> consta in dezvoltarea capacitatii ONG-urilor de a dezvolta politici publice alternative, în vederea optimizarii proceselor decizionale ale administratieipublice, orientate catre cetateni si mediul de afaceri.</t>
    </r>
    <r>
      <rPr>
        <b/>
        <sz val="12"/>
        <rFont val="Calibri"/>
        <family val="2"/>
        <scheme val="minor"/>
      </rPr>
      <t xml:space="preserve"> Obiective specifice:</t>
    </r>
    <r>
      <rPr>
        <sz val="12"/>
        <rFont val="Calibri"/>
        <family val="2"/>
        <charset val="238"/>
        <scheme val="minor"/>
      </rPr>
      <t xml:space="preserve"> 1) Cresterea capacitaþii de a dezvolta politici publice alternative pentru cele 5 ONG-uri (1 solicitant si 4 parteneri); 2)Dezvoltarea abilitaþilor pentru cel putin 15 persoane (reprezentanti ONG) în realizarea de campanii de advocacy si dezvoltarea de politici publice alternative, pâna la finalul implementarii proiectului; 3) Dezvoltarea de politici publice alternatve în domeniul evaluarii si gestionarii calitaþii aerului pâna la finalul implementarii proiectului.</t>
    </r>
  </si>
  <si>
    <t>Iasi</t>
  </si>
  <si>
    <t>Optimizarea standardelor de calitate in sistemul public al Municipiului Timisoara</t>
  </si>
  <si>
    <t>Municipiul Timișoara</t>
  </si>
  <si>
    <t>Obiectivul general al proiectului este completarea sistemelor de management al calitatii existente la nivelul administratiei publice a Municipiului Timisoara, in vederea consolidarii capacitatii institutionale a Municipiului Timisoara si adaptarii serviciilor adresate cetatenilor.</t>
  </si>
  <si>
    <t>Timișoara</t>
  </si>
  <si>
    <t>Zalau</t>
  </si>
  <si>
    <t>Salaj</t>
  </si>
  <si>
    <t>Implementarea Sistemului de Management al Calitatii si Performantei conform SR EN ISO 9001:2015 în cadrul Consiliului Judetean Salaj</t>
  </si>
  <si>
    <t xml:space="preserve">Dezvoltarea de sisteme si standarde comune în administratia publica locala pentru optimizarea implementarii unitare a managementului calitatii si performantei în concordanta cu SCAP 2014 - 2020
Obiectivele specifice ale proiectului:
OS1. Cresterea capacitatii Consiliului Judetean Salaj pentru implementarea unitara a managementului calitatii si performantei într-un mod durabil în concordanta cu masurile stabilite în Planul de actiuni pentru implementarea etapizata a managementului calitatii în autoritati si institutii publice 2016–2020 si a Programului de îmbunatatire a calitatii 2017–2018, prin utilizarea Sistemului de Management al Calitaþii si Performanþei conform SR EN ISO 9001:2015
OS2. Imbunatatirea competentelor alesilor locali, a factorilor de decizie: directori executivi si sefi serviciu/birou, personal contractual de conducere de la nivelul Consiliului Judetean Salaj privind implementarea Sistemului de Management al Calitatii si Performantei conform SR EN ISO 9001:2015.
OS3. Organizarea unui workshop în vederea diseminarii rezultatelor proiectului, a cresterii gradului de
constientizare si sensibilizare a personalului de conducere din cadrul institutiilor subordonate Consiliului Judetean Salaj în vederea luarii unor decizii cu privire la extinderea utilizarii Sistemului de Management al Calitatii si Performantei conform SR EN ISO 9001:2015 la nivelul institutiilor pe care le conduc
</t>
  </si>
  <si>
    <t>Spre o administrație publică performantă</t>
  </si>
  <si>
    <t>Obiectiv general:Dezvoltarea si implementarea unui Sistem de Management al Calitaþii si Performanþei unitar si eficient, prin standardizarea proceselor de lucru; actualizarea si extinderea sistemului informatic inovativ de management al documentelor; certificarea ISO9001:2015 si pregatirea resursei umane din CJSibiu, în scopul optimizarii proceselor orientate catre beneficiari si consolidarii capacitaþii instituþionale.                 OBIECTIV SPECIFIC 1: Standardizarea proceselor de lucru la nivelul Consiliului Judeþean Sibiu, asigurarea eficientizarii acestora
si corelarii între sistemul de management al performanþei si calitaþii cu sistemul de control intern managerial existent la nivelul
institutiei, în scopul optimizarii proceselor orientate catre beneficiari în concordanþa cu SCAP si consolidarii capacitaþii
instituþionale a CJ Sibiu.
2. OBIECTIV SPECIFIC 2: Actualizarea si extinderea sistemului informatic de management al proceselor si documentelor la nivelul
Consiliului Judeþean Sibiu, prin includerea de facilitaþi inovative, în vederea dezvoltarii si consolidarii unui Sistemul de
Management al Calitaþii si Performanþei unitar si eficient care va contribui la optimizarea proceselor orientate catre beneficiari în
concordanþa cu SCAP.
3. OBIECTIV SPECIFIC 3: Îmbunataþirea cunostinþelor si abilitaþilor a 80 de persoane, reprezentând personalul din cadrul Consiliului
Judeþean Sibiu privind implementarea, respectarea si actualizarea continua a standardelor de management al calitaþii, prin
sesiunile de formare profesionala clasica si e-learning, acþiuni de networking si schimb de bune practici, în vederea sprijinirii
masurilor si acþiunilor prevazute de OS2.1 si implicit de proiect pentru optimizarea proceselor orientate catre beneficiari.</t>
  </si>
  <si>
    <t>Obiectivul general - Cresterea transparentei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vor participa la sesiuni de formare si la intalniri cu societatea civila.
OS1 – Organizarea a 10 ateliere de lucru cu tematici specifice de constientizare publica a fenomenului de coruptie si promovarea transparentei in administratia publica locala precum si educatia anticoruptie.
OS2 – Formarea personalului autoritatii publice solicitant (100 persoane) in vederea prevenirii si limitarii fenomenului de coruptie in institutiile publice locale
 OS3 – Elaborarea unui ghid de bune practici in institutia publica solicitanta cu scopul de a preveni coruptia si conflictele de interese in  administratia publica locala si de a stabili indicatori specifici de evaluare.
OS4 – Implementarea in institutia publica solicitanta a unei proceduri interne specifice care are ca finalitate dezvoltarea spiritului etic si integritatea functionarilor in exercitarea actului administrativ.</t>
  </si>
  <si>
    <t>Municipiul Fetesti</t>
  </si>
  <si>
    <t>Formare, Dezvoltare, Responsabilizare pentru prevenirea coruptiei si asigurarea eticii si integritatii in administratia publica a Municipiului Fetesti</t>
  </si>
  <si>
    <t>Fetesti</t>
  </si>
  <si>
    <t>Introducerea de sisteme si standarde comune în administrația publica locala din județul Bihor pentru optimizarea proceselor orientate către beneficiari în concordanță cu SCAP - acronim ISOBihor</t>
  </si>
  <si>
    <t>Județul Bihor</t>
  </si>
  <si>
    <t xml:space="preserve">Obiectivul general al proiectului il reprezinta introducerea sistemelor si standardelor comune la nivelul Consiliului Judeþean Bihor pentru optimizarea proceselor orientate catre beneficiari în concordanþa cu SCAP si dezvoltarea abilitatilor in domeniul managementului calitatii a angajatilor din administratia publica si alesilor locali din judetul Bihor
Obiectivele specifice ale proiectului 
1. Obiectivul Specific 1 Implementarea sistemului de management al calitaþii si obþinerea certificarii ISO 9001:2015
2. Obiectivul Specific 2 Îmbunataþirea cunostinþelor si abilitaþilor a 50 de persoane angajate in administratia publica a judetului Bihor si/sau alesi locali, prin organizarea de cursuri în domenii care sa asigure o mai buna administrare a patrimoniului judeþului si
organizarea mai eficienta, orientata spre calitate </t>
  </si>
  <si>
    <t>Oradea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</si>
  <si>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</si>
  <si>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Ministerul Apelor și Pădurilor</t>
  </si>
  <si>
    <t>Implementarea si dezvoltarea de sisteme si standarde comune pentru optimizarea proceselor decizionale în domeniul apelor si padurilor, aplicarea sistemului de politici bazate pe dovezi în Ministerul Apelor si Padurilor pentru sistematizarea si simplificarea legislației din domeniul apelor si realizarea unor proceduri simplificate pentru reducerea poverii administrative pentru mediul de afaceri în domeniul silviculturii</t>
  </si>
  <si>
    <t>Obiectivul general al proiectului îl constituie implementarea si dezvoltarea de sisteme si standarde comune pentru optimizarea proceselor
decizionale în domeniul apelor si padurilor, aplicarea sistemului de politici bazate pe dovezi în Ministerul Apelor si Padurilor pentru
sistematizarea si simplificarea legislaþiei din domeniul apelor si realizarea unor proceduri simplificate pentru reducerea poverii
administrative pentru mediul de afaceri în domeniul silviculturii.
Obiectivele specifice ale proiectului
1. Implementarea unor sisteme unitare de management al calitaþii si performanþei la nivelul MAP.
Autoritaþi si instituþii publice centrale care au implementat sistemele unitare de management al calitaþii si performanþei: 1 –
Ministerul Apelor si Padurilor (inclusiv structurile aflate în subordinea, sub autoritatea si în coordonarea ministerului)
Se vor elabora, revizui si implementa proceduri unitare pentru managementul calitaþii în conformitate cu SR EN ISO 9001:2015 la
nivelul departamentelor din cadrul MAP si din cadrul structurilor aflate în subordinea, sub autoritatea si în coordonarea sa.
Se va implementa CAF, ca instrument al managementului calitaþii complementar cu SR EN ISO 9001:2015.
De asemenea, sunt vizate activitaþi de promovare a sistemelor/instrumentelor de management al calitaþii, cu accent pe valoarea
adaugata pe care acestea o pot genera, în vederea acordarii de sprijin pentru MAP (si autoritaþilor aflate în subordinea, sub
autoritatea si în coordonarea ministerului).
2. Aplicarea sistemului de politici bazate pe dovezi în MAP prin realizarea unor politici publice în domeniul managementului apei si
domeniul silviculturii.
Autoritaþi si instituþii publice centrale care au elaborat politici bazate pe dovezi, inclusiv evaluarea ex-ante a impactului: 1 –
Ministerul Apelor si Padurilor.
Se va realiza un document de politica publica în domeniul managementului apei si un document de politica publica în domeniul
silviculturii.
3. Realizarea Codului Apelor prin sistematizarea si simplificarea amplelor reglementari din domeniul managementului apei.
Acte normative sistematizate: 10.
4. Realizarea unor proceduri simplificate pentru reducerea poverii administrative pentru mediul de afaceri în domeniul silviculturii.
Autoritaþi si instituþii publice centrale care au implementat masuri unitare de reducere a poverii administrative pentru mediul de
afaceri si pentru cetaþeni: 1 – Ministerul Apelor si Padurilor.
5. Competenþe crescute pentru personalul din MAP si din structurile aflate în subordinea, sub autoritatea sau în coordonarea sa, în
domeniul managementului calitaþii, pentru susþinerea masurilor/acþiunilor de sistematizare si simplificare a legislaþiei în domeniul
managementului apei si pentru susþinerea masurilor/acþiunilor de simplificare a procedurilor pentru mediul de afaceri în domeniul
silviculturii.
Personalul din autoritaþile si instituþiile publice centrale care a fost certificat la încetarea calitaþii de participant la formare legata de
OS1.1.: 280 persoane.</t>
  </si>
  <si>
    <t>1. Academia de Studii Economice
2. INSTITUTUL NAȚIONAL DE CERCETARE-DEZVOLTARE ÎN SILVICULTURA "MARIN
DRACEA"</t>
  </si>
  <si>
    <t>CP6 more /2017</t>
  </si>
  <si>
    <t xml:space="preserve">1. Ministerul Afacerilor Interne
</t>
  </si>
  <si>
    <t>DSS</t>
  </si>
  <si>
    <t>Sprijinirea măsurilor referitoare la prevenirea corupției la nivelul municipiului Drobeta Turnu Severin</t>
  </si>
  <si>
    <t>Municipiul Drobeta Turnu Severin</t>
  </si>
  <si>
    <t xml:space="preserve">Obiectivul general al proiectului/Scopul proiectului
Obiective proiect
Sprijinirea masurilor de prevenire a coruptiei la nivelul UAT Municipiul Drobeta Turnu Severin.
Obiectivele specifice ale proiectului
1. OS1: Aplicarea unitara a normelor, mecanismelor si procedurilor in materie de etica si integritate la nivelul UAT Municipiul
Drobeta Turnu Severin
2. OS2: Cresterea gradului de implementare a masurilor referitoare la prevenirea coruptiei si a indicatorilor de evaluare in autoritatile
si institutiile publice
3. OS3: Imbunatatirea cunostintelor si a competentelor personalului din UAT Municipiul Drobeta Turnu Severin in ceea ce priveste
prevenirea coruptiei
</t>
  </si>
  <si>
    <t>„Romanian Urban Index – Sistem independent de monitorizare al serviciilor publice”</t>
  </si>
  <si>
    <t>ASOCIAȚIA CENTRUL PENTRU DEZVOLTARE URBANĂ ȘI TERITORIALĂ</t>
  </si>
  <si>
    <t xml:space="preserve">Obiectivul general al proiectului/Scopul proiectului
Obiective proiect
Implementarea unui instrument de monitorizare de tip benchmarking urban adresat principalelor municipii din România, pentru ca acestea sa-si poată compara performanța în livrarea serviciilor publice la nivel local, în vederea facilitării proceselor de transfer de cunoștințe si adaptare la necesitățile locale pentru a se raporta la standarde comune.
Obiectivele specifice ale proiectului
1. Dezvoltarea capacității a 8 ONG-uri de a monitoriza si evalua capacitatea autorităților publice locale de a furniza serviciile publice la nivel local.
2. Realizarea unor standarde de benchmarking urban (bazate pe indicatori comparabili) necesare pentru realizarea unei imagini de ansamblu, comparative la nivelul principalelor orașe din România cu privire la livrarea serviciilor publice.
3. Dezvoltare capacității ONG-urilor locale de a formula recomandări de politici publice pentru îmbunătățirea serviciilor publice livrate la nivel local, în 8 municipii selectate dintre principalele municipii din România.
</t>
  </si>
  <si>
    <t>Introducerea unui sistem de management al calității performant si transparent în cadrul UAT – Județul Ilfov</t>
  </si>
  <si>
    <t>Județul Ilfov</t>
  </si>
  <si>
    <t>Cresterea capacitaþii UAT - Judeþul Ilfov de a asigura pe termen lung servicii de calitate sporita comunitaþii din Judeþul Ilfov prin implementarea unui sistem de management al calitaþii de tip ISO la nivelul aparatului propriu.
Astfel proiectul va contribui direct la atingerea Obiectivului specific POCA 2.1 – Introducerea de sisteme si standarde comune în administraþia publica locala ce optimizeaza procesele orientate catre beneficiari în concordanþa cu SCAP.
Obiectivele specifice ale proiectului
1. OS1. Implementarea unui sistem de management al calitaþii în cadrul aparatului propriu al UAT - Judeþul Ilfov în vederea îmbunataþirii calitaþii serviciilor oferite comunitaþii judeþului Ilfov. Acest obiectiv va fi atins în principal prin realizarea documentaþie SMC pentru implementarea cerinþelor SR EN ISO 9001:2015 la nivelul aparatului propriu al UAT - Judeþul Ilfov si certificarea UAT -Judeþul Ilfov în urma unei proceduri de audit extern de certificare conform SR EN ISO 9001:2015.
2. OS2. Dezvoltarea si implementarea unui sistem de management al investiþiilor publice, în concordanþa cu procedurile si standardele specifice SR EN ISO 9001:2015. Acest obiectiv va fi atins prin dezvoltarea unui sistem IT care va concentra procedurile, standardele si activitaþile specifice aparatului administrativ al UAT - Judeþul Ilfov, în care sunt implicaþi cel puþin 150 salariaþi si membri ai structurilor deliberative.
3. OS3. Îmbunataþirea competenþelor alesilor locali, ale personalului de conducere si execuþie din UAT - Judeþul Ilfov pentru cresterea performanþei autoritaþilor locale. Acest obiectiv va fi atins prin activitaþi de formare – se vor organiza 2 tipuri de cursuri pentru cel puþin 120 persoane.</t>
  </si>
  <si>
    <t>Ilfov</t>
  </si>
  <si>
    <t>Bucurețti</t>
  </si>
  <si>
    <t>Etică și transparență în administrația publică</t>
  </si>
  <si>
    <t>Asociația Transparență pentru Integritate</t>
  </si>
  <si>
    <t xml:space="preserve">Obiectivul general al proiectului/Scopul proiectului
Obiective proiect
Sprijinirea măsurilor de prevenire a corupţiei la nivelul Primăriei Municipiului BăileştiObiectivele specifice ale proiectului
1. Obiective specifice
OS1: Aplicarea unitară a normelor, mecanismelor şi procedurilor în materie de etică şi integritate la nivelul Primăriei Băileşti;
Pentru realizarea acestui obiectiv specific vor fi derulate activităţile de realizare a următoarelor documente:1 ghid privind punerea
în aplicare a cadrului legal în domenil eticii şi integrităţii;1 manual de bune practici în domeniul eticii şi integrităţii şi 2 proceduri
operaţionale privind măsurile preventive anticorupţie în acele domenii cu funcţii identificate ca având vulnerabiltăţi la corupţie.
OS2: Creşterea gradului de implementare a masurilor referitoare la prevenirea corupţiei şi a indicatorilor de evaluare în
autorităţile şi instituţiile publice;
În vedere atingerii acestui obiectiv vor fi derulate activităţile pentru realizarea: unui mecanism de cooperare cu societatea civilă
privind monitorizarea şi evaluarea implementării măsurilor anticorupţie şi a unei campanii de educaţie anticorupţie.
OS3: Îmbunătăţirea cunoştinţelor şi a competenţelor personalului din Primăria Municipiului a Băileşti în ceea ce
priveşte prevenirea corupţiei.
Pentru realizarea acestui obiectiv vor fi derulate activităţile de instruire la care vor participa 50 de persoane, după cum urmează: 1
sesiune de formare profesională în domeniul educaţiei anticorupţie, transparenţă, etică şi integritate – 25 de participanţi aleşi
locali şi personal de conducere şi personal de execuţie;1 sesiune de formare în domeniul evaluării riscurilor – 25 de participanţi
personal de execuţie.
</t>
  </si>
  <si>
    <t>Băilești</t>
  </si>
  <si>
    <t>Parteneriat pentru etică și integritate în Consiliul Județean Buzau</t>
  </si>
  <si>
    <t>Județul Buzău</t>
  </si>
  <si>
    <t>Obiectivul general este dezvoltarea capacitatii partenerilor sociali, a organizatiilor societatii civile si a actorilor economici de a actiona impreuna pentru dezvoltarea durabila si cresterea adaptabilitatii mediului privat romanesc la standardele europene, prin promovarea unui mediu antreprenorial etic si responsabil social. Acest obiectiv converge cu obiectivul operational al DMI 3.3,prin dezvoltarea capacitatii partenerilor de dialog social de a participa la procesul decizional si la dezvoltarea durabila a comunitatilor lor. Proiectul propune o abordare integrata pentru cresterea adaptabilitatii la eficienta, eficacitate si integritate.Aceste factori cheie in dezvoltarea economica si sociala a Romaniei se regasesc in urmatoarele obiective specifice: 1.Implementarea responsabilitatii sociale, a integritatii in mediul de afaceri, a dialogului cu actorii sociali relevanti,ca premise ale unor intiative comune pentru dezvoltarea durabila,ocupare si incluziune sociala La nivel global, se asteapta ca afacerile sa fie responsabile, sa aduca valoare adaugata in comunitatile lor de interes,dincolo de orientarea spre profit. Mai mult, efectele pe care le genereaza in randul membrilor comunitatii se masoara prin noi standarde, cum sunt cele de integritate si etica, la care mediul antreprenorial romanesc trebuie adaptat. 2.Cresterea capacitatii si expertizei actorilor relevanþi pe piata muncii de a se adapta la standardele europene si internationale privind dezvoltarea durabila si responsabilitatea civica si sociala In conditiile globalizarii si de integrare europeana, piata muncii din Romania trebuie sa raspunda nevoii companiilor de a se adapta permanent cerintelor de crestere a competitivitatii.Acestea presupun politici de ocupare elaborate in comun cu mediul de afaceri, reprezentantii lucratorilor si ai asociatiilor profesionale, dar si adaptarea antreprenorilor si angajatilor la standardele de reglementare a relatiilor de munca impuse de acest context (responsabilitate sociala,respectarea standardelor de calitate,etica si integritate,egalitate de sanse, respectarea drepturilor angajatilor etc.). 3.Dezvoltarea capacitatii actorilor locali, regionali si nationali de a participa la dialogul social privind politicile, strategiile si prioritatile de coeziune economico-sociala,pentru a promova principiul bunei guvernari si principiul parteneriatului public-privat in sprijinul ocuparii si incluziunii sociale O buna guvernare inseamna,conform Planului National de Dezvoltare,implicare,transparenta,consens in privinta orientarii si sensibilizarii,responsabilitate,eficienta si eficacitate,echitate si aplicarea legii.Acestea pot fi asigurate doar prin resurse umane profesioniste,relatii benefice intre actorii implicati in procesele de dezvoltare si atitudini pozitive privitoare la mediul de afaceri. Acestea pot sustine pe termen lung dezvoltarea durabila,implicarea actorilor relevanti in atingerea obiectivelor de coeziune sociala si economica. Regiunile de dezvoltare: Sud-Muntenia, Bucuresti-Ilfov, Centru, Nord-Est, Sud-Est, Vest, Sud-Vest Oltenia.</t>
  </si>
  <si>
    <t>Politici publice alternative de mediu în România</t>
  </si>
  <si>
    <t>Asociația Simț Civic</t>
  </si>
  <si>
    <t>ASOCIATIA ROMANA PENTRU MANAGEMENTUL DESEURILOR - A.R.M.D.</t>
  </si>
  <si>
    <t>Obiectivul general al proiectului este corelat cu ,,OS 1.1 POCA : Dezvoltarea si introducerea de sisteme si standarde comune în
administraþia publica ce optimizeaza procesele decizionale orientate catre cetaþeni si mediul de afaceri în concordanþa cu SCAP’’ si
contribuie esential la realizarea acestuia si a tuturor obiectivelor de program care vizeaza promovarea unei administratii publice moderne
care sa vina in sprijinul cetateanului si sa faciliteze dezvoltarea economica si sociala a Romaniei pe de-o parte, iar pe de alta sa propuna
noi strategii si politici in domeniile publice in care tara noastra are inca deficiente.</t>
  </si>
  <si>
    <t>Un plus de transparență, etică  și integritate</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</si>
  <si>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–Formarea personalului autoritatii publice solicitant (28 persoane) in vederea prevenirii si limitarii fenomenului de coruptie in institutiile publice locale</t>
  </si>
  <si>
    <t>„LINC - creșterea capacității administrației publice centrale în prevenirea și identificarea cazurilor de conflicte de interese, incompatibilității și averi nejustificate”</t>
  </si>
  <si>
    <t>Agenția Națională de Integritate</t>
  </si>
  <si>
    <t>ASOCIATIA ROMANA PENTRU TRANSPARENTA</t>
  </si>
  <si>
    <t>în implementare</t>
  </si>
  <si>
    <t>Municipiul Moreni</t>
  </si>
  <si>
    <t>Prevenire ,educatie si combaterea
coruptiei (PECC)</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</si>
  <si>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 Formarea personalului autoritatii publice solicitant (30 persoane) in vederea prevenirii si limitarii fenomenului de coruptie in institutiile publice locale</t>
  </si>
  <si>
    <t>Moreni</t>
  </si>
  <si>
    <t>Promovarea si aplicarea masurilor pentru
prevenirea corupþiei si consolidarea
principiilor de etica si integritate în
activitatea administraþiei publice locale la
nivelul municipiului Timisoara</t>
  </si>
  <si>
    <t>Activitaþile desfasurate, rezultatele si obiectivele proiectului conduc la îndeplinirea obiectivului general al acestuia, respectiv cresterea
nivelului de transparenþa, etica si integritate în cadrul administraþiei publice locale a Municipiului Timisoara, în conformitate cu obiectivul
specific 2.2 al POCA si obiectivul tematic 11, prioritatea de investiþii 11i a Fondului Social European. 
Obiectivele specifice ale proiectului
1. Cresterea nivelului de cunoastere si asumare a legislaþiei naþionale si prevederilor europene în ceea ce priveste prevenirea si combaterea corupþiei si fenomenelor asociate.
2. Cresterea gradului de implicare a personalului administraþiei publice locale si a cetaþenilor în ceea ce priveste masurile adoptate la nivel naþional pentru combaterea corupþiei.
3. Aplicarea coerenta si sistematica a masurilor adoptate la nivel local, naþional si european în domeniul eticii si integritaþii în sistemele publice.</t>
  </si>
  <si>
    <t>Formularea si promovarea unei propuneri alternative la politicile publice inițiate de Guvern, conform SCAP, pentru creșterea rezilienței comunităților la situații de urgență prin utilizarea tehnologiei: platforma interactiva “voluntar inteligent” (voluntarI)</t>
  </si>
  <si>
    <t>Fundatia pentru SMURD</t>
  </si>
  <si>
    <t>ASOCIATIA TECHNOLOGY AND INNOVATION FOR SOCIETY TEHNOLOGIE SI INOVARE PENTRU SOCIETATE</t>
  </si>
  <si>
    <t>Obiectivul general al proiectului este de a sprijini ONG-urile participante pentru a formula si promova propuneri alternative la politicile
publice iniþiate de Guvern, în concordanþa cu masurile stabilite în Strategia pentru Consolidarea Administraþiei Publice 2014-2020 (SCAP),
prin obiectivul general II: Implementarea unui management performant în administraþia publica, obiectivul specific II.1: Cresterea
coerenþei, eficienþei, predictibilitaþii si transparenþei procesului decizional în administraþia publica, obiectivul specific subsecvent II.1.6.
Dezvoltarea capacitaþii societaþii civile, mediului academic si altor parteneri sociali relevanþi (sindicate, patronate etc.) de a susþine si
promova reforma administraþiei publice.</t>
  </si>
  <si>
    <t>Mures</t>
  </si>
  <si>
    <t>Targu Mures</t>
  </si>
  <si>
    <t>Elaborarea unei politici publice alternative în domeniul promovarii exporturilor romanesti</t>
  </si>
  <si>
    <t>ASOCIATIA PENTRU PROMOVAREA ALIMENTULUI ROMANESC-A.P.A.R.</t>
  </si>
  <si>
    <t>nu este cazul</t>
  </si>
  <si>
    <t>OG: Cresterea capacitatii Asociatiei pentru Promovarea Alimentului Romanesc (APAR) si a 25 de ONG-uri partenere si parteneri sociali
ai acesteia, de a formula si promova, pe termen lung, propuneri alternative la politicile publice initiate de Guvern, prin elaborarea unei
politici publice alternative în domeniul promovarii produselor romanesti la export si instruirea unui numar de 60 de persoane, personal din
ONG-urile partenere si parteneri sociali ai acesteia.</t>
  </si>
  <si>
    <t>Mogosoaia</t>
  </si>
  <si>
    <t>Măsuri integrate de prevenire a corupției la nivelul autorităților și instituțiilor publice din municipiul Slobozia</t>
  </si>
  <si>
    <t>Municipiul Slobozia</t>
  </si>
  <si>
    <t xml:space="preserve">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Cocomitent grupul tinta va participa la sesiuni de formare profesionala si instruire in domeniul anticoruptiei dar si la o campanie si un workshop de educatie anticoruptie si metode de prevenire a acestui fenomen.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
</t>
  </si>
  <si>
    <t>AA5 /06.08.18</t>
  </si>
  <si>
    <t>Spunem NU corupției!</t>
  </si>
  <si>
    <t xml:space="preserve">
Obiectivul general al proiectului constă în dezvoltarea şi consolidarea capacităţii Consiliului Judeţean Mureş pentru eficientizarea
activităţilor de prevenire şi combatere a coruptiei în administraţia publică locală, promovarea integrităţii pentru îmbunătăţirea
performanţelor în activitate, transparentizarea procesului decizional, în acord cu aşteptările beneficiarilor.
Obiectivele specifice ale proiectului
1. Obiectivul specific 1: Implementarea la nivelul Consiliului Judeţean Mureş a prevederilor Strategiei Naţionale Anticorupţie 2016-
2020, respectiv a Metodologiei de identificare a riscurilor şi vulnerabilităţilor la corupţie.
2. Obiectivul specific 2: Dezvoltarea abilităţilor şi cunoştinţelor personalului din Consiliul Judeţean Mureş şi instituţiile subordonate
pentru aplicarea standardelor legate de etică, integritate şi transparenţă decizională, în scopul prevenirii şi reducerii corupţiei, prin
furnizarea unui program de instruire.
3. Obiectivul specific 3: Informarea cetăţenilor din judeţul Mureş cu privire la importanţă implicării lor în identificarea şi prevenirea
faptelor de corupţie prin: difuzarea unui spot TV, distribuirea celor 1000 pliante, amplasarea celor 150 de afişe, publicarea
informaţiilor legate de proiect pe pagina web şi pe conturile reţelelor de socializare ale CJM .</t>
  </si>
  <si>
    <t>Prevenirea corupției prin măsuri  de sprijin integrate</t>
  </si>
  <si>
    <t>Municipiul Drăgășani</t>
  </si>
  <si>
    <t>Drăgășani</t>
  </si>
  <si>
    <t xml:space="preserve">
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campania de educatie anticoruptie.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unei campanii de educatie anticoruptie, al carei scop este promovarea transparentei in administratia publica locala.
4. OS4 – Formarea personalului autoritatii publice solicitant (30 persoane) in vederea prevenirii si limitarii fenomenului de coruptie in institutiile publice locale.
</t>
  </si>
  <si>
    <t>„PRO-CERTIF – dezvoltarea și utilizarea sustenabilă a managementului calității în administraţia publică băcăuană”</t>
  </si>
  <si>
    <t>Județul Bacău</t>
  </si>
  <si>
    <t xml:space="preserve">Consolidarea eficientei administrative a UAT Judetul Bacau prin introducerea/extinderea, promovarea si utilizarea sustenabila a sistemelor
unitare de management al calitatii si performantei.                                                                                                                                                                                                                            OS1. Introducerea de sisteme si standarde comune la nivelul UAT Judetul Bacau in scopul optimizarii proceselor orientate catre
beneficiari si in concordanta cu SCAP, prin implementarea instrumentului de autoevaluare CAF, precum si prin facilitarea
schimburilor de experienta.
2. OS2. Dezvoltarea abilitaþilor personalului UAT Judetul Bacau pe tema aplicarii sistemelor unitare de management al calitatii si
performantei prin organizarea a 2 programe de formare (auditor de calitate, expert CAF) la care vor participa 75 persoane.
</t>
  </si>
  <si>
    <t>Fundația de Sprijin Comunitar</t>
  </si>
  <si>
    <t>„Servicii sociale pentru fiecare vârstnic – pachet de achiziții de servicii în fiecare comunitate”</t>
  </si>
  <si>
    <t>ASOCIATIA FOUR CHANGE; UNIVERSITATEA "DANUBIUS" DIN GALATI</t>
  </si>
  <si>
    <t>Obiectivul general al proiectului este cresterea capacitaþii organizaþiilor neguvernamentale care furnizeaza servicii sociale destinate
persoanelor varstnice de a formula si propune politici publice ce vizeaza stimularea contractarii sociale in vederea dezvoltarii de servicii
sociale pentru vârstnici in fiecare comunitate din România. Obiectivele specifice ale proiectului
1. Obiectivul specific 1: Cresterea nivelului de profesionalizarea in domeniul achizitiilor publice a 75 de organizatii neguvernamentale
care furnizeaza servicii sociale adresate persoanelor varstnice in vederea formularii de propuneri alternative in domeniul
contractarii sociale. 2. Obiectivul specific 2: Dezvoltarea capacitatii de advocacy si participare la formularea politicilor publice in randul a cel putin 50 de
ONG-uri active in domeniul protectiei varstnicilor in vederea promovarii si adoptarii la nivel local a documentelor de politica
publica in domeniul achizitiilor de servicii sociale (legislatie tertiara)</t>
  </si>
  <si>
    <t>Sprijinirea masurilor referitoare la prevenirea coruptiei la nivelul Municipiului Sebes</t>
  </si>
  <si>
    <t>Obiectiv general:
Cresterea capacitaþii administrative de a preveni si reduce coruptia în ansamblul institutiilor publice locale din UAT Sebes prin aplicarea
unitara a mecanismelor, procedurilor si normelor de etica si integritate si îmbuntaþirea cunostinþelor si competenþelor în ceea ce priveste
prevenirea coruptiei.                                                                                                                                                                                                                                                                                             OS1: Dezvoltarea de proceduri operaþionale privind masurile preventive anticorupþie si indicatorii de evaluare aferenþi;                                                     OS2: Cresterea gradului de implementare a masurilor referitoare la prevenirea corupþiei si a indicatorilor de evaluare în autoritaþile
si instituþiile publice;
 OS3: Aplicarea unitara a normelor, mecanismelor si procedurilor în materie de etica si integritate în autoritaþile si instituþiile
publice;
OS4: Cresterea nivelului de educaþie anticorupþie pentru personalul din autoritaþile si instituþiile publice;</t>
  </si>
  <si>
    <t>Integritate prin transparență - ANTICOR Arad</t>
  </si>
  <si>
    <t>Obiectivul general al proiectului îl constituie creşterea transparenţei, eticii şi integrităţii la nivelul UAT Judeţul Arad. Obiectivele specifice ale proiectului 1. Creşterea capacităţii administrative a UAT Judeţul Arad în domeniul transparenţei, eticii şi integrităţii prin implementarea de instrumente adecvate (cod de conduită, proceduri de sistem) 2. Creşterea gradului de conştientizare prin organizarea unei campanii de educaţie pe teritoriul judeţului 3. Creşterea nivelului de educaţie anticorupţie pentru personalul şi aleşii locali din UAT Judeţul Arad</t>
  </si>
  <si>
    <t>Politici publice alternative în domeniul sănătății</t>
  </si>
  <si>
    <t>Federația Filantropia</t>
  </si>
  <si>
    <t>Ministrul Sănatații</t>
  </si>
  <si>
    <t>Obiectivul general al proiectului este cresterea capacității ONG-urilor membre ale Federației Filantropia din domeniul sanătății de a formula și promova propuneri alternative la politicile publice aferente obiectivelor specifice din documentul de politică publică „Strategia Naþionala de Sanatate 2014 – 2020”.</t>
  </si>
  <si>
    <t>Transparență și integritate în administrația publică locală din județul Vrancea</t>
  </si>
  <si>
    <t>Județul Vrancea</t>
  </si>
  <si>
    <t>Obiectivul general al proiectului il constituie dezvoltarea unui sistem inovator si flexibil de prevenire a coruptiei, crestere a transparentei, eticii si integritatii prin implementarea unor masuri de prevenire a coruptiei, aplicarea unitara a mecanismelor, procedurilor si normelor de etica si integritate si imbunatatirea cunostintelor si competentelor in ceea ce priveste prevenirea coruptiei la nivelul administratiei publice locale din Vrancea, respectiv la nivelul celor 73 de UAT-uri din 68 comune si 5 orase plus Consiliul Judetean Vrancea, pe parcursul a 12 luni. Obiectivele specifice ale proiectului
1. OS1. Aplicarea unitara a normelor, mecanismelor si procedurilor in materie de etica si integritate in cele 73 de UAT-uri din
Vrancea si Consiliul Judetean Vrancea. Indeplinirea/atingerea OS1 este rezultanta implementarii A3, A4, si A5 (Activitatea 3 -
Analiza si evaluarea planului de actiune de combatere a coruptiei, Activitatea 4 - Implementarea masurilor de prevenire si
reducere a coruptiei si Activitatea 5 - Cooperare cu societatea civila) si va contribui la indicatorul de realizare 5S64 - Autoritati si
institutii publice sprijinite sa dezvolte proceduri operationale privind masurile preventive anticoruptie si indicatorii aferenti
OS1 va fi corelat cu Rezultat program(R-POCA) 3 - Aplicarea unitara a normelor, mecanismelor si procedurilor in materie de etica
si integritate in autoritatile si institutiile publice atins prin Rezultat de proiect 1- 1 Analiza a planurilor sectoriale de combatere a
coruptiei, Rezultat proiect 2 – 1 Raport evaluare riscuri, Rezultat proiect 3 – 1 Studiu sondaj si Rezultat proiect 4 – 2 Mecanisme
de cooperare implementate.
2. OS 2. Cresterea gradulului de implementare a masurilor referitoare la prevenirea coruptiei la nivelul celor 73 de UAT-uri din
Vrancea si Consiliul Judetean Vrancea din judetul Vrancea prin elaborarea si dezvoltarea unui “Ghid de bune practici si
instrumente de lucru pentru prevenirea coruptiei in administratia publica care sa descrie atat o norma/o procedura cat si
modalitatile de implementare aferente si implementarea unor standarde de etica si integritate” si implementarea unei platforme
anticoruptie; Indeplinirea/atingerea OS2 este rezultanta implementarii A4 (Activitatea 4 - Implementarea masurilor de prevenire si
reducere a coruptiei) si va contribui la indicatorul de realizare 5S64 - Autoritati si institutii publice sprijinite sa dezvolte proceduri
operationale privind masurile preventive anticoruptie si indicatorii aferenti
OS2 este in stransa corelatie cu Rezultat program(R-POCA) 4 – Grad crescut de implementare a masurilor referitoare la
prevenirea coruptiei si a indicatorilor de evaluare in autoritatile si institutiile publice atins prin Rezultat de proiect 5 – Elaborarea 1
“Ghid de bune practici si instrumente de lucru pentru prevenirea coruptiei in administratia publica care sa descrie atat o norma/o
procedura cat si modalitatile de implementare aferente si implementarea unor standarde de etica si integritate” si multiplicarea lui
in 74 de exemplare in randul celor 73 de Primarii din judetul Vrancea si la nivelul CJ Vrancea, Rezultat proiect 6 – Dezvoltare 1
platforma anticoruptie si Rezultat proiect 7 – Creare 1 sistem de avertizare („whistle-blowing”) a iregularitatilor si a posibilelor
fapte de coruptie la nivelul Judetului Vrancea (crearea unei adrese de e-mail dedicata).
3. OS 3. Cresterea gradului de constientizare a publicului si personalului institutiilor si autoritatilor publice cu privire la coruptie din
judetul Vrancea prin 4 campanii pentru 200 de astfel de participanti; Indeplinirea/atingerea OS3 este rezultanta implementarii A5
(Activitatea 5 - Cooperare cu societatea civila) si va contribui la indicatorul de realizare 5S65: Sondaj privind perceptia in randul
cetatenilor si al personalului din cadrul administratiei publice, precum si sesiuni de constientizare a publicului cu privire la coruptie.
 OS3 este corelat cu Rezultat program(R-POCA) 5 - Grad crescut de constientizare a coruptiei atat in randul cetatenilor cat si al
personalului din administratia publica atins prin Rezultat proiect 8 –4 Campanii realizate (Organizare sesiuni de informare si
constientizare privind masurile anticoruptie (4 sesiuni x 50 persoane) in randul cetatenilor si personalului din administratia
publica), Rezultat proiect 9 – 200 de persoane informate si Rezultat proiect 10 – 1 300 de chestionare aplicate in randul
cetatenilor, personalului din administratia publica si alesilor locali.
4. OS 4. Imbunatatirea cunostintelor si abilitatilor profesionale pentru 168 de reprezentanti dintre alesi locali si personal din
conducere si executie din cadrul autoritatilor publice locale din Vrancea privind etica si integritatea; Indeplinirea/atingerea OS4
este rezultanta implementarii A6 (Activitatea 6 – Dezvoltare a cunostintelor si abilitatilor grupului tinta) si va contribui la indicatorul
de realizare 5S66: Personal din autoritatile si institutiile publice participant la formare in domeniul prevenirii coruptiei,
transparentei, eticii si integritatii.
OS4 corespunde Rezultatului de program(R-POCA) 6 – Imbunatatirea cunostintelor si a competentelor personalului din
autoritatile si institutiile publice in ceea ce priveste prevenirea coruptiei atins prin Rezultat proiect 11 – 6 Rapoarte formare
aferente celor 6 sesiuni de curs acreditat ANC „Expert Prevenire si Combatere a Coruptiei” si Rezultat proiect 12 Personal instruit
si certificat (168).</t>
  </si>
  <si>
    <t>Focșani</t>
  </si>
  <si>
    <t>Etică și integritate în județul Suceava</t>
  </si>
  <si>
    <t>Județul Suceava</t>
  </si>
  <si>
    <t>Îmbunătățirea accesului la justiție prin dezvoltarea și aplicarea de politici și instrumente noi în activitatea de executare silită</t>
  </si>
  <si>
    <t>Uniunea Națională a Executorilor Judecătorești din România</t>
  </si>
  <si>
    <t>Obiectiv general: Imbunatatirea accesului la justitie prin dezvoltarea si aplicarea de politici si instrumente noi in activitatea de executare silita pentru asigurarea unei transparente si integritatii sporite la nivelul serviciului public indeplinit conform legii nr. 188/2000.                                                                                                                                                                                                                                                                                                     OS1. Imbunatatirea activitatii de executare a hotararilor judecatoresti prin dezvoltarea unui sistem IT integrat care sa:
- ofere informatii despre dosarele de executare si stadiul acestora prin implementarea Registrul general al dosarelor;
- permita actualizarea Tabloului Executorilor Judecatoresti la nivel national;
- permita optimizarea si dezvoltarea Registrului Electronic de Publicitate a Vanzarii Bunurilor Supuse Executarii Silite si a
Registrului Electronic al Actelor de Adjudecare;
- cuprinda informatiile din listele actualizate pe care UNEJ le intocmeste anual iîn aplicarea dispoziþiilor art. 5 din Regulamentul de
punere in aplicare a Legii nr. 188/2000;
- permita optimizarea schimbului de informatii intre UNEJ, camerele executorilor judecatoresti si Directia pentru Evidenta
Persoanelor si Administrarea Bazelor de Date (DEPABD);
- permita optimizarea schimbului de informatii intre UNEJ, camerele executorilor judecatoresti si Directia Regim Permise de
Conducere si Inmatriculare a Vehiculelor (DRPCIV);
- permita infiintarea unui sistem de arhiva electronica.
2. OS2. Imbunararirea competentelor profesionistilor din domeniul executarii hotararilor judecatoresti in directia eficientizarii
activitatii acestora, a unificarii jurisprudentei si a cresterii nivelului de transparenta si integritate a serviciului de interes public aflat
in competenta acestora prin instruire profesionala, ateliere de lucru, ghiduri de bune practici
3. OS3. Cresterea nivelului de informare publica, constientizare si educatie juridica cu privire la situatiile de executare silita prin
derularea unei campanii in mediul online, inclusiv pentru grupurile vulnerabile.
4. OS4. Imbunatatiirea activitatii de executare a hotar</t>
  </si>
  <si>
    <t>Îmbunătățirea Sistemului de Management al Calității la Primăria Municipiului Calafat</t>
  </si>
  <si>
    <t>Municipiul Calafat</t>
  </si>
  <si>
    <t>Obiectivul general al proiectului/Scopul proiectului
Obiective proiect
Obiectivul general al proiectului consta in sustinerea unui proces de management performant la nivelul Primariei municipiului Calafat,
proces ce va conduce la beneficii durabile si vizibile pentru grupul tinta angrenat, precum: certificarea sistemului de management al
calitatii si performantei in administratia publica locala conform standardului ISO 9001/2015; dezvoltarea personala profesionala prin
schimburi de experienta/networking cu autoritati, institutii, organisme publice nationale si internationale; dezvoltarea abilitatilor individuale
in domenii specifice activitatii administratiei publice.
Astfel, prin obiectivul general al proiectului se va aduce o contributie semnificativa la atingerea OS 2.1 al axei prioritare 2 a POCA prin
introducerea de sisteme si standarde comune in administratia publica locala , ce optimizeaza procesele orientate catre beneficiari in
concordanta cu SCAP 2014 - 2020.
Obiectivele specifice ale proiectului
1. Proiectul isi propune 3 obiective specifice care contribuie in mod efectiv la atingerea obiectivului general al proiectului, asigurand
o buna implementare a proiectului, printr-o corelare logica a acestora cu obiectivul general, rezultatele, indicatorii de proiect si
activitatile/ sub-activitatile proiectului.
Primul obiectiv specific ( OS1) consta in introducerea de instrumente , procese de management la nivel local si va fi atins prin
introducerea unui sistem de management al calitatii si performantei la nivelul Primariei Municipiului Calafat , in concordanta cu
Planul de actiuni pentru implementarea etapizata a managementului calitatii in autoritati si institutii publice 2016 - 2020 - conform
standardului ISO 9001/2015.
Al doilea obiectiv specific ( OS2) consta in organizarea de schimburi de experienta/ networking cu autoritati, institutii, organisme
publice nationale si internationale pentru grupul - tinta implicat si echipa proiectului si va fi atins prin organizarea a 2 workshopuri
si 2 schimburi de experienta transnationale in entitati similare din alte state membre UE.
Al treilea obiectiv specific ( OS3) consta in dezvoltarea abilitatilor persoanlului de la nivelul Primariei Municipiului Calafat pe teme
specifice de interes si va fi atins prin organizarea de 6 cursuri specializate pentru grupul tinta implicat in urmatoarele domenii:
Politici publice, Planificare bugetara, Control managerial intern, Comunicare profesionala, Management in administratia publica
locala, Utilizarea TIC in administratia publica</t>
  </si>
  <si>
    <t>Calafat</t>
  </si>
  <si>
    <t>Implementarea măsurilor de prevenire a corupției la nivelul Municipiului Calafat</t>
  </si>
  <si>
    <t>Obiectivul general al proiectului/Scopul proiectului
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t>
  </si>
  <si>
    <t>Municipiul Blaj- Administrație publică eficientă</t>
  </si>
  <si>
    <t>Municipiul Blaj</t>
  </si>
  <si>
    <t>Obiectivul general al proiectului/Scopul proiectului
Obiective proiect
Cresterea calitatii actului administrativ asigurat de administratia locala a municipiului Blaj tuturor categoriilor de beneficiari.
Obiectivele specifice ale proiectului
1. OS.1. Asigurarea sistemului de management al performantei si calitatii ISO 9001:2015, inclusiv digitalizarea serviciilor ce
optimizeaza procesele orientate catre beneficiari, in administratia locala a municipiului Blaj in termen de 8 luni de la initierea
procesului de implementare a acestora.
2. OS.2. Imbunatatirea cunostintelor si abilitatilor alesilor locali, precum si angajatilor administratiei locale in furnizarea si
comunicarea unor servicii publice de calitate, inclusiv digitalizate si online, catre beneficiari.</t>
  </si>
  <si>
    <t>Alba</t>
  </si>
  <si>
    <t>Blaj</t>
  </si>
  <si>
    <t>Inițiative în politici publice alternative pentru servicii sociale de impact</t>
  </si>
  <si>
    <t>Asociația Profesională Neguvernamentală de Asistență Socială ASSOC</t>
  </si>
  <si>
    <t>1. Asociația Profesională Neguvernamentală de Asistență Socială – Filiala Vâlcea                                                                       2. Ministerul Muncii si Justitiei Sociale</t>
  </si>
  <si>
    <t>Obiectivul general: Intarirea capacitatii ONG-urilor si a partenerilor sociali de a participa activ la procesul de luare a deciziei, prin dezvoltarea si introducerea
de sisteme si standarde comune, in vederea formularii si promovarii de propuneri alternative la politicile publice initiate de Guvern in
domeniul serviciilor sociale</t>
  </si>
  <si>
    <t>Propunere alternativă la politicile publice inițiate de Guvern în domeniul protecției consumatorilor</t>
  </si>
  <si>
    <t>Fundația Orizonturi Tinere</t>
  </si>
  <si>
    <t>n/a</t>
  </si>
  <si>
    <t xml:space="preserve">Obiectivul general al proiectului este "Optimizarea proceselor decizionale din domeniul protectiei consumatorilor orientate catre cetateni (consumatori) si mediul de afaceri (operatori economici) prin dezvoltarea unei propuneri alternative de politica publica in acest domeniu menita sa imbunatateasca gradul de informare si constientizare a tuturor partilor implicate asupra cadrului legal, procedural si informational aferente domeniului"                                                                                                                                                         OS1. Cresterea capacitatii Fundatiei Orizonturi Tinere si a altor ONG-uri (Asociatia Marilor Retele Comerciale din
Romania) de a elabora propuneri alternative de politici publice in domeniul protectiei consumatorilor prin accesul la programe de instruire a 81 de membri ai grupului tinta, inclusiv reprezentanti a 27 de Comisariate Judetene ale Protectiei Consumatorilor ".
 OS.2 "Imbunatatirea gradului de informare si constientizare a consumatorilor si a operatorilor economici prin formularea
si promovarea unei propuneri alternative la politicile publice initiate de Guvern in domeniul protectiei consumatorului". Prin intermediul grupurilorde lucru ce vor fi organizate vor fi identificate problemele/ provocarile cu care se confrunta atat consumatorii cat si operatoriieconomici vis a vis de diverse aspecte ale acestui domeniu si vor fi gasite solutii care sa rezolve sau sa atenueze acesteprobleme. In etapa de elaborare a propunerii alternative se vor centraliza informatiile culese in cadrul grupurilor de lucru si se vacontura un document care va fi supus dezbaterilor publice in cadrul a 2 conferinte de diseminare si promovare a propuneriialternative. Dupa finalizarea propunerii alternative de politica publica care va cuprinde, in principal, aspectele deficitare aferentedomeniului protectiei consumatorilor asupra carora este necesara interventia, iar pe de alta parte modalitatile de solutionare a acestora, va fi creat si pus in functiune un sistem reprezentat de 5 Infochioscuri Pilot prin intermediul carora se vor transmitemateriale audio-video cu mesaje de impact, corespunzatoare solutiilor identificate.                                                                                                                                           </t>
  </si>
  <si>
    <t>Municipiul Satu Mare</t>
  </si>
  <si>
    <t>OBIECTIV GENERAL: Introducerea si extinderea de sisteme si standarde comune în administraþia publica locala ce optimizeaza procesele orientate catre beneficiari în concordanþa cu SCAP.
OS 1. Introducerea utilizarii de instrumente de management ale calitaþii si performanþei (ISO9001:2015) în cadrul Serviciului public Poliþia Locala Satu Mare, Centrul Cultural ”G.M.Zamfirescu”, Teatrul de Nord Satu Mare si Filarmonica "Dinu Lipatti" Satu Mare.
OS 2. Sprijin privind tranziþia de la instrumentul de management ale calitaþii si performanþei ISO9001:2008 la ISO9001:2015 în cadrul Primariei Municipiului Satu Mare si Direcþia de Evidenþa a Persoanelor a municipiului Satu Mare.
OS 3. Dezvoltarea abilitaþilor unui numar de 50 de angajaþi privind sistemul de management al calitații, din cadrul instituþiilor publice locale implicate în derularea proiectului.</t>
  </si>
  <si>
    <t>Satu Mare</t>
  </si>
  <si>
    <t>Implementarea sistemului de management al calității pentru creșterea performanței administrației publice locale în municipiul Satu Mare</t>
  </si>
  <si>
    <t>Politici publice integrate de gestionare eficienta si transparenta a deseurilor municipale si a datelor -
TRADES</t>
  </si>
  <si>
    <t>Fundația TERRA MILENIUL III</t>
  </si>
  <si>
    <t>FEDERATIA ASOCIATIILOR DE DEZVOLTARE INTERCOMUNITARA CU OBIECT DE
ACTIVITATE MANAGEMENTUL INTEGRAT AL DESEURILOR</t>
  </si>
  <si>
    <t>PRO-INTEGR - consolidarea integrității, reducerea vulnerabilității și riscurilor de corupție în administrația publică din județul Bacău</t>
  </si>
  <si>
    <t>Obiective proiect
Cresterea capacitatii administrative de a preveni si reduce coruptia la nivelul Consiliului Judetean Bacau si a institutiilor subordonate prin
dezvoltarea si implementarea de mecanisme care sa faciliteze punerea in aplicare a Strategiei Nationale Anticoruptie 2016-2020.
Obiectivele specifice ale proiectului1. Cresterea transparentei, eticii si integritatii personalului din Consiliul Judetean Bacau, ca urmare a adoptarii si aplicarii
unitare a unui set de 5 proceduri in materie de etica si integritate, desfasurarea unui seminar informativ cu 21 participanti si elaborarea si distribuirea unei brosuri informative anticoruptie, intr-o perioada de 16 luni.
Cele 5 proceduri elaborate in cadrul proiectului sunt: procedura de sistem privind identificarea indicatorilor anticoruptie, procedura operationala privind identificarea riscurilor de coruptie, procedura operationala privind protejarea persoanelor care raporteaza fapte de coruptie, procedura operationala privind modalitatea de analiza a faptelor de coruptie, procedura de sistem privind implementarea standardului 1 “etica si integritate”. Implementarea procedurilor la nivelul institutiei va contribui la realizarea indicatorului de rezultat 5S25 – Autoritati si institutii publice care au adoptat proceduri operationale privind masurile preventive anticoruptie si indicatorii aferenti. 2. Cresterea gradului de implementare a masurilor eficiente de prevenire a coruptiei in judetul Bacau, prin desfasurarea unei campanii de constientizare a populatiei si a personalului din institutiile publice, a 10 mese rotunde cu 300 participanti din Consiliul Judetean, institutiile subordonate si UAT-urile din judet, intr-o perioada de 16 luni. Cele 10 mese rotunde organizate vor avea in vedere concluziile rezultate in urma realizarii activitatii de sondare a societatii civile privind eficienta masurilor anticoruptie implementate si vor avea ca rezultat sprijinirea unui numar de 99 autoritati si institutii publice sprijinite sa dezvolte proceduri operationale privind masurile preventive anticoruptie si indicatorii aferenti, contribuind astfel la realizarea indicatorului de realizare 5S64.</t>
  </si>
  <si>
    <t>PROGRES – Politici publice responsabile = Guvernare responsabilă</t>
  </si>
  <si>
    <t>FUNDATIA "CENTRUL DE RESURSE JURIDICE"</t>
  </si>
  <si>
    <t>Obiectivul general al proiectului consta în dezvoltarea capacitaþii organizaþiilor neguvernamentale de a formula si promova propuneri alternative la politicile publice iniþiate de Guvern si promovarea unor mecanisme care sa consolideze consultarea, trasparenþa si standardizarea în administraþia publica centrala.</t>
  </si>
  <si>
    <t>ReFormarea și eficientizarea Managementului Oncologic în România (reFEM-Onco-Ro)</t>
  </si>
  <si>
    <t>Fundația "Renașterea pentru Educație, Sănătate și Cultură"</t>
  </si>
  <si>
    <t xml:space="preserve">Institutul Național de
Sănătate Publică
</t>
  </si>
  <si>
    <t>Obiectivul general.: Cresterea capacitatii beneficiarului ONG de a formula si promova propuneri alternative la politicile publice initiate de Guvern, cu referire la screening-ul pentru cancerul de col uterin, prin derularea de activitati de capacitare si formare a personalului ONG si dezvoltarea de mecanisme de monitorizare si evaluare a politicilor si consultare a stakeholder-ilor, in concordanta cu SCAP 2014-2020.                                                                                                                                                                                                                  O.S.1: Dezvoltarea unor mecanisme independente de monitorizare si evaluare a politicilor publice, in vederea identificarii
statusului actual al programelor de screening privind cancerului de col uterin.                                                                                                                        O.S.2: Dezvoltarea capacitatii beneficiarului ONG, prin crearea unei retele nationale de ONG-uri din domeniul medical si
derularea de activitati de capacitare-formare in trei domenii relevante.                                                                                                                                   O.S.3: Implementarea unor mecanisme de consolidare a dialogului civic si consultare a stakeholder-ilor, in vederea fundamentarii propunerilor de imbunatatire a politicilor publice in domeniul screening-ului pentru cancerul de col uterin.              O.S.4: Formularea si promovarea unei propuneri alternative la politicile publice initiate de Guvern in domeniul screening-ului
pentru cancerul de col uterin</t>
  </si>
  <si>
    <t>Botoșani spune NU corupției</t>
  </si>
  <si>
    <t>Obiectivul general al proiectului/Scopul proiectului
Prevenirea si reducerea faptelor de corupþie la nivelul celor 140 de angajati ai Primariei Municipiului Botosani.
Obiectivele specifice ale proiectului
1. Elaborarea diagnozei instituþionale din punct de vedere al fenomenului de risc care favorizeaza vulnerabilitaþi la fapte de corupþie
2. Cresterea gradului de informare cu privire la fenomenul corupþiei si soluþiile de prevenire si eradicare
3. Cresterea capacitaþii interne pentru prevenirea si semnalarea cazurilor asociate fenomenului corupþiei
4. Educarea membrilor comunitaþii cu privire la importanþa si impactul masurilor anti-corupþie respectiv cu privire la rolul comunitaþii
în prevenirea si sancþionarea ei timpurie
5. Identificarea soluþiilor de consolidare a integritaþii instituþiei prin tratarea cauzelor si prevenirea posibilelor fapte de corupþie</t>
  </si>
  <si>
    <t xml:space="preserve">119 - Investiții în capacitatea instituțională și în eficiența administrațiilor și a serviciilor publice la nivel național, regional și local, în perspectiva realizării de reforme, a unei mai bune legiferări și a bunei </t>
  </si>
  <si>
    <t>Dezvoltarea unei culturi privind prevenirea corupției la nivelul autorității publice locale</t>
  </si>
  <si>
    <t>Obiectivul general al proiectului ,,Imbunatatirea si asigurarea unor servicii publice eficiente si de calitate,, se afla in concordanta cu
apelul Cererii de proiecte POCA/125/2/2 (CP1/2017) - Sprijinirea masurilor referitoare la prevenirea coruptiei la nivelul autoritatilor si
institutiilor publice locale din regiunile mai puþin dezvoltate din cadrul ghidului elaborat pentru POCA 2014-2020.
Scopul proiectului este de a contribui prin activitatile propuse la formarea unei culturi din care sa rezulte mai multa transparenta si
deschidere din partea autoritatii publice locale iar din partea cetatenilor, mai mult interes, implicare si responsabilizare în rezolvarea
problemelor anticorupție                                                                                                                                                                                         Obiectivele specifice ale proiectului
1. OS.1.Cresterea gradului de informare a publicului cu privire la impactul fenomenului de coruptie pentru 250 de cetateni.
OS.2.Cresterea gradului de educatie anticorupþie a personalului din cadrul autoritatii publice de locale pentru 150 de angajati.
OS.3. Imbunatatirea accesului beneficiarilor la serviciile publice – dezvoltarea de instrumente in vederea cresterii asumarii
responsabilitatii la nivelul autoritatii publice locale –realizarea unui Ghid de bune practici anticorupþie. Realizarea obiectivelor
specifice ale proiectului, va crea o administraþie publica moderna, capabila sa faciliteze dezvoltarea socio-economica, prin
intermediul unor servicii publice, investitii si reglementari de calitate. De aceea este nevoie in primul rand de resurse umane
competente si bine gestionate, un management eficient si transparent al utilizarii resurselor, precum si de identificarea si
utilizarea unor proceduri clare, simple si predictibile de functionare. Informarea cetatenilor este necesara, pentru a cunoaste ce
este corupþia, care sunt cauzele si efectele ei, cum se sancþioneaza. Astfel o societate civila mai bine informata, constienta de
rolul ei privind participarea, evaluarea si certificarea serviciilor publice, va avea ca efect o diminuare a faptelor de coruptie si va
reprezinta un instrument esential atat pentru functionari cat si pentru cetateni. Implementarea proiectului reprezinta o
oportunitatea pentru autoritatea publica locala si va conduce la dezvoltarea unei culturi privind sustinerea unui management
performant prin cresterea transparentei si eticii .</t>
  </si>
  <si>
    <t>SMART Decision</t>
  </si>
  <si>
    <t>ASOCIAȚA "CENTRUL DE PREVENIRE A CONFLICTELOR &amp; EARLY WARNING"</t>
  </si>
  <si>
    <t xml:space="preserve">1. ASOCIAȚIA ALIANȚA DUNĂREANĂ
PENTRU SECURITATE INFORMATICĂ                                      2.UNIVERSITATEA NAȚIONALĂ DE
APĂRARE "CAROL I" Partener                3. ASOCIAȚIA "CENTRUL DE ANALIZĂ ȘI STUDII DE SECURITATE"
</t>
  </si>
  <si>
    <t>Obiectivul general:Cresterea capacitatii de dezvoltare strategica si de implicare a organizaþiilor neguvernamentale, care activeaza în domeniul domeniu securitaþii naþionale, atât în regiunea mai dezvoltata (B-Il), cât si în cele 7 regiunile mai puþin dezvoltate ale României, în a formula si promova propuneri alternative cu impact national, la politicile publice în aria cheie securitate, realizarea sarcinilor privind apararea naþionala în condiþiile unui razboi simetric, asimetric ori hibrid prin implicarea sporita a rezervistilor voluntari, protecþia infrastructurii criticestrategice teritoriale si realizarea cooperarii cu autoritaþi/instituþii publice pentru optimizarea proceselor decizionale orientate catre cetaþeni,în concordanþa cu politicile si strategiile majore privind dezvoltarea României în viitorii ani si cu SCAP.                                                                                                                                    O1 - Dezvoltarea abilitaþilor si competenþelor practice a cel puþin 100 reprezentanþi ai ONG-urilor cu focus pe educaþie si
securitate, în sprijinul interesului naþional, implicarea profesionala în dialogul social si în procesul decizional, pe diferite niveluri ierarhice, în domeniul asigurarii apararii naþionale, protecþiei infrastructurilor critice teritoriale si rezilienþei acestora, cresteriicapacitatii de analiza si prognoza în plan socio-economic. Raspunde indicatorilor de realizare 5S44 si 5S45. 
 O2 - Facilitarea generarii si promovarea de catre ONG-uri cu focus pe educaþie si securitate a unor propuneri alternative la
politicile publice, în aria cheie a realizarii apararii securitatii nationale si securitatii cibernetice, alaturi de alte forþe ale sistemului naþional de aparare, în parteneriat cu autoritaþi/instituþii publice, prin oferirea unui suport integrat.
3. OS3 - Gasirea de soluþii alternative si complementare pentru generarea resursei umane specializate pentru situaþii de dezastre naturale si antropice, pentru situatii care tin de securitatea nationala si de securitatea cibernetica.</t>
  </si>
  <si>
    <t>Asociația Institutul pentru Politici Publice                            Universitatea George Bacovia</t>
  </si>
  <si>
    <t>AP 2/11i/2.1</t>
  </si>
  <si>
    <t>Anticorupție, integritate, promovarea eticii - AIPE</t>
  </si>
  <si>
    <t>Municipiul Tecuci</t>
  </si>
  <si>
    <t xml:space="preserve">Obiective proiect
Cresterea gradului de implementare a masurilor de prevenire a coruptiei la nivelul UAT Municipiul Tecuci, judetul Galati, regiunea mai putin dezvoltata Sud-est, in paralel cu consolidarea cunostintelor si competentelor pentru personalul din administratia publica locala privind prevenirea coruptiei si cresterea gradului de constientizare a efectelor coruptiei in randul acestora si al cetatenilor, in concordanta cu masurile stabilite in Strategia Nationala Anticoruptie 2016 – 2020. OS 1 Consolidatea integritatii, reducerea vulnerabilitatilor si a riscurilor de coruptie in cadrul institutiei prin elaborarea, revizuirea si simplificarea procedurilor administrative in materie de etica si integritate. Atingerea acestui obiectiv in cadrul Activitatii 1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1 si 2,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3 cu subactivitatile aferente unde vor avea lor dezbateri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35 de persoane din cadrul UAT Municipiul Tecuci, personal de conducere si executie din primarie si alesi locali privind masurile de prevenire a coruptiei si a standardelor de integritate.
Cresterea gradului de educatie anticorutie se va realiza prin implicarea personalului institutiei locale in programe de formare profesionala specifice privind conflictul de interese, etica, integritatea, etc.
</t>
  </si>
  <si>
    <t>ASOCIATIA MASTER. CONFERENCE. AWARDS. LAW. - (MCAL)</t>
  </si>
  <si>
    <t>Dezvoltarea mediului rural prin implementarea dialogului social si civic</t>
  </si>
  <si>
    <t>1. SINDICATUL LIBER INDEPENDENT AVICOLA BUZAU                                                 2. ASOCIATIA PENTRU PROMOVAREA SI CONSERVAREA BIODIVERSITATII, A TRADITIILOR RURALE, A TEHNICILOR SI PRODUSELOR TRADITIONALE ROBIOTRAD</t>
  </si>
  <si>
    <t>Cresterea capacitatii partenerilor sociali de a formula si promovara propuneri alternative la politicile publice prin instruie, dezvoltarea si implementarea unui instrument de monitorizare a politicilor publice precum si dezvoltarea si promovarea unei propuneri de modificare a politicilor publice pentru introducerea dialogului social si civic in mediul rural care va conduce la consolidarea capacitatii administratiei publice din mediul rural de a implementa instrumentele necesare cooperarii cu partenerii sociali in vederea orientarii procesului decizional local catre cetateni, in conformitate cu prevederile SCAP.</t>
  </si>
  <si>
    <t>Sacele</t>
  </si>
  <si>
    <t>Servicii transparente către cetățeni - Administrație locală perfromantă (SETALP)</t>
  </si>
  <si>
    <t>Integritate prin proceduri, instruire si prevenire - IPIP</t>
  </si>
  <si>
    <t>Municipiul Călărași</t>
  </si>
  <si>
    <t>Municipiul ROMAN</t>
  </si>
  <si>
    <t>Creșterea capacității administrative a Municipiului Roman prin reproiectarea SMC și introducerea CAF</t>
  </si>
  <si>
    <t>Terra Mileniul III</t>
  </si>
  <si>
    <t xml:space="preserve">Obiectivul general al proiectului: Creșterea capacitații administrative a Municipiului Roman prin introducerea CAF, reproiectarea SMC si formarea personalului în vederea optimizarii proceselor orientate catre beneficiari în concordanta cu SCAP
Obiectivele specifice: 
OS1 - Introducerea cadrului de auto-evaluare a modului de funcționare a instituțiilor publice (CAF) la nivelul administrației Municipiului Roman, ca instrument utilizat pentru managementul total al calitatii
OS2 - Reproiectarea si recertificarea sistemului de management al calității conform noilor cerințe ale SR EN ISO 9001:2015
OS3 - Formarea a 50 de persoane de la nivelul administrației Municipiului Roman în vederea creșterii nivelului de cunoștințe si abilități necesare pentru utilizarea si optimizarea permanenta a proceselor din perspectiva unei orientări către beneficiari
</t>
  </si>
  <si>
    <t>Neamt</t>
  </si>
  <si>
    <t>Roman</t>
  </si>
  <si>
    <t>Politica publica pentru mestesugul traditional</t>
  </si>
  <si>
    <t>Asociația Mesteșukar Mobil</t>
  </si>
  <si>
    <t>1. Ministerul Culturii și Identității Naționale                                         2. Secretariatul General al Guvernului</t>
  </si>
  <si>
    <t>Florești</t>
  </si>
  <si>
    <t>Obiectivul specific 1: Imbunatatirea abilitatilor si cunostintelor la nivelul a 20 de reprezentanti ai ONGurilor privind participarea publica, formularea, promovarea si monitorizarea politicilor publice.
Obiectivul specific 2: Elaborarea unei politici publice alternativa si documentata privind organizarea mestesugarilor in vederea
practicării activităţii acestora ca profesiune traditionala.
Obiectivul specific 3: Promovarea politicii publice alternative privind organizarea mestesugarilor in vederea practicarii activitatilor acestora ca profesiune traditionala in vederea integrarii in agenda publica spre a fi acceptata</t>
  </si>
  <si>
    <t>8 X S3 = ROMANIA INTELIGENTA</t>
  </si>
  <si>
    <t>Asociația Cluster Mobilier Transilvan</t>
  </si>
  <si>
    <t xml:space="preserve"> 1 –  Filiala Transilvania a Asociației Române pentru Industria Electronică și de Software -Arieș Transilvania
2 -  Asociația Cluster Agro-Food-Ind 
</t>
  </si>
  <si>
    <t>Obiectivul general al proiectului
Formulare si promovarea unui set de politici publice alternative în scopul cresterii competitivitaþii regiunilor din România.
Obiectivele specifice ale proiectului
1. 1. Crearea unui model de structura regionala capabila sa formuleze si sa promoveze propuneri alternative la politicile publice
guvernamentale in domeniul competitivitatii prin propuneri de monitorizare si actualizarea strategiilor regionale de specializare
inteligenta (S3).
2. 2. Multiplicarea modelului suport pentru generarea de propuneri politicile publice guvernamentale, pe baza structurilor relevante
regional, la nivelul tuturor regiunilor din România.</t>
  </si>
  <si>
    <t>TIMIS</t>
  </si>
  <si>
    <t>Timisoara</t>
  </si>
  <si>
    <t>Slatina</t>
  </si>
  <si>
    <t>Inițiativa civică pentru optimizarea prin tehnologie a relației dintre cetățean și autoritățile publice!</t>
  </si>
  <si>
    <t>FUNDATIA "CENTRUL DE ASISTENȚĂ PENTRU ORGANIZAȚII NEGUVERNAMENTALE"</t>
  </si>
  <si>
    <t>Obiectivul general: cresterea capacitatii societatii civile de a genera: 1 propunere de PP alternativa la legislatia ce reglementeaza relatia administratie publica-cetatean prin dezvoltarea de competente si metodologii prin care societatea civila sa poata contribui pe termen lung in mod activ in procesul decisional.</t>
  </si>
  <si>
    <t>TAEJ - Transparenta, accesibilitate si educatie juridica prin imbunatatirea comunicarii publice la nivelul sistemului judiciar</t>
  </si>
  <si>
    <t>Consiliul Superior al Magistraturii</t>
  </si>
  <si>
    <t>Obiectivul general: îmbunatatirea comunicarii publice la nivelul sistemului judiciar în vederea consolidarii imaginii acestuia, dar si asigurarea unei transparente sporite în interiorul si exteriorul sistemului, precum si îmbunatatirea accesului la justitie prin
cresterea gradului de informare, constientizare a drepturilor cetaþenilor si dezvoltarea culturii juridice.
Obiectivele specifice ale proiectului
OS 1:Imbunatatirea si abordarea integrata si unitara a comunicarii publice la nivelul sistemului judiciar
OS 2:Sprijinirea demersurilor institutiilor din sistemul judiciar pentru facilitarea accesului la informatii privind sistemul judiciar si serviciile publice furnizate cetatenilor
OS 3: Cresterea gradului de informare, constientizare a drepturilor cetaþenilor si dezvoltarea culturii juridice.</t>
  </si>
  <si>
    <t>Elaborare politica publica - Masuri de ocupare pentru tinerii NETs</t>
  </si>
  <si>
    <t>Asociatia pentru Antreprenoriat, Educatie si Sprijin pentru Tineret</t>
  </si>
  <si>
    <t>Institutul de Economie Nationala</t>
  </si>
  <si>
    <t>Obiectivul general al proiectului: Dezvoltarea de politici publice alternative in domeniul ocuparii fortei de munca si sprijinirea tinerilor someri, corelate cu cerintele europene
pentru sectorul ocupational in Romania</t>
  </si>
  <si>
    <t>CONVENTIA Nationala a Fundatiilor pentru Tineret</t>
  </si>
  <si>
    <t>Instrumente de consolidare a dialogului structurat în politicile publice în domeniul tineretului – ACTIVONGT</t>
  </si>
  <si>
    <t>1. Asociația CIVICUS România
2. Federația Consiliului Tineretului din România</t>
  </si>
  <si>
    <t>Obiectiv general: Consolidarea capacitatii structurilor neguvernamentale de/pentru tineret si a autoritaþilor publice, de a participa, prin mecanismul dialogului structurat, la dezvoltarea si promovarea unor instrumente de politici publice alternative în domeniul tineretului.
Obiective specifice:
1. Consolidarea dialogului structurat cu privire la teme prioritare ale politicilor publice în domeniul tineretului, ca mecanism de colaborare efectiva si eficienta între autoritati publice si structuri neguvernamentale de/pentru tineret, în procesul de elaborare si implementare a politicilor publice în domeniul tineretului, inclusiv a celor alternative, de la momentul dezvoltarii acestui mecanism, pâna la finalul proiectului.
2. Dezvoltarea unui cadru adecvat de implementare a politicilor publice în domeniul tineretului, inclusiv a celor alternative, prin proiectarea unor instrumente independente de implementare, monitorizare si evaluare
3. Adaptarea cadrului legal relevant (minim 3 acte normative) pentru domeniul politicilor publice în domeniul tineretului, la nevoile si realitatile sociale actuale, prin politici alternative, astfel încât acesta sa raspunda nevoilor tinerilor si structurilor neguvernamentale de/pentru tineret, sa fie aplicabil, efectiv si eficient.
4. Dezvoltarea capacitatii institutionale a 3 structuri neguvernamentale de/pentru tineret si a autoritaþii publice centrale cu atributii în domeniul tineretului, prin formarea si exersarea competentelor acestora  pentru mai buna participare a acestor actori, la elaborarea si implementarea politicilor publice în domeniul tineretului, inclusiv a celor alternative</t>
  </si>
  <si>
    <t>Implicarea salvează vieți!</t>
  </si>
  <si>
    <t>Societatea Națională de Cruce Roșie din România</t>
  </si>
  <si>
    <t>Obiectivul general al proiectului:
Obiectivul general al proiectului consta in consolidarea capacitatii Societatii Nationale de Cruce Rosie din Romania (SNCRR) de a formula si promova o alternativa cu impact national, la politicila publica initiata de Guvern in domeniul prevenirii si interventiilor in situatii de urgenta, in concordanta cu Strategia de Consolidare a Administratiei Publice.
Obiectivele specifice ale proiectului:
Os.1. Cresterea capacitatii de elaborare participativa a instrumentelor de evaluare a politicilor publice prin consolidarea dialogului social si civic;
2. Os.2. Dezvoltarea capacitatii de promovare a initiativelor alternative la politica publica a Guvernului in domeniul prevenirii si interventiilor in situatii de urgenta;
3. Os.3. Dezvoltarea mecanismului de consolidare a dialogului social si civic cu impact asupra diminuarii consecintelor unei situatii de urgenta prin intalniri de lucru (caravana scolara);
4. Os.4. Dezvoltarea responsabilitatii civice prin implicarea comunitatilor locale si promovarea principiilor de egalitate de sanse, nediscriminare precum si dezvoltare durabila;
5. Os.5. Cresterea gradului de informare, constientizare si responsabilizare a populaþiei in accord cu directiile Politicii de ajutor umanitar in domeniul dezastrelor (de exemplu, sprijinirea autoritatilor in cadrul interventiilor desfasurare cu prilejul manifestarii unor dezastre, naturale sau artificiale, cunoscand masurile de actiune ale acestora, participarea la evacuarea timpurie a comunitatii si/sau implementarea de masuri menite sa limiteze efectele unor dezastre iminente, implicarea participativa la elaborarea si implementarea unor masuri locale de reducere a riscurilor specifice comunitatii etc).
6. Os.6. Sprijinirea societatii civile si responsabilizarea actorilor importanti in vederea diminuarii consecintelor dezastrelor si pregatirea inerventiei in situatii de urgenta.</t>
  </si>
  <si>
    <t>Obiectiv general: Cresterea eficientei servicilor publice de gestionare a deseurilor municipale, prin dezvoltarea de politici si standarde comune, promovate in mod unitar si transparent, in interesul cetatenilor si mediului de afaceri.
Obiectivele specifice ale proiectului:
1. Cresterea capacitatii ONG-urilor de implicare în formularea si promovarea de politici publice integrate pentru gestionarea eficienta si transparenta a deseurilor municipale si a datelor raportate privind deseurile municipale;
Acest obiectiv va fi atins intr-o perioada de 16 luni de implementare a proiectului si va contribui la cresterea capacitatii a 2 ONGuri prin activitati ce vizeaza instruirea a 75 de reprezentanti in domeniul managementului deseurilor (subact. 2.1) si 25 de reprezentanti in domeniul politicilor publice (subact. 2.2) si participarea a 5 reprezentanti ONG la conferinte internationale pe tema managementului deseurilor (subact.2.3).
2. Îmbunatatirea politicilor publice privind serviciile publice de gestionare a deseurilor municipale. Va fi realizat in 16 luni prin implementarea activitatii 4 - Formularea si promovarea a cinci politici publice alternative la politica Guvernului privind managementul deseurilor municipale si activitatii 5 - Dezvoltare si implementare soft de monitorizare si evaluare a implementarii politicii privind managementul deseurilor municipale prin intermediul careia se va monitoriza implementarea politicii publice.
3. Construirea consensului în vederea adoptarii modificarilor la politicile publice propuse; Acest obiectiv va fi realizat intr-o perioada de 16 luni prin implementarea act.3 - Constituirea si functionarea unei platforme de cooperare si dialog privind managementul deseurilor municipale si realizarea a 5 intalniri de construire a consensului cu privire la politica propusa de ONGuri.</t>
  </si>
  <si>
    <t>Sprijinirea măsurilor referitoare la prevenirea corupției la nivelul autorităților publice locale din regiunile mai puțin dezvoltate</t>
  </si>
  <si>
    <t>Codlea</t>
  </si>
  <si>
    <t xml:space="preserve">Creşterea transparenţei, eticii şi integrităţii la nivelul Municipiului Codlea,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etica si integritatea, inclusiv prin abordarea temelor de devoltare durabila, egalitate de şanse, nediscriminare şi egalitate de gen.
</t>
  </si>
  <si>
    <t xml:space="preserve">Alege libertatea, spune NU corupției </t>
  </si>
  <si>
    <t>Sectorul 2 al Municipiului București</t>
  </si>
  <si>
    <t>Obiectivul general al proiectului/Scopul proiectului
Obiective proiect
Obiectivul general al proiectului vizeaza cresterea transparentei, eticii si integritatii in cadrul Primariei Sectorului 2 prin imbunatatirea
cunostintelor si competentelor a 200 de angajati in domeniile anticoruptie, etica si integritate, operationalizarea a 2 mecanisme privind
masurile anticoruptie si conflictul de interese si desfasurarea unei campanii de contientizare publica anticoruptie.
Obiectivele specifice ale proiectului
1. OS1. Asigurarea unei transparente sporite a actiunilor intreprinse de Primaria Sectorului 2 prin identificarea, dezvoltarea,
implementarea a 2 mecanisme privind masurile anticoruptie si conflictul de interese.
2. OS2. Promovarea transparentei, integritatii si raspunderii in exercitatea functiei publice prin imbunatatirea cunostintelor si
competentelor unui numar de 200 angajati ai Primariei Sectorului 2 in domeniile anticoruptie, etica si integritate.
3. OS3. Cresterea nivelului de educatie anticoruptie prin desfasurarea unei campanii de constientizare publica la nivelul Sectorului
2.</t>
  </si>
  <si>
    <t>Dialog Social Eficient pentru Politici Publice Alternative in Educatia Timpurie</t>
  </si>
  <si>
    <t>CENTRUL PENTRU EDUCATIE SI DREPTURILE OMULUI</t>
  </si>
  <si>
    <t>UNIVERSITATEA 1 DECEMBRIE 1918 ALBA IULIA</t>
  </si>
  <si>
    <t>Obiectivul general al proiectului este dezvoltarea capacitatii Asociatie CEDO pentru a se implica in formularea si promovarea unei propunerii de politica publica alternativa la politicile initiate de Guvern in domeniul educatiei timpurii, prin instruirea a 30 de persoane din cadrul organizatiei in domeniul politicilor publice.                                                                                                                                             OS1 - Evaluarea impactului politicilor in domeniul educatiei timpurii in Romania, prin realizarea unui studiu de impact la nivel
national si european privind educatia timpurie a copiilor din crese, in primele 4 luni de proiect;
OS2 - Consolidare a dialogului social si civic in randul organizatiilor implicate in dezvoltarea educatiei timpurii a copiilor din
cresele din Romania, prin dezvoltarea unui mecanism eficient de consultare publica (incluzand componenta online) a actorilor
cheie din domeniu (parteneri sociali, autoritati publice, institutii de invatament, ONG-uri s.a.), in primele 6 luni de proiect si
testarea acestuia in cadrul proiectului;
OS3 - Intarirea capacitaþii Asociatiei CEDO in vederea formularii si promovarii unei propuneri alternative la politicile publice iniþiate de Guvern in domeniul infiintarii, organizarii, functionarii creselor in Romania, prin instruirea a 30 de persoane, in primele 6 luni de proiect;
OS4 - Dezvoltarea capacitatii Asociatiei CEDO, care activeaza in domeniul educatiei timpurii in vederea formularii si promovarii
unei politici publice alternativa la HG 1252/2012 si Legea 263/2007, contribuind la reforma administraþiei publice si de interacþiune cu autoritaþile si instituþiile administraþiei publice si dezvoltarea unui dialog social eficient, pe parcursul celor 16 luni de proiect;
OS5 - Sensibilizarea autoritatilor publice si responsabilizarea partenerilor sociali si ONG-urilor in vederea implicarii, pe toata
durata proiectului, in sustinerea si promovarea iniþiativelor de reforma a administraþiei publice si acceptarea politicii publice
alternative formulate in proiect, prin derularea unei campanii de comunicare integrata la nivel national.</t>
  </si>
  <si>
    <t>Dezvoltarea capacității Asociației Colegiul Pacienților de a se implica în formularea și promovarea de alternative la politicile de sănătate publică inițiate de Ministerul Sănătății și Casa Națională de Asigurări de Sănătate</t>
  </si>
  <si>
    <t>Asociația Colegiul Pacienților</t>
  </si>
  <si>
    <t xml:space="preserve">Obiectivul general al proiectului:
Dezvoltarea capacitatii Asociatiei Colegiul Pacientilor de a se implica in formularea si promovarea de alternative viabile la politicile de sanatate publica initiate de Guvernul Romaniei prin Ministerul Sanatatii si Casa Nationala de Asigurari de Sanatate precum si prin Consiliile locale ce administreaza infrastructura medicala, alternative ce doresc sa vina in sprijinul dezvoltarii de sisteme si standarde comune.
Obiectivele specifice ale proiectului:
OS1 – Imbunatatirea procesului legislativ din sanatate prin implicarea Asociatiei Colegiului Pacientilor in formularea de 3 propuneri de politici publice de sanatate ca si alternative la politica de sanatate publica (domeniile amulatoriu, paraclinice, spitalizare, etc).
OS2 – Elaborarea de propuneri ce sa vina in sprijinul cetatenilor in ceea ce priveste simplificarea procedurilor birocratice si administrative din sanatate si cresterea calitatii actului medical in cadrul unitatilor medicale administrate de autoritatile publice locale.
OS3 – Sustinerea sistemului de sanatate prin avansarea unor propuneri care sa faciliteze accesul la serviciile medicale si sa simplifice legislatia existenta in sanatate.
OS4 – Prin formularea propunerilor si a masurilor alternative la politica de sanatate publica se doreste cresterea capacitatii Asociatiei Colegiul Pacientilor de a se implica in promovarea egalitatii de sanse, a unei dezvoltari durabile la nivel local, regional si national.
OS5 – Selectia si consilierea unui numar de 300 persoane , membre a grupului tinta eligibil pentru aceasta cerere de proiecte, pentru strangerea de informatii necesare elaborarii acestor politici alternative (prin mese rotunde, work-shopuri, interactiuni cu pacienti, vizite in spitale, etc), politici ce urmeaza a fi sintetizate intr-un manual tiparit.
OS6 - Asigurarea transparenþei informaþiilor referitoare la proiect si la rezultatele acestuia precum si stabilirea unui sistem eficient de comunicare interna între toate parþile interesate implicate în gestionarea proiectului.
</t>
  </si>
  <si>
    <t>Municipiul Toplița</t>
  </si>
  <si>
    <t>Imbunatatirea calitatii serviciilor furnizate de primaria Municipiului Toplita prin introducerea si mentinerea sistemului de management al calitatii ISO9001:2015</t>
  </si>
  <si>
    <t>Toplița</t>
  </si>
  <si>
    <t>Consolidarea integritatii în institutiiile_x000D_
publice si în mediul de afaceri</t>
  </si>
  <si>
    <t>MINISTERUL FINANTELOR PUBLICE</t>
  </si>
  <si>
    <t>MINISTERUL ECONOMIEI</t>
  </si>
  <si>
    <t>Obiectivul general al proiectului consta în îmbunataþirea activitaþii de identificare, sancþionare si de prevenire a cazurilor de
incompatibilitaþi, conflicte de interese si averi nejustificate la nivelul autoritaþilor administraþiei publice centrale si a Parlamentului.
Obiectivul general, ce este urmarit prin implementarea de activitaþi subsumate la 4 obiective specifice, are în vedere implementarea unui numar semnificativ dintre direcþiile de acþiune aflate în sarcina ANI conform Strategiei Naþionale Anticorupþie 2016-2020 (SNA), acþiuni de punere în practica a obiectivului specific 5.2 al SNA: „Îmbunataþirea activitaþii de identificare, sancþionare si de prevenire a cazurilor de bincompatibilitaþi, conflicte de interese si averi nejustificate” si care contribuie de asemenea si la atingerea benchmark-ului nr. 2 al Mecanismului de Cooperare si verificare.</t>
  </si>
  <si>
    <t>Obiectivul general al proiectului consta in cresterea integritatii si reducerea vulnerabilitatilor si a riscurilor de coruptie in mediul de afaceri prin dezvoltarea de proceduri si mecanisme in domeniul eticii si integritatii, in cadrul Ministerului Finantelor Publice si al Ministerului Economiei.                                                                                                                                                                                                            Os.1. Cresterea rezistentei institutionale la fenomene de coruptie prin identificarea riscurilor si vulnerabilitatilor de coruptie pe
sectoare de activitate, in fiecare minister, in functie de specificul activitatii si situatia existenta a fiecarei institutii;
Os.2. Diminuarea riscului de dezvoltare a fenomenului de coruptie prin elaborarea de metodologii si proceduri specific in functie
de specificul activitatii si situatia existenta a fiecarei institutii;
Os.3. Cresterea gradului de constientizare a riscurilor generate de fenomenul coruptiei prin derularea a doua campanii de
constientizare cu specific institutional;
Os.4. Cresterea nivelului de pregatire profesionala a angajatilor din cele doua institutii in domeniul prevenirii fenomenului de
coruptie si totodata eficientizarea implementarii procedurilor elaborate.</t>
  </si>
  <si>
    <t>Teatrul în educație</t>
  </si>
  <si>
    <t>ASOCIAȚIA TEATRUL VIENEZ DE COPII "COPIII JOACĂ TEATRU"</t>
  </si>
  <si>
    <t xml:space="preserve">Ob. General al proiectului este „Dezvoltarea capacitaþii Asociþiei Teatrul Vienez pentru Copii si a altor ONG-uri cu activitate în domeniul educaþiei de a sustine si promova reforma administratiei publice prin formularea, promovarea si monitorizarea de politici publice alternative
pentru educatie”
Obiective specifice: 
1. FORMULAREA A CEL PUTIN 2 POLITICI PUBLICE ALTERNATIVE TESTATE SI BAZATE PE DOVEZI PENTRU
DOMENIUL EDUCATIE NON-FORMALE;
2. CRESTEREA CAPACITATII DE FORMULARE SI ADVOCACY PENTRU POLITICI PUBLICE ALTERNATIVE
EDUCATIONALE PENTRU 500 PERSOANE;
3. CRESTEREA GRADULUI DE CONSTIENTIZARE SI IMPLICARE CIVICA PRIVIND IMPORTANTA EDUCATIEI
ALTERNATIVE PRIN ORGANIZAREA A 13 EVENIMENTE IN CADRUL proiectului "TEATRUL IN EDUCATIE".
</t>
  </si>
  <si>
    <t>Act aditional nr. 1/13.09.2018</t>
  </si>
  <si>
    <t>AP 2/11i /2.1</t>
  </si>
  <si>
    <t>AP 2/11i /2.3</t>
  </si>
  <si>
    <t>TestIMM – Imbunătățirea capacității mediului de afaceri pentru a propune politici publice alternative la inițiativele guvernamentale</t>
  </si>
  <si>
    <t>Asociația Patronatul Tinerilor Întreprinzători din Regiunea Sud-Est</t>
  </si>
  <si>
    <t>Obiectivul general al proiectului il constituie imbunatatirea capacitatii Patronatului Tinerilor Intreprinzatori din Regiunea Sud - Est de a formula si promova propuneri alternative la politicile publice initiate de Guvern si Parlament, care afecteaza mediul de afaceri din Romania. Acest lucru se va realiza prin dezvoltarea de instrumente care ajuta la evaluarea politicilor publice si consolidarea dialogului civic si elaborarea unui numar de 5 propuneri alternative de politici publice.</t>
  </si>
  <si>
    <t>Galațí</t>
  </si>
  <si>
    <t>Împreună spunem Stop abandonului școlar!</t>
  </si>
  <si>
    <t>SOCIETATEA NATIONALĂ DE CRUCE ROȘIE FILIALA DÂMBOVIȚA</t>
  </si>
  <si>
    <t>Obiectivul general al proiectului consta în consolidarea capacitaþii Societaþii Naþionale de Cruce Rosie Filiala Dâmboviþa de a formula si promova o alternativa cu impact naþional, la politica publica iniþiata de Guvern în domeniul prevenirii parasirii timpurii a scolii si în concordanþa cu Strategia de Consolidare a Administraþiei publice.
Obiective specifice:
Os.1. Cresterea capacitaþii de elaborare participativa a instrumentelor de evaluare a politicilor publice prin consolidarea dialogului social si civic;
Os.2. Dezvoltarea capacitaþii de promovare a iniþiativelor alternative la politica publica a Guvernului;
Os.4. Dezvoltarea responsabilitaþii civice prin implicarea comunitaþilor locale si promovarea principiilor de egalitate de sanse, nediscriminare precum si dezvoltare durabila
Os.5. Cresterea gradului de informare, constientizare si responsabilizare a comunitaþilor prin promovarea alternativei la politica publica
Os.6. Sprijinirea societaþii civile si responsabilizarea actorilor importanþi în vederea încurajarii participarii copiilor la învaþamântul obligatoriu.</t>
  </si>
  <si>
    <t>Târgoviște</t>
  </si>
  <si>
    <t>Help again!</t>
  </si>
  <si>
    <t>SOCIETATEA NATIONALĂ DE CRUCE ROȘIE FILIALA SATU MARE</t>
  </si>
  <si>
    <t xml:space="preserve">Obiectivul general al proiectului, consecinta a indeplinirii obiectivelor specifice, consta in consolidarea capacitatii Societatii Nationale de Cruce Rosie Filiala Satu Mare de a formula si promova o alternativa cu impact national, la politicila publica initiata de Guvern in domeniul migratiei, care sa faciliteze procesul de integrare al imigrantilor cu implicarea si responsabilizarea societatii civile precum si pregatirea,
dobandirea de noi competente pentru reprezentanti ai societati civile si ai institutiilor publice in scopul co-participarii in situatii de risc.
Obiective specifice:
Os.1. Cresterea capacitatii de dezvoltare a unor instrumente pentru evaluarea politicilor publice.
Os.2. Dezvoltarea mecanismului de consolidare a dialogului social si civic cu impact asupra diminuarii consecintelor unei situatii de risc.
Os.3. Dezvoltarea capacitatii de elaborare si promovare de alternative la politica publica a Guvernului
Os.4. Dezvoltarea responsabilitatii civice prin implicarea comunitatilor locale si promovarea principiilor de egalitate de sanse, nediscriminare precum si dezvoltare durabila
Os.5. Cresterea gradului de informare, constientizare si responsabilizare a populaþiei printr-un numar de intervenþii strategic alese, pentru prevenirea si reducerea consecintelor unei situatii de risc; cresterea accesului la informaþia de calitate, inclusiv în mediul online
</t>
  </si>
  <si>
    <t>ANALIZA, EFICIENTIZAREA SI
ACTUALIZAREA CADRULUI LEGAL ÎN
DOMENIUL TURISMULUI</t>
  </si>
  <si>
    <t>MINISTERUL TURISMULUI</t>
  </si>
  <si>
    <t>SECRETARIATUL GENERAL AL
Parteneri GUVERNULUI</t>
  </si>
  <si>
    <t>Obiectivul general al proiectului il reprezinta optimizarea procesului decizional si eficientizarea activitatii la nivelul Ministerului Turismului prin sistematizarea si reglementarea legislatiei care guverneaza domeniul turismului, in vederea indeplinirii functiilor si realizarii obiectivelor strategice din domeniile coordonate, conform mandatului institutional.                                                                                                                                                                                                                                                                                     OS 1: Identificarea, fundamentarea si formularea unei politici publice in domeniul turismului identitar.
2. OS 2: Diagnoza si analiza comparativa a cadrului normativ în vigoare incident domeniului turismului, identificarea redundanetelor
si anacronismelor, simplificarea, actualizarea si sistematizarea fondului legislativ activ al legislatiei din domeniul turismului;
3. OS 3: Dezbaterea propunerilor de simplificare, actualizare si sistematizare a legislatiei care reglementeaza domeniul turismului.</t>
  </si>
  <si>
    <t>EDU Digital - Propunere alternativa de politica publica pentru simplificarea cadrului legislativ în
educaþie</t>
  </si>
  <si>
    <t>ASOCIATIA ,,UNIUNEA EDITORILOR DIN ROMANIA"</t>
  </si>
  <si>
    <t>OG: Cresterea capacitatii ONG-urilor si partenerilor sociali de a formula propuneri alternative la politicile publice initiate de Guvern in vederea simplificarii legislatiei aferente domeniului educational si integrarea principiilor orizontale si a temelor secundare in filozofia interventiilor in acest sector cu focus pe utilizarea noilor tehnologii prin instruirea a 160 de de persoane din 40 de ONG-uri si parteneri sociali care activeaza in domeniul educatiei si noilor tehnologii si implicarea a 60 de persoane din 10 ONG-uri, parteneri sociali si autoritati centrale relevante pentru educatie in formularea si promovarea PPA, timp de 16 luni.</t>
  </si>
  <si>
    <t>QUALIMED - Reþea pentru formularea politicilor publice privind calitatea serviciilor si siguranþa
pacientilor în sectorul sanitar</t>
  </si>
  <si>
    <t>ASOCIAÞIA CREST</t>
  </si>
  <si>
    <t>AUTORITATEA NAŢIONALĂ DE MANAGEMENT AL CALITĂŢII ÎN SĂNĂTATE</t>
  </si>
  <si>
    <t>Obiectivul general al proiectului este cresterea capacitaþii a 20 de ONG-uri cu activitate relevanta în domeniul sanataþii la nivel naþional si a partenerilor sociali (organizaþii sindicale), atât din regiunea mai dezvoltata (Bucuresti-Ilfov), cât si din regiunile mai puþin dezvoltate pentru a formula si promova propuneri alternative la politicile publice de sanatate iniþiate de Guvern.</t>
  </si>
  <si>
    <t>AA1/20.09.2018</t>
  </si>
  <si>
    <t>AA7/19.09.2018</t>
  </si>
  <si>
    <t>Omdrap nr. 5760/21.09.2018</t>
  </si>
  <si>
    <t>Omdrap nr. 5759/21.09.2018</t>
  </si>
  <si>
    <t>Politici publice locale – un element fundamental pentru creșterea calității procesului decizional la nivelul administrației publice locale</t>
  </si>
  <si>
    <t>Asociația Institutul pentru Politici Publice</t>
  </si>
  <si>
    <t>ASOCIAȚIA MUNICIPIILOR DIN ROMÂNIA</t>
  </si>
  <si>
    <t>Scopul proiectului este acela de a crea mecanisme si instrumente funcþionale care sa conduca la cresterea calitaþii procesului decizional la nivelul administraþiei publice locale, pentru a raspunde în mod fundamentat si coerent nevoilor comunitaþilor locale, concomitent cu dezvoltarea capacitaþii societaþii societaþii civile si a partenerilor sociali de la nivel local de a se implica activ în elaborarea de politici publice viabile la nivel naþional si local.
Obiective specifice:
1.Cresterea calitaþii procesului de fundamentare a deciziei la nivelul autoritaþilor administraþiei publice locale de la nivelul celor 103 municipii din România si a sectoarelor Municipiului Bucuresti prin dezvoltarea unui pachet de instrumente adaptate procesului decizional local (minim 3 instrumente) menite sa standardizeze etapele ciclului de politici publice si sa sporeasca expertiza personalului implicat în procesul de formulare de politici publice la nivel local (planificare si formulare a politicilor publice, dezvoltarea unor documente metodologice adaptate la specificul procesului decizional local, norme minimale de standardizare a procesului de formulare politicilor publice etc.)
2. Cresterea capacitaþii organizaþiilor neguvernamentale locale si a partenerilor sociali/grupurilor de iniþiativa de la nivelul municipiilor României/a sectoarelor municipiului Bucuresti de a se implica în promovarea si formularea de propuneri alternative la politicile publice iniþiate de autoritaþile publice de la toate nivelurile.
3. Cresterea nivelului de cunoastere si informare la nivelul administraþiei publice locale municipale privind iniþierea de politici publice ce folosesc mecanisme de optimizare a proceselor decizionale, orientate catre cetaþeni si mediul de afaceri local, în concordanța cu Strategia pentru Consolidarea Administrației Publice.</t>
  </si>
  <si>
    <t>Finalizat</t>
  </si>
  <si>
    <t>MV</t>
  </si>
  <si>
    <t>Elaborarea unei Politici publice alternative la politicile publice inițiate de Guvern în domeniul locuirii durabile, prin promovarea de soluții care să conducă la creșterea accesibilității clădirilor de locuit de tip nZEB-SOL nZEB</t>
  </si>
  <si>
    <t xml:space="preserve">Asociația Producătorilor de Materiale de Contrucții din România </t>
  </si>
  <si>
    <t xml:space="preserve">Universitatea de Arhitectură și Urbanism "Ion Mincu" </t>
  </si>
  <si>
    <t>Obiectivul general al proiectului il reprezinta cresterea capacitaþii APMCR de a formula propuneri alternative la Politicile publice inițiate de Guvern în domeniul locuirii durabile, prin promovarea de soluții care sa conduca la creasterea accesibilității clădirilor de locuit de tip nZeb si combaterii saraciei energetice, in special pentru populatia din mediul rural apartinand categoriilor de venituri sub medie.
Scopul proiectului il reprezinta pregatirea profesionala a angajatilor, membrilor si voluntarilor APMCR si a ONG-urilor partenere in domenii cheie, care vor sprijini imbunatatirea capacitatii proprii a acestora de a se implica in formularea si promovarea de propuneri alternative la politicile publice initiate de Guvern in domeniul locuirii durabile.
OS1: Realizarea activitatilor proiectului avand in vedere principiile unui management eficient.
OS2: Realizarea activitatilor de informare, publicitate si diseminare rezultate proiect respectand elementele de identitate vizuala aferente programului.
OS3: Realizarea unui studiu privind tehniciile si tehnologiile de realizare a cladirilor de locuit de tip nZeb în zone cu clima
temperata.
OS4:Cresterea capacitatii de interconectare/lobby a partenerilor sociale cu autoritatile publice si cresterea capacitatii acestora de a formula si promova propuneri de politici publice alternative la politicile publice iniþiate de Guvern în domeniul proiectarii cladirilor de locuit de tip nZeb, prin instruirea unui numar de 75 de persoane în domeniul specific proiectului dar si în domeniul comunicarii specifice ONG-urilor.
OS5: Elaborarea unei Politici publice alternative la politicile publice iniþiate de Guvern în domeniul locuirii durabile si combatere a saraciei energetice, prin promovarea gratuita, de catre primarii, de soluþii ieftine, durabile si facile din punct de vedere al realizarii, pentru cresterea nivelului de confort, reducere a consumului de energie si crestere a independentei energetice a locuintei, aplicabile pentru:
a) realizararea de locuinte noi de tip nZEB;
b) reabilitarea locuintelor existente in scopul cresterii nivelului de confort si incadrarii in categoria nZEB.
OS6: Dezvoltarea retelei SOL nZEB-instrument de consolidare a dialogului social si civic si de promovare a Politicii publice initiate in domeniul locuirii durabile.</t>
  </si>
  <si>
    <t>Omdrap nr. 5844/03.10.2018</t>
  </si>
  <si>
    <t>AA1/18.09.2018</t>
  </si>
  <si>
    <t>Obiectivul general al proiectului/Scopul proiectului
Consolidarea integrităţii la nivelul Primăriei Municipiului Călăraşi şi Serviciilor Publice Locale aflate în subordinea Consiliului Local al Municipiului Călăraşi în vederea creşterii calităţii serviciilor publice locale
Obiectivele specifice ale proiectului
1. Creşterea gradului de implementare a măsurilor de prevenire a corupţiei şi a indicatorilor de evaluare la nivelul Primăriei Municipiului Călăraşi şi Serviciilor Publice Locale, aflate în subordinea Consiliului Local al Municipiului Călăraşi;
2. Creşterea gradului de conştientizare a efectelor corupţiei la nivelul personalului din Primăria Municipiului Călăraşi şi Serviciilor Publice Locale aflate în subordinea Consiliului Local al Municipiului Călăraşi, precum şi a aleşilor locali;
3. Îmbunătăţirea cunoştinţelor şi a competenţelor personalului din Primăria Municipiului Călăraşi şi Serviciilor Publice Locale aflate în subordinea Consiliului Local al Municipiului Călăraşi, precum şi a aleşilor locali în ceea ce priveşte prevenirea corupţiei.</t>
  </si>
  <si>
    <r>
      <rPr>
        <sz val="12"/>
        <rFont val="Calibri"/>
        <family val="2"/>
        <scheme val="minor"/>
      </rPr>
      <t xml:space="preserve">
Obiective proiect
Creşterea transparenţei, eticii şi integrităţii la nivelul Municipiului Giurgiu,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Obiectivele specifice ale proiectului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t>
    </r>
    <r>
      <rPr>
        <b/>
        <sz val="12"/>
        <rFont val="Calibri"/>
        <family val="2"/>
        <charset val="238"/>
        <scheme val="minor"/>
      </rPr>
      <t xml:space="preserve">etica si integritatea, inclusiv prin abordarea temelor de devoltare durabila, egalitate de </t>
    </r>
    <r>
      <rPr>
        <sz val="12"/>
        <rFont val="Calibri"/>
        <family val="2"/>
        <scheme val="minor"/>
      </rPr>
      <t>şanse, nediscriminare şi egalitate de gen.
 Pentru realizarea Obs.6) s-a avut în vedere activitatea A.8. Dezvoltarea si implementarea unor programe de educatie in domeniul prevenirii si combaterii coruptiei, precum si de dobandire de competente privind etica si integritatea pentru angajatii (demnitari, consilieri, personal de conducere si executie) din administratia publica locala. Rezultatul 6 contribuie la atingerea acestuia.</t>
    </r>
    <r>
      <rPr>
        <b/>
        <sz val="12"/>
        <rFont val="Calibri"/>
        <family val="2"/>
        <charset val="238"/>
        <scheme val="minor"/>
      </rPr>
      <t xml:space="preserve">
</t>
    </r>
  </si>
  <si>
    <t>AP 2/11i /2.2</t>
  </si>
  <si>
    <t>AP2/11i /2.3</t>
  </si>
  <si>
    <t>ASOCIATIA ARES'EL</t>
  </si>
  <si>
    <t>Acces egal la educaþie pentru minoritațile
etnice din România</t>
  </si>
  <si>
    <t>UNIVERSITATEA DE ARTE DIN TARGU MURES</t>
  </si>
  <si>
    <t>Obiectivul General:
Optimizarea procesului de reforma educaþionala în vederea asigurarii accesului egal la educaþie pentru minoritaþile etnice din România prin implicarea activa si cresterea capacitaþii a 40 de ONG-uri si parteneri sociali de a formula si propune politici publice în educaþie cu integrarea egalitaþii de sanse si nediscriminarii etnice pe toate paliere, prin instruirea a 120 de persoane din ONG-uri si parteneri sociali ce activeaza în domeniul egalitaþii de sanse si nediscriminarii, educaþie, tineret, voluntariat si facilitarea accesului acestora
la un mecanism de dialog civic pentru alerta a discriminarii etnice în educaþie, prin desfasurarea unei campanii de dialog civic si advocacy pentru formularea, promovarea si acceptarea unei propuneri alternative de politici publice privind combaterea discriminarii etnice în educaþie, la nivel national pe parcursul a 16 luni.
Obiective specifice:
OS1. Cresterea capacitaþii a 40 de ONG-uri si parteneri sociali care activeaza în domeniul egalitaþii de sanse si nediscriminare, educaþiei, tineret si voluntariat de a se implica în formularea si promovarea de propuneri alternative la politicile publice iniþiate de Guvern în educaþie prin dezvoltarea si livrarea catre 120 pers din cele 40 org vizate a doua traininguri si facilitarea accesului la mecansimul de dialog civic pentru alerta de discriminare etnica în învaþamânt, timp de 16 luni.
OS2. Formularea, promovarea si acceptarea de catre autoritaþile publice centrale relevante din domeniul educaþiei a unei propuneri alternative de politica publica privind accesul egal la educaþie pentru minoritaþile etnice din România de catre 7 ONG-uri si parteneri sociali alaturi de o instituþie de învaþamânt superior multi-etnica, timp de 16 luni.
OS3. Cresterea dimensiunii participative a ONG-urilor, partenerilor sociali si mediului academic în integrarea principiului egalitatii de sanse în educaþie prin dezvoltarea unui mecanism de alerta a discriminarii etnice în învaþamânt, timp de 16 luni.</t>
  </si>
  <si>
    <t>Ploiești</t>
  </si>
  <si>
    <t>DialLogos</t>
  </si>
  <si>
    <t>SINDICATUL NATIONAL AL LUCRATORILOR DE PENITENCIARE</t>
  </si>
  <si>
    <t>INSTITUTUL NATIONAL DE
CERCETARE STIINTIFICA IN
DOMENIUL MUNCII SI PROTECTIEI
SOCIALE - I N C S M P S</t>
  </si>
  <si>
    <t>Obiectivul general al proiectului este de a sprijini dialogul social în sectorul administrației publice în vederea optimizării proceselor decizionale în domeniul resurselor umane din sistemului penitenciar.                                                                                                                                                                                                                                              Obiectivele specifice ale proiectului
1. Dezvoltarea capacității a 8 parteneri sociali din sistemul penitenciar de a identifica probleme și modalități alternative de raspuns cu privire la gestionarea resursei umane din sistemul penitenciar, prin dezvoltarea, ajustarea și transferul unui set de instrumente specifice fundamentării și monitorizării resursei umane la nivelul partenerilor sociali implicați.
2. Pregatirea a 40 de reprezentanți ai sindicatelor din sistemul penitenciar și formarea competențelor necesare utilizării setului de instrumente, aplicarii acestora, colectarii, prelucrarii si interpretarii informaþiilor în scopul monitorizarii politicilor si practicilor de resurse umane si a identificarii independente a unor modalitati alternative de raspuns
3. Facilitarea procesului de formulare de politici alternative la nivelul reprezentanþilor sindicatelor din sistemul penitenciar, de la prioritizare probleme, strategii de raspuns, obținerea consensului social, finalizat cu 2 propuneri alternative de politica înaintate instituțiilor responsabile, însoțite de o foaie de parcurs a procesului de dialog social</t>
  </si>
  <si>
    <t>ARGUS - integritate, etică, transparenţă, anticorupţie în finanţarea partidelor politice şi a campaniilor electorale</t>
  </si>
  <si>
    <t>AUTORITATEA ELECTORALĂ PERMANENTĂ</t>
  </si>
  <si>
    <t xml:space="preserve">Obiectiv general
Creșterea transparentei, eticii si integrității în cadrul Autorității Electorale Permanente, contribuind la implementarea obiectivului 3.5 din cadrul Strategiei Naționale Anticorupție 2016-2020.
Obiectivele specifice ale proiectului
1. Îmbunătățirea capacității administrative a AEP prin transparența vizând prevenirea vulnerabilităților si a riscurilor de corupție în finanțarea partidelor politice si a campaniilor electorale
2. Creșterea capacității AEP de asigurare a eticii si integrității la nivelul instituției promovând norme unitare si proceduri actualizate în domeniul controlului si managementului riscurilor si vulnerabilităților instituționale
3. Dezvoltarea competențelor necesare personalului din AEP în vederea identificării riscurilor si vulnerabilităților interne si a exercitării funcției de control cu respectarea standardelor legale de integritate
</t>
  </si>
  <si>
    <t>AA1 / 09.06.2017                                       AA2/12.10.2018</t>
  </si>
  <si>
    <t>Implementarea managementului calitatii serviciilor furnizate de Municipiul Buzau</t>
  </si>
  <si>
    <t>UNITATEA ADMINISTRATIV TERITORIALA MUNICIPIUL BUZAU</t>
  </si>
  <si>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</si>
  <si>
    <t>Municipiul Buzau</t>
  </si>
  <si>
    <t>METROPOLITAN – Politica publica alternativa la politicile publice iniþiate de Guvern în domeniul
transportului public local si metropolitan de calatori din România</t>
  </si>
  <si>
    <t>Asociația pentru Mobilitate Metropolitană</t>
  </si>
  <si>
    <t>Obiectivul general al proiectului este cresterea capacitaþii Federaþiei Zonelor Metropolitane si Aglomerarilor Urbane din România (FZMAUR), a ADI-urilor membre ale acesteia (13 ONG-uri) precum si a Asociaþiei pentru Mobilitate Metropolitana (AMM) de a formula si promova propuneri alternative la politicile publice iniþiate de Guvern în domeniul transportului public local si metropolitan de calatori din România.
Obiectivele specifice:
A) Analiza situaþiei existente a transportului public local si metropolitan de calatori la nivelul a 20 de poli de crestere/poli de dezvoltare urbana/municipii resedinþa de judeþ. Studiul va fi realizat de catre partenerul Asociaþia pentru Mobilitate Metropolitana, având în vedere experienþa acestuia în domeniu si va prezenta starea actuala a serviciului de transport public local si metropolitan de calatori si a problemelor existente în cadrul a 20 de localitaþi relevante, constituind un punct de pornire pentru elaborarea politicii publice alternative în domeniu.
B) Instruirea grupului þinta în domeniul management în transporturi. Scopul instruirii grupului þinta format dintr-un numar de 40 de persoane, care au atribuþii, direct sau indirect, în domeniul transportului public local si/sau metropolitan de calatori, este de a le creste competenþele în planificarea/gestionarea/monitorizarea serviciului public de transport local si metropolitan de calatori si de a-si îmbunataþi capacitatea de a formula si promova propuneri de politici publice alternative la politicile publice iniþiate de Guvernul României în domeniu.
C) Elaborarea unei Politici publice alternative la politicile publice iniþiate de Guvern în domeniul transportului public local si metropolitan de calatori din România. Politica publica alternativa va încerca sa rezolve o serie de probleme identificate la nivelul transportului public local si metropolitan de calatori, precum si de necorelari legislative identificate.</t>
  </si>
  <si>
    <t>AA5 /24.11.2017
AA6/18.10.2018</t>
  </si>
  <si>
    <t>NEAMȚ</t>
  </si>
  <si>
    <t>Implementarea managementului calității - administrație durabilă (IMCAD)</t>
  </si>
  <si>
    <t>Județul Neamț</t>
  </si>
  <si>
    <t>Obiectivul general al proiectului il reprezinta imbunatatirea calitatii si eficientei serviciilor publice furnizate la nivelul Consiliul Judetean Neamt prin consolidarea capacitatii administrative de a gestiona aceste servicii, prin implementarea si utilizarea a doua sisteme unitare de management al calitaþii CAF si ISO, aplicabile administraþiei locale.                                                                                 OS1: Realizarea procedurilor de lucru in cadrul Consiliului Judetean Neamt, conform standardelor de calitate a serviciilor publice pe plan international – CAF                                                                                                                                                                                                                 OS2: Obtinerea certificarii ISO 9001:2015 a Sistemului de Management al Calitatii                                                                                                                                      OS3: Realizarea programului de pregatire / perfectionare in vederea implementarii si utilizarii SMC</t>
  </si>
  <si>
    <t>Municipiul Piatra Neamț</t>
  </si>
  <si>
    <t>PRO: Performanta si calitate in managementul organizational al Consiliului Judetean Calarasi</t>
  </si>
  <si>
    <t>Obiectivul general al proiectului - Introducerea si implementarea unitara a instrumentului specific ISO 9001, in vederea dezvoltarii unui sistem optim, unitar si performant de management al calitatii si al performantei, in cadrul unitatii administrativ teritoriale la nivelulul Judetului Calarasi.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a Judetului Calarasi,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</si>
  <si>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Municipiul Calarasi</t>
  </si>
  <si>
    <t>Imbunatatiri privind calificarea si ocuparea in domeniul textil cu sprijinul actorilor relevanti din sector</t>
  </si>
  <si>
    <t>Asociatia Comitetul Sectorial din Ramura Textile, Confectii - COMITEX</t>
  </si>
  <si>
    <t>Asociatia Astrico Nord - Est Savinesti</t>
  </si>
  <si>
    <t>Obiectivul general al proiectului este dezvoltarea capacitatii Comitex si Asociatiei „Astrico Nord-Est” de a promova propuneri alternative privind politicile de calificare si ocupare, cu accent pe sectorul textil.                                                                                                   Obiectivele specifice ale proiectului
1. Dezvoltarea abilitatilor pentru formularea de propuneri de politici privind calificarea si ocuparea, cu accent pe sectorul textil, printrun schimb de experienta
2. Determinarea situatiei actuale legate de politica privind calificarea si ocuparea, cu accent pe sectorul textil, prin elaborarea unei analize diagnostic
3. Stabilirea unor propuneri de imbunatatire a politicii privind calificarea si ocuparea, cu accent pe sectorul textil, cu ajutorul unui sistem informatic, a unui eveniment de diseminare/ consultare si a unui ghid de masuri</t>
  </si>
  <si>
    <t>Sănătatea mintală - prioritate pe agenda publică!”</t>
  </si>
  <si>
    <t>SOCIETATEA ROMANA DE SPRIJIN A VIRSTNICILOR SI A SUFERINZILOR CU AFECTIUNI DE TIP ALZHEIMER</t>
  </si>
  <si>
    <t xml:space="preserve">Obiectivul general al proiectului consta in dezvoltarea si introducerea de politici, sisteme si standarde comune alternative în administrația publica ce optimizează procesele decizionale din domeniul sănătății mintale cu accent pe demente, in concordanta cu SCAP, pe o perioada de 16 luni. OG-ul proiectului vizează formularea de alternative cu privire la Legea Sănătății Mintale (Legea 487/2002 republicata in 2012). Problema centrala abordata in cadrul obiectivului general se refera la capacitatea scăzută a organizațiilor si a partenerilor sociali din domeniul sănătății mintale si socio-medicale de a formula si promova alternative la Legea Sănătății Mintale (Legea 487/2002 republicata in 2012), lipsindu-le instrumentele necesare pentru realizarea acestui lucru, putându-se vorbi chiar de cvasi-inexistenta acestora in procesul decizional. Beneficiile durabile pentru membrii GT-ului in urma implementării proiectului sunt următoarele:
-oportunitatea de a se dezvolta din punct de vedere profesional si instituțional, prin asigurarea condițiilor pentru dezvoltarea abilitaților si dobândirea competentelor necesare in vederea formulării si promovării de politici publice;
-oportunitatea de a pune in practica cunoștințele dobândite in cadrul proiectului prin dezvoltarea unei propuneri de politici publice alternative;
-oportunitatea de a-si exprima opiniile, părerile si pozițiile in cadrul consultărilor publice;
-un nivel de adaptabilitate mai crescut la provocările si cerințele viitoare, o atitudine pozitiva privind implicarea in formularea de politici publice;
-oportunitatea de a se implica in îmbunătățirea cadrului legislativ, in baza experienței profesionale dobândite din domeniul lor de activitate.
</t>
  </si>
  <si>
    <t>Asociația Habilitas - Centrul de Resurse și formare profesională</t>
  </si>
  <si>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</si>
  <si>
    <t>Judetul Salaj</t>
  </si>
  <si>
    <t>Sălajul spune NU corupției!</t>
  </si>
  <si>
    <t>Județul Sălaj</t>
  </si>
  <si>
    <t>AA1 /08.11.2018</t>
  </si>
  <si>
    <t>Obiectivul general: Cresterea gradului de constientizare a pericolului pe care-l reprezinta actul de corupție la nivelul administraþiei publice locale.
Obiectivele specifice ale proiectului:
1. Cresterea gradului de constientizare si a nivelului de educaþie anticorupție pentru personalul din cadrul Consiliului Județean Salaj si pentru alesi locali din județ.
2. Prevenirea si combaterea corupþiei în cadrul Consiliului Județean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</si>
  <si>
    <t>Implică-te în politici publice pentru afaceri</t>
  </si>
  <si>
    <t>ASOCIAȚIA PENTRU DEZVOLTAREA ANTREPRENORIATULUI FEMININ</t>
  </si>
  <si>
    <t>Federația Zonelor Metropolitane și Agromerărilor Urbane din România</t>
  </si>
  <si>
    <t>AA 1/12.11.2018</t>
  </si>
  <si>
    <t>PROETIC:ETICA+TRANSPARENTA+INTEGRITATE-CORUPTIE</t>
  </si>
  <si>
    <t>Asociatia Terra Mileniul III</t>
  </si>
  <si>
    <t xml:space="preserve">
Obiective proiect
Obiectivul general al proiectului il constituie cresterea transparentei, eticii si integritatii la nivelul Municipiului Ploiesti, prin implementarea de masuri de prevenire a coruptiei, cresterea nivelului de educatie anticoruptie a personalului, precum si prin aplicarea normelor, masurilor si procedurilor in materie de etica, integritate si anticoruptie reglementate la nivelul institutiilor publice.
Obiectivele specifice ale proiectului
1. OS1: Dezvoltarea si implementarea de mecanisme si proceduri in vederea asigurarii transparentei, eticii si integritatii la nivelul
Municipiului Ploiesti
2. OS2: Dezvoltarea si implementarea de actiuni si masuri in vederea prevenirii si combaterea coruptiei, prin promovarea dialogului cu societatea civila si cresterea gradului de educatie anticoruptie in Municipiul Ploiesti
3. OS3: Cresterea nivelului de cunostinte si competente a 40 de persoane din personalul Municipiului Ploiesti, in vederea prevenirii coruptiei, cresterii transparentei, eticii si integritatii</t>
  </si>
  <si>
    <t>CP10 less /2018</t>
  </si>
  <si>
    <t>Viziune și performanță prin implementarea unor instrumente de planificare strategică, sisteme de managementul calității/performanței și a unor sisteme informatice inovative la nivelul Municipiului Focșani</t>
  </si>
  <si>
    <t>Consolidarea capacitaþii instituþionale a Primariei Municipiului Focsani prin introducerea de instrumente de planificare strategica, sisteme si standarde de management al calitaþii si performanþei pentru optimizarea proceselor administrative ale primariei si adoptarea unor masuri de simplificare a furnizarii serviciilor catre cetațeni si mediul de afaceri, prin implementarea unor sisteme informatice inovative.
Obiectivele specifice ale proiectului
1. Realizarea strategiei de dezvoltare durabila 2021 - 2027 a municipiului Focsani care va fundamenta deciziile strategice si
planificarea bugetara pe termen lung la nivelul instituției
2. Implementarea unui sistem de management al performanței BSC pentru a asigura gestiunea si masurarea acțiunilor strategice la nivelul Municipiului Focsani
3. Extinderea sistemului ISO 9001:2015 existent la nivelul municipiului Focsani prin asigurarea unor proceduri de lucru ce corespund unor procese optimizate de furnizare a serviciilor publice prin mijloace electronice
4. Optimizarea activitaþilor interne ale funcþionarilor, prin implementarea unei platforme integrate de management al activitaþilor si al înregistrarilor, inclusiv prin digitalizarea si gestiunea electronica a arhivei primariei Focsani, precum si implementarea unei platforme de tip portal pentru servicii care sa fie furnizate online catre cetațeni
5. Îmbunatațirea abilitaților si cunostinþelor personalului municipiului Focsani în domeniul managementului strategic, al
managementului calitații/performanței, pentru utilizarea sistemelor informatice dezvoltate prin proiect si pentru gestionarea
documentelor electronice</t>
  </si>
  <si>
    <t>Sisteme informatice inovative pentru simplificare administrativă și optimizare a furnizării serviciilor pentru cetățeni</t>
  </si>
  <si>
    <t>Obiectivul general al proiectului
Simplificare administrativa si optimizarea serviciilor online furnizate catre cetaþeni, inclusiv prin digitizarea arhivei la nivelul Primariei Municipiului Buzau, contribuind astfel la îndeplinirea obiectivului specific 2.1 al POCA "Introducerea de sisteme si standarde comune în administraþia publica locala ce optimizeaza procesele orientate catre beneficiari în concordanță cu SCAP".
Obiectivele specifice ale proiectului
1. Optimizarea activitaților interne ale funcționarilor, prin implementarea unei platforme integrate de management al activităților si al înregistrarilor, inclusiv prin digitalizarea si gestiunea electronica a arhivei primariei Buzau
2. Configurarea unor noi servicii în portal
3. Îmbunataþirea abilitaþilor si cunostințelor personalului municipiului Buzau  pentru utilizarea sistemelor informatice dezvoltate prin proiect si pentru gestionarea documentelor electronice</t>
  </si>
  <si>
    <t>Eficienta instituțională prin investiții la nivel
local</t>
  </si>
  <si>
    <t>Obiectivul general consta în îmbunatațirea capacitaþii administrative, a calitatii si eficientei serviciilor publice furnizate la nivelul UAT Municipiul Tecuci, județul Galați, din regiunea mai puþin dezvoltata Sud-Est, prin investiții integrate si complementare conform reglementarilor europene si naționale (planificare strategica instituționala, revizuire si actualizare strategie de dezvoltare locala UAT Tecuci, sistem informatic pentru arhiva electronica si implementarea unui sistem informatic personalizat pentru optimizarea serviciilor administratiei locale).
OS 1: Implementarea unor mecanisme si proceduri standard (actualizare Strategie de dezvoltare a Municipiului, Plan strategic
instituþional, proceduri cadru de adoptare a hotarârilor de consiliu local) pentru a creste eficienþa acþiunilor adimintrative la nivelul Municipiului Tecuci. 
2. OS 2. Masuri de simplificare a procedurilor administrative si reducerea birocraþiei prin crearea si integrarea unui sistem informatic pentru arhiva (digitalizarea arhivelor) si administrarea electronica a documentelor (registratura) la nivelul Municipiului Tecuci.
3. OS 3. Imbunatatirea competentelor profesionale a unui numar de circa 70 persoane din toate nivelurile ierarhice din cadrul UAT Municipiul Tecuci pe teme specifice, în urma unei analize de nevoi.</t>
  </si>
  <si>
    <t>CP10 more/2018</t>
  </si>
  <si>
    <t>e-CETATEAN (Cunoastere, Egalitate, Transparenta, Administratie, Tinta, Evolutie,Actualitate, Normalitate)</t>
  </si>
  <si>
    <t>Sector 4 București</t>
  </si>
  <si>
    <t>Obiectivul general:Dezvoltarea unui management performant la nivelul Primariei Sectorului 4 Bucuresti, prin cresterea calitaþii procesului decizional,
reducerea birocratiei, cresterea eficientei, transparenþei si integritaþii serviciilor publice oferite cetaþenilor si mediului de afaceri ca urmare a
introducerii unui Spatiu Virtual Unic si a Arhivei electronice ; Obiective specifice:1. OS1:Imbunatatirea procesului decizional si de planificare strategica la nivelul Sectorului 4 prin schimburi de experienta, analiza si evaluarea intermediara a Strategiei de dezvoltare a Sectorului 4 pentru perioada 2016-2020 si elaborarea Strategiei de dezvoltare pentru perioada 2020-2024 2. OS2:Simplificarea procedurilor, accesul rapid la informatii si reducerea birocratiei pentru cetateni si mediul de afaceri prin implementarea Spatiului Virtual Unic la nivelul Sectorului si a Arhivei electronice.3. OS3:Dezvoltarea cunostinþelor si abilitaþilor profesionale pentru 90 de persoane din GT: 75 de persoane ca urmare a implementarii Spatiului Univ Virtual al Sectorului 4 si Arhivei electronice si 15 persoane pe teme de planificare strategica si politici publice locale Formarea celor 90 de persoane va cuprinde un modul de dezvoltare durabila, egalitate de sanse, nediscriminare si egalitate de gen.</t>
  </si>
  <si>
    <t>Municipiul Roman</t>
  </si>
  <si>
    <t>ADMINISTRAȚIE ELECTRONICĂ LA NIVELUL MUNICIPIULUI ROMAN PENTRU REDUCEREA
BIROCRAȚIEI</t>
  </si>
  <si>
    <t>Obiectivul general al proiectului consta consolidarea capacitaþii instituþionale si eficientizarea activitaþii la nivelul Municipiului Roman, prin simplificarea procedurilor administrative si reducerea birocraþiei pentru cetaþeni, implementând masuri din perspectiva back-office (adaptarea procedurilor interne de lucru, digitalizarea arhivelor), si front-office pentru serviciile publice furnizate.                                                                                                                                                                                                                                     OS1.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Roman, în vederea sprijinirii masurilor vizate de proiect. Este avuta în vedere formarea/instruirea, evaluarea/testarea si certificarea competenþelor/cunostinþelor dobândite pentru 50 persoane din cadrul grupului þinta, în ceea ce priveste utilizarea soluþiilor informatice implementate în cadrul proiectului (R3).</t>
  </si>
  <si>
    <t>Municipiul Târgu Jiu</t>
  </si>
  <si>
    <t>Obiectiv specific: Introducerea de sisteme si standarde comune în administraþia publica locala ce optimizeaza procesele orientate catre beneficiari în concordanþa cu SCAP.                                                                                                                                                                           OS1. Simplificarea procedurilor administrative si reducerea birocraþiei pentru cetaþeni în Primaria Municipiului Târgu Jiu.
OS2. Îmbunataþirea cunostințelor si abilitaþilor personalului din Primaria Municipiului Târgu Jiu în vederea optimizarii masurilor simplificate pentru cetățeni.</t>
  </si>
  <si>
    <t>Dezvoltarea Capacității Administrative a Municipiului Bârlad</t>
  </si>
  <si>
    <t>Municipiul Bârlad</t>
  </si>
  <si>
    <t>Obiectivul general al proiectului este reprezentat de simplificarii procedurilor administrative si reducerea birocratiei, precum si introducerea de sisteme de calitate si standarde comune, adaptarea structurilor interne si pregatirea resurselor umane de la nivelul administratiei publice locale, in vederea consolidarii capacitatii administrative, in concordanta cu Strategia pentru Consolidarea Administratiei Publice 2014-2020</t>
  </si>
  <si>
    <t xml:space="preserve">AA /1 03.12.2018 </t>
  </si>
  <si>
    <t>A.R.C.A. - Accesibilitatea procedurilor administrative prin Reducerea birocratiei si digitizare pentru</t>
  </si>
  <si>
    <t>Municipiul Craiova</t>
  </si>
  <si>
    <t>Obiectivul general al proiectului/Scopul proiectului
Consolidarea capacitaþii Primariei municipiului Craiova de a asigura calitatea si accesul la serviciile publice oferite exclusiv de Primarie
prin simplificarea procedurilor administraþiei locale si reducerea birocraþiei pentru cetaþeni                                                       Obiectivele specifice ale proiectului
1. Reducerea cu minim 10% a timpului aferent livrarii serviciilor catre cetaþeni
2. Implementarea fluxului electronic pentru cel puþin 10 servicii oferite online (acte livrate semnate electronic) exclusiv de primarie.
3. Punerea la dispoziþia cetaþenilor a unui nou portal de servicii electronice
4. Simplificarea fluxurilor interne prin eliminarea nevoii de acte doveditoare eliberate deja de Primarie
5. Imbunatatirea accesului la informatiile institutiei prin actualizarea site-ului web al instiutiei pentru a fi responsive, intuitiv si accesibil persoanelor cu dizabilitaþi
6. Elaborarea unui instrument extranet pentru confirmare a veridicitaþii actelor emise de instituþie</t>
  </si>
  <si>
    <t>120 - Investiții în capacitatea instituțională și în eficiența administrațiilor și a serviciilor publice la nivel național, regional și local, în perspectiva realizării de reforme, a unei mai bune legiferări și a bunei guvernanțe</t>
  </si>
  <si>
    <t>Planificare Strategică pentru dezvoltarea durabilă a județului Vaslui</t>
  </si>
  <si>
    <t>Municipiul Vaslui</t>
  </si>
  <si>
    <t>OG Dezvoltarea capacitaþii de formulare a politicilor publice de catre Consiliul Judeþean Vaslui pentru dezvoltarea economica si sociala a judeþului, prin implementarea unui proces participativ de planificare strategica.OS 1. Cresterea capacitaþii de fundamentare a deciziilor referitoare la dezvoltarea economico-sociala a judeþului Vaslui prin
elaborarea participativa si adoptarea unei strategii de dezvoltare durabila pentru perioada 2021-2027.
2. OS2. Cresterea competenþelor a minim 50 de persoane cheie, de la nivelul aparatului de specialitate al instituþiei Consiliului Judeþean Vaslui, pentru elaborarea si implementarea politicilor publice locale pâna la finalizarea proiectului.</t>
  </si>
  <si>
    <t>Smart CT</t>
  </si>
  <si>
    <t>Obiectivul general al proiectului consta in consolidarea capacitatii administrative a Unitatii Administrativ Teritoriale Municipiul Constanta prin dezvoltarea capacitatii de planificare strategica si prin simplificarea procedurilor administrative, corelata cu introducerea de metode electronice de gestionare si management a documentelor administrative, fapt ce va determina cresterea calitaþii actului administrativ pe termen lung.
Obiectivele specifice ale proiectului
1. OS 1 Dezvoltarea capacitatii de planificare strategica la nivelul administratiei publice locale din municipiul Constanta prin
realizarea Strategiei Smart City a municipiului.
2. OS 2 Eficientizarea si simplificarea serviciilor furnizate cetatenilor de catre prin implementarea unei solutii de portal cu servicii digitale pentru cetateni, managementul documentelor, ERP si digitalizarea partiala a arhivei.
3. OS3 Promovarea modernizarii in administratia publica locala din Municipiul Constanta prin specializarea angajatilor primariei pe teme specifice proiectului (planificare strategica) ceea ce va determina motivarea si mobilizarea acestora in directia inovatiei si in oferirea de servicii publice de calitate catre cetateni.</t>
  </si>
  <si>
    <t>eFuncționar+. Servicii electronice și simplificare administrativă</t>
  </si>
  <si>
    <t>Obiective specifice: Cresterea eficienþei administrative a Primariei Municipiului Brasov prin implementarea unor sisteme informatice inovative - ca masuri de simplificare a furnizarii serviciilor catre cetaþeni si mediul de afaceri. Obiectivele specifice ale proiectului
1. Optimizarea activitaþilor interne ale funcþionarilor, prin implementarea unei platforme integrate de management al activitaþilor si al înregistrarilor
2. Modernizarea platformei de tip portal prin implementarea de noi solutii tehnice si servicii care sa fie furnizate online catre cetățeni
3. Imbunataþirea abilitaþilor si cunostinþelor personalului municipiului Brasov pentru utilizarea sistemelor informatice dezvoltate prinproiect si pentru gestionarea documentelor electronice</t>
  </si>
  <si>
    <t>Municipiul Brașov</t>
  </si>
  <si>
    <t>Municipiului Bacău</t>
  </si>
  <si>
    <t>Implementarea unei platforme informatice cu componente back-office și front-office ca măsură de simplificare administrativă și optimizare a furnizării serviciilor pentru cetățeni la nivelul Municipiului Bacău</t>
  </si>
  <si>
    <t xml:space="preserve">Creşterea eficienţei administrative a Primăriei  Municipiului Bacău prin implementarea unor sisteme informatice inovative - ca măsuri de simplificare a furnizării serviciilor către cetăţeni şi mediul de afaceri.
Obiectivele specifice ale proiectului
1. Optimizarea activităţilor interne ale funcţionarilor, prin implementarea unei platforme integrate de management al activităţilor şi al înregistrărilor, inclusiv prin digitalizarea şi gestiunea electronică a arhivei primăriei Bacău 2. Implementarea unei platforme de tip portal pentru servicii care să fie furnizate online către cetăţeni
3. Îmbunătăţirea abilităţilor şi cunoştinţelor personalului municipiului Bacău pentru utilizarea sistemelor informatice dezvoltate prin proiect şi pentru gestionarea documentelor electronice
</t>
  </si>
  <si>
    <t xml:space="preserve">la dispoziţie de servicii administrative şi guvernare locală utilizând mijloace electronice, prin implementarea unui sistem informatic de management integrat cu funcţii de de e-administraţie şi e-guvernare şi elaborarea strategiilor de dezvoltare durabilă şi Smart City pentru municipiul Galaţi.
Obiectivele specifice ale proiectului
1. Implementarea unui sistem informatic de management integrat (cuantificare: 1 sistem informatic implementat în cadrul Primăriei Municipiului Galaţi) 2. Întărirea capacităţii instituţionale în cadrul Primăriei Municipiului Galaţi prin formarea profesională a unui număr de 123 persoane în vederea sprijinirii acţiunilor de implementare a unui sistem informatic de management integrat (cuantificare: 123 persoane din cadrul Primăriei Municipiului Galaţi instruite şi certificate la încetarea calităţii de participant la formarea profesională) 3. Dezvoltarea capacităţii de planificare strategică la nivelul administraţiei publice locale din Municipiul Galaţi prin realizarea Strategiei de Dezvoltare Durabilă pentru orizontul 2021-2017 şi a Strategiei Smart City.
</t>
  </si>
  <si>
    <t>Implementarea unui sistem informatic integrat de management al documentelor, arhivă electronică și managementul relației cu cetățenii și mediul de afaceri, elaborarea Strategiilor de Dezvoltare Durabilă și Smart City</t>
  </si>
  <si>
    <r>
      <t xml:space="preserve">Municipiului </t>
    </r>
    <r>
      <rPr>
        <sz val="12"/>
        <color theme="1"/>
        <rFont val="Times New Roman"/>
        <family val="1"/>
      </rPr>
      <t>Galați</t>
    </r>
  </si>
  <si>
    <t>ePS2 - Servicii online pentru cetaþeni</t>
  </si>
  <si>
    <t>Sector 2 București</t>
  </si>
  <si>
    <t>Obiectivul general al proiectului il reprezinta optimizarea si modernizarea proceselor si serviciilor furnizate la nivelul Primariei Sectorului 2
al Municipiului Bucuresti, din regiunea dezvoltata, prin masuri de planificare strategica institutionala si prin introducerea unui sistem
informatic pentru managementul documentelor, registratura electronica si arhiva electronica in vederea optimizarii proceselor orientate
catre cetateni in concordanta cu SCAP</t>
  </si>
  <si>
    <t>Strategia de dezvoltare a judetului Braila 2021-2027</t>
  </si>
  <si>
    <t>Obiectivul general al proiectului il reprezinta consolidarea capacitatii administratiei publice locale din judetul Braila in vederea realizarii obiectivelor de dezvoltare a judetului Braila, in concordanta cu liniile strategice europene, nationale si regionale. Obiective specifice:1 Realizarea Strategiei de dezvoltare a judetului Braila pentru perioada 2021-2027.
2. Simplificarea procedurilor administrative si reducerea birocratiei in sprijinul cetatenilor prin retro-digitalizarea arhivei Consiliului Judetean Braila.3. Imbunatatirea cunostintelor si abilitatilor personalului din administratia publica locala a judetului Braila prin formarea specifica in domeniul planificarii strategice, in vederea obtinerii de beneficii durabile</t>
  </si>
  <si>
    <t>Fundamentarea deciziilor, planificare strategica si masuri de simplificare pentru cetaþeni la nivelul administraței publice locale din Municipiul Motru.
Obiectivele specifice ale proiectului
1. Obiectiv specific 1: Elaborarea Strategiei de dezvoltare locala a UAT Municipiul Motru pe perioada 2021-2027, a Planului strategic institutional al Municipiului Motru pe perioada 2020-2021.
2. Obiectiv specific 2: Implementarea unei solutii informatice privind simplificarea procedurilor administrative si reducerea birocratiei pentru cetateni si retrodigitalizarea documentelor din arhiva UAT Municipiul Motru.
3. Obiectiv specific 3: Dezvoltarea abilitatilor personalului din cadrul UAT Municipiul Motru.</t>
  </si>
  <si>
    <t>Consolidarea Capacității Administrative a UAT Municipiul Motru</t>
  </si>
  <si>
    <t>Introducerea de sisteme si standarde comune în administraþia publica locala ce optimizeaza procesele orientate catre beneficiari în
concordanța cu SCAP</t>
  </si>
  <si>
    <t>Municipiul Hunedoara</t>
  </si>
  <si>
    <t>Îmbunătățirea capacității administrative a ME de a coordona procesul de conformare a legislației naționale cu legislația europeană în domeniul energetic</t>
  </si>
  <si>
    <t>Ministerul Energiei</t>
  </si>
  <si>
    <t>Obiectivul general al proiectului este îmbunataþirea capacitaþii administrative la nivelul Ministerului Energiei prin sistematizarea cadrului legislativ si actualizarea/dezvoltarea cadrului strategic în domeniul energiei.
Obiectivele specifice ale proiectului:
1. Completarea, armonizarea cu legislatia la nivelul Uniunii Europene si sistematizarea cadrului de reglementare în sectorul
energetic.
2. Elaborarea Strategiei energetice la nivelul romaniei si coroborarea cu tintele stabilite la nivel european in domeniul energetic.
3. Monitorizarea si evaluarea acþiunilor si masurilor implementate in domeniul energetic.</t>
  </si>
  <si>
    <r>
      <rPr>
        <b/>
        <sz val="12"/>
        <rFont val="Calibri"/>
        <family val="2"/>
        <scheme val="minor"/>
      </rPr>
      <t>Obiectiv general:</t>
    </r>
    <r>
      <rPr>
        <sz val="12"/>
        <rFont val="Calibri"/>
        <family val="2"/>
        <charset val="238"/>
        <scheme val="minor"/>
      </rPr>
      <t xml:space="preserve">
Cresterea capacitatii ONG-urilor si a partenerilor sociali pentru dezvoltarea de propuneri alternative la politici publice pentru afaceri, pentru facilitarea dezvoltarii antreprenoriatului prin implicarea activa a structurilor asociative la imbunatatirea proceselor decizionale orientate catre cetateni si mediul de afaceri.
</t>
    </r>
    <r>
      <rPr>
        <b/>
        <sz val="12"/>
        <rFont val="Calibri"/>
        <family val="2"/>
        <scheme val="minor"/>
      </rPr>
      <t>Obiective specifice:</t>
    </r>
    <r>
      <rPr>
        <sz val="12"/>
        <rFont val="Calibri"/>
        <family val="2"/>
        <charset val="238"/>
        <scheme val="minor"/>
      </rPr>
      <t xml:space="preserve">
OS1-Identificarea barierelor pentru initierea si dezvoltarea afacerilor prin elaborarea unui studiu privind evaluarea unor proceduri administrative, bazat in principal pe un sondaj de opinie cu „500” respondenti adresat persoanelor care doresc sa initieze o afacere, intreprinzatorilor care au deja o afacere, ONG-urilor si partenerilor sociali.
2. OS2-Evaluarea nevoilor de cresterea a capacitatii ONG-urilor si partenerilor sociali de a formula si dezvolta propuneri alternative la politicile publice pentru afaceri , prin elaborarea unui sondaj de opinie cu 200 respondenti, ONG-uri, parteneri sociali reprezentand oameni de afaceri din diferite domenii de activitate.
3. OS3-Cresterea gradului de constientizare a ONG-urilor si a partenerilor sociali privind impactul implicarii acestora in politicile publice pentru afaceri, in aplicarea egalitatii de sanse si a dezvoltarii durabile, prin organizarea de 8 seminarii regionale de informare si dezbateri pe marginea studiului elaborat, cu 400 de persoane din ONG-uri si parteneri sociali, inclusiv cu participarea specialistilor di reprezentantilor administratiei publice.
4. OS4-Dezvoltarea cunostintelor si abilitatilor resurselor umane din ONG-uri si parteneri sociali pentru un numar de 160 participanti, prin cursuri de formare pe trei domenii: procesul elaborarii politicilor publice; activitati de sustinere si promovare a solutiilor alternative la politici publice; instrumente independente de monitorizare a politicilor publice pentru afaceri.
5. OS5-Dezvoltarea abilitatilor practice ale ONG-urilor si partenerilor sociali in dialogul social si civic prin elaborarea de solutii alternative la politici publice pentru afaceri, prin organizarea de 8 focus-grupuri regionale si a unui focus-grup national.
6. OS6-Dezvoltarea capacitatii ONG-urilor si partenerilor sociali de a formula instrumente independente de monitorizare a politicii publice pentru afaceri prin organizarea de 8 focus-grupuri regionale si a unui focus-grup national.
7. OS7- Dobandirea de competente practice de membrii GT prin activitati de advocacy pentru promovarea si sustinerea propunerilor alternative la politici publice catre autoritatile publice cu responsabilitati in domeniu, in vederea acceptarii propunerilor formulate pentru simplificarea procedurilor administrative pentru afaceri.
8. OS8 -Dezvoltarea capacitatii asociative a membrilor GT prin crearea unei coalitii informale pentru un mediu favorabil afacerilor si a 3 reþele tematice sectoriale pentru asigurarea sustenabilitatii proiectului si a permanetizarii actiunilor de simplificare a procedurilor administrative pentru afaceri.
9. OS9-Promovarea si consolidarea parteneriatului public privat prin cooperarea ONG-urilor si partenerilor sociali cu administratia publica in activitati concrete si masuri de promovare si implementare a politicilor publice pentru afaceri, prin incheierea unui numar de 10 acorduri de parteneriat.
10. OS10 - Informarea, sensibilizarea si constientizarea societatii civile privind implicarea ONG-urilor si partenerilor sociali in formularea de propuneri alternative la politici publice pentru afaceri prin actiunile de informare si publicitate prin 2 conferinte (lansare si finalizarea a proiectului cu 60 participanti/conferinta), site, retele de socializare, afise, anunturi si comunicate de presa.</t>
    </r>
  </si>
  <si>
    <t>SPECIAL ZALĂU - Servicii Publice Electronice de Calitate și Integrate pentru Administrația Locală din Municipiul Zalău</t>
  </si>
  <si>
    <t xml:space="preserve">Cresterea capacitatii Primariei municipiului ZALAU de a asigura serviciile publice integrate de calitate, transparente si accesibile pentru cetateni prin simplificarea procedurilor administratiei locale in paralel cu reducerea birocratiei si folosind un management institutional eficient.
Obiectivele specifice ale proiectului
1. Asigurarea aplicatiilor interne pentru deservirea fluxurilor initiate printr-un portal pentru min. 10 servicii publice electronice si fluxuri interne de interoperabilitate (front-office si back-office) ca masuri de simplificare a procedurilor administrative pentru cetateni, pana in 2021
2. Retro-digitalizarea unui numar de cca. 40 000 dosare aflate in arhiva clasica si cu valoare operationala prezenta, pana in 2021.
3. Cresterea calitatii si eficientei managementului strategic al UAT Zalau prin elaborarea strategiei integrate de dezvoltare urbana a mun Zalau 2024-2030
4. Imbunatatirea accesului la informatiile institutiei prin implementarea arhivei digitale cu incarcarea rezultatelor retro-digitalizate si a modernizarii site-ului www.zalausj.ro pentru a fi responsiv, intuitiv si usor accesibil, pana in 2021.
</t>
  </si>
  <si>
    <t>AP2/11i /2.1</t>
  </si>
  <si>
    <t>Îmbunătățirea capacității instituționale și de planificare strategică a administrației publice din județul Teleorman</t>
  </si>
  <si>
    <t>Județul Teleorman</t>
  </si>
  <si>
    <t>Obiectiv general: 
Obiectivul general al proiectului este îmbunataþirea capacitaþii instituþionale si de planificare strategica a administraþiei publice din județul Teleorman, în vederea cresterii calitaþii deciziilor si a dezvoltarii mecanismelor de fundamentare a iniþiativelor de politici publice la nivel județean.
Obiective specifice:
1- Elaborarea Strategiei de dezvoltare durabila a judeþului Teleorman pentru perioada 2021-2030 si Actualizarea Planului de Amenajare Teritoriala a Judetului Teleorman, documente corelate cu noile prioritati investitionale la nivel judetean, in concordanta cu obiectivele strategice la nivel national si european.
2- Instruirea personalului CJ Teleorman în domeniul managementului strategic:
- managementul strategic in administratia publica – 25 persoane
- urbanism, amenajarea teritoriului, autorizarea si disciplina in constructii si protectia mediului – 15 persoane,
în vederea cresterii capacitaþii de implementare eficienta a celor doua documente strategice</t>
  </si>
  <si>
    <t>AA 1/05.12.2018</t>
  </si>
  <si>
    <t>Mecanisme si proceduri administrative moderne in Primaria Giurgiu (MEPAM)</t>
  </si>
  <si>
    <t>Obiectivul general al proiectului consta in modernizarea mecanismelor si procedurilor administrative la nivelul Municipiului Giurgiu, in
vederea cresterii capacitatii institutionale privind fundamentarea deciziilor si planificare strategica pe termen lung, precum si reducerea
birocratiei, prin implementarea si susþinerea de masuri de simplificare, atat din perspectiva back-office, cât si din perspectiva front-office,
pentru serviciile furnizate catre comunitate; Obs. 1) Introducerea si implementarea unui mecanism de bugetare participativa in scopul cresterii calitatii procesului decizional,pentru a raspunde in mod fundamentat si coerent nevoilor comunitatii locale Giurgiu;Obs. 2) Consolidarea capacitatii institutionale privind planificarea si fundamentarea strategica, prin dezvoltarea si elaborarea Strategiei de dezvoltare durabila a Municipiului Giurgiu pentru perioada 2020-2027;Obs. 3) Dezvoltarea, implementarea si susþinerea de masuri de simplificare, atat din perspectiva back-office cât si front-office
pentru serviciile furnizate direct cetatenilor si mediului de afaceri din Municipiul Giurgiu;Obs. 4) Dezvoltarea si implementarea unor programe de instruire specifice privind dezvoltarea competentelor si abilitatilor pentru angajatii (demnitari, consilieri, personal de conducere si executie) din Municipiul Giurgiu</t>
  </si>
  <si>
    <t>eSlatina – Proiect de simplificare a procedurilor si introducerea de instrumente electronice pentru cetatenii Municipiului Slatina</t>
  </si>
  <si>
    <t>Municipiul Slatina</t>
  </si>
  <si>
    <t>Reducerea costurilor administrative si simplificarea procedurilor de furnizare a serviciilor publice prin introducerea de instrumente din domeniul tehnologiei informatiei pentru gestiunea relatiilor cu cetatenii si pregatirea personalului aparatului de specialitate al primarului Municipiului Slatina in vederea utilizarii acestor instrumente; Obiectivele specifice ale proiectului
1. Cresterea capacitatii institutionale a Aparatului de specialitate al primarului muncipiului Slatina prin informatizarea unui numar de 5 servicii publice pentru cetateni si firme. 2. Reducerea timpului de procesare a documentelor prin organizarea unei arhive informatizare si retro-digitalizarea documentelor pe suport de hartie arhivate conform normativelor legale. 3. Formarea personalului Aparatului de specialitate al primarului muncipiului Slatina in domeniul utilizarii sistemelor informatice achizitionate</t>
  </si>
  <si>
    <t>Consolidarea capacitații Agenției Naționale de Administrare Fiscala de a susține inițiativele de modernizare</t>
  </si>
  <si>
    <t>Agenția Naționlă de Administrare Fiscală</t>
  </si>
  <si>
    <t>Solutii informatice integrate pentru simplificarea procedurilor administrative si reducerea birocratiei</t>
  </si>
  <si>
    <t>Obiectivul general al proiectului consta în consolidarea capacitaþii instituþionale si eficientizarea activității la nivelul Municipiului Hunedoara, prin simplificarea procedurilor administrative si reducerea birocrației pentru cetațeni, implementând masuri din perspectiva back-office (adaptarea procedurilor interne de lucru, digitalizarea arhivelor) si front-office pentru serviciile publice furnizate.
OS1 Implementarea unor masuri de simplificare pentru cetațeni,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Hunedoara, în vederea sprijinirii masurilor vizate de proiect.</t>
  </si>
  <si>
    <t>Obiectivul general al proiectului îl reprezinta consolidarea capacitații Agenþiei Naþionale de Administrare Fiscala de a susþine iniþiativele de modernizare, prin introducerea de servicii publice electronice ce optimizeaza procesele decizionale orientate catre mediul de afaceri, inclusiv prin implementarea unui fisier standard internaþional de audit pentru toþi operatorii economici.
Obiectivele specifice ale proiectului
1. Analiza activitaþilor ANAF, precum si însusirea bunelor practici în materie de administrare fiscala
2. Implementarea Fisierului Standard de Audit (SAF-T) reprezentând o structura standardizata a informaþiilor relevante pentru
controalele fiscale în vederea reducerii costului conformarii pentru societați
3. Formularea de propuneri de amendare a legislaþiei primare si secundare privind obligaþia contribuabilului de a depune Fisierul Standard de Audit
4. Îmbunataþirea cunostinþelor si abilitaþilor personalului din cadrul A.N.A.F. privind utilizarea aplicaþiei informatice si a metodologiei specifice.</t>
  </si>
  <si>
    <t>Platforma online pentru eficientizarea
serviciilor publice oferite cetaþenilor de
Unitatea Administrativ-Teritoriala Judeþul
Ilfov</t>
  </si>
  <si>
    <t>Obiectivul general al proiectului este reprezentat de eficientizarea serviciilor publice oferite cetaþenilor din judeþul Ilfov, în vederea reducerii birocraþiei, prin facilitarea accesului la o platforma online dezvoltata prin implementarea unui sistem informatic la nivelul aparatului de specialitate al Consiliului Judeþean Ilfov.OS1 - Implementarea unei soluþii informatice la nivelul aparatului de specialitate al Consiliului Judeþean Ilfov în vederea îmbunatatirii modului de acordare a serviciilor publice;OS2- Asigurarea capacitatii tehnice a Consiliului Judeþean Ilfov în vederea oferirii serviciilor publice online prin achizitionarea, instalarea si operaþionalizarea echipamentelor specifice;OS3- Îmbunatatirea competentelor digitale ale personalului de conducere si executie din structurile functionale ale Consiliului Judetean Ilfov în vederea utilizarii în bune conditii a noilor facilitati informatice create prin intermediul prezentului proiect</t>
  </si>
  <si>
    <t>eCetatean@Sighisoara2021</t>
  </si>
  <si>
    <t>Municipiului Sighișoara</t>
  </si>
  <si>
    <t>Consolidarea capacitaþii Primariei Municipiului Sighisoara de a asigura calitatea si accesul la serviciile publice oferite exclusiv de primarie prin simplificarea procedurilor administraþiei locale si reducerea birocraþiei pentru cetaþeni</t>
  </si>
  <si>
    <t>Municipiul Sighișoara</t>
  </si>
  <si>
    <t>AA6/02.11.2018</t>
  </si>
  <si>
    <t>AA3 / 30.07.2018</t>
  </si>
  <si>
    <t>AA2/17.12.2018</t>
  </si>
  <si>
    <t>AA1/21.12.2018</t>
  </si>
  <si>
    <t>Municipiul Turda</t>
  </si>
  <si>
    <t>Obiectivul general al proiectului: Cresterea calitatii si transparentei procesului administrativ la nivelul Primariei Municipiului Turda pentru a raspunde in mod fundamentat si coerent nevoilor comunitatii locale.                                                                                                    1.Implementarea de instrumente si proceduri standard la nivelul primariei Municipului Turda pentru asigurarea fundamentarii deciziilor si elaborarii de politici publice in baza planificarii strategice pe termen lung.
2. Simplificarea procedurilor adiministrative din perspectiva back-office, prin actualizarea si extinderea solutiilor informatice existente la nivelul aparatului administrativ al Primariei Turda si digitalizarea arhivelor
3. Reducerea birocratiei pentru comunitatea locala a Municipiului Turda prin implementarea unui portal de servicii catre cetateni ce va asigura accesul on-line la serviciile gestionate exclusiv de Primarie
4. Cresterea nivelului de pregatire, cunostinþe si abilitaþi ale personalului din cadrul Primariei Municipiului Turda in domeniul
planificarii strategice si politicilor publice, precum si in utilizarea si administrarea sistemelor informatice</t>
  </si>
  <si>
    <t>ADEPT – Administrație digitala eficienta pentru cetaþenii din Turda</t>
  </si>
  <si>
    <t>Dezvoltarea și implementarea de măsuri de simplificare a procedurilor administrative din cadrul Primăriei municipiului Satu Mare pentru cetățeni</t>
  </si>
  <si>
    <t>Dezvoltarea si implementarea de masuri de simplificare privind serviciile furnizate catre cetanii municipiului Satu Mare in scopul reducerii birocratiei. Obiectivul general al proiectului este in concordanta cu Planul integrat de simplificare a procedurilor administrative aplicabile cetatenilor.
Obiectivele specifice ale proiectului
1. Retro-digitalizarea documentelor din cadrul Primariei municipiului Satu Mare, in scopul reducerii birocratiei.
2. Implementarea unui sistem informational geografic (GIS) pentru realizarea bancilor de date pentru cadastru urbanism si
amenajarea teritoriului la nivelul Primariei municipiului Satu Mare, prin asigurarea cadrului organizational pentru realizarea unei infrastructuri de date GIS - sisteme back-office în scopul reducerii birocratiei
3. Digitalizarea proceselor de administrare a documentelor necesare accesarii, implementarii si monitorizarii de proiecte din fonduri europene si a documentelor privind managementul resurselor umane.</t>
  </si>
  <si>
    <t>ALBA IULIA- ADMINISTRATIE PUBLICA DIGITALA</t>
  </si>
  <si>
    <t>Obiectiv general: Simplificarea procedurilor administrative la nivelul Municipiului Alba Iulia, pentru diverse categorii de beneficiari, in corespondenta cu Planul integrat pentru simplificarea procedurilor administrative aplicabile cetatenilor, in termen de 22 luni.                                                                                                                                                                                                                                                        OS1. Dezvoltarea unei solutii informatice de facilitare a accesului on-line, a diferitelor categorii de beneficiari, la servicii furnizate exclusiv de administratia publica locala, la nivelul Municipiului Alba Iulia, in termen de 18 luni de la initierea procesului.
OS2. Imbunatatirea performantelor la nivelul Municipiului Alba Iulia, prin dezvoltarea abilitatilor de furnizare si promovare a unor servicii publice de calitate, a 75 de persoane, angajati si alesi locali ce vor participa la 1 Curs de pregatire a personalului in vederea promovarii serviciilor oferite de administratia publica locala, in termen de 22 luni.</t>
  </si>
  <si>
    <t>Sistem de management al calitatii pentru Ministerul Educatiei Nationale si structuri subordonate</t>
  </si>
  <si>
    <t>ASOCIATIA PENTRU IMPLEMENTAREA DEMOCRATIEI</t>
  </si>
  <si>
    <t>Obiectivul general al proiectului il reprezinta realizarea sistemului de management al calitatii pentru Ministerul Educatiei Nationale si structurilor subordonate.                                                                                                                                                                                                           OS. 1: Implementarea CAF, ca instrument de management strategic si management al performantei in administratia publica -
CAF adaptat la sistemul de educatie -
2. OS 2: Cresterea competentelor personalului, prin activitati de instruire specifica, pentru utilizarea instrumentelor de management al calitatii.
3. OS 3: Promovarea/diseminarea bunelor practice ale managementului de tip CAF</t>
  </si>
  <si>
    <t>Noi perspective in educatie - NPE</t>
  </si>
  <si>
    <t>Obiectiv general: Optimizarea si cresterea calitatii serviciilor oferite de administratia publica din domeniul educatiei prin crearea unui cadru normativ predictibil si stabil si prin dezvoltarea unei politici publice bazata pe orientarile strategice în invaþamântul preuniversitar si universitar la orizontul 2030.                                                                                                                                                         1. Realizarea analizei de sistem a actelor normative din învaþamântul preuniversitar si universitar pentru cresterea calitatii
reglementarilor si optimizarea proceselor decizionale prin fundamentarea acestora.
2. Realizarea unei politici publice la orizontul 2030 în domeniul educaþiei pentru implementarea unui cadru strategic unitar.3. 3. Sistematizarea, simplificarea si eficientizarea a 5 acte normative din domeniul educatiei, învaþamânt preuniversitar si universitar pentru dezvoltarea unui cadru normativ predictibil si stabil în administratia publica din domeniul educatiei
4. Elaborarea studiului de impact ex –ante privind implementarea cadrului strategic propus pentru evaluarea impactului asupra societaþii si a bugetului si cresterea calitaþii reglementarilor.
5. Dezvoltarea competenþelor a 77 de angajaþi ai ministerului educaþiei pentru îmbunatatirea proceselor din administratia publica.</t>
  </si>
  <si>
    <t>1. ASOCIATIA PENTRU IMPLEMENTAREA DEMOCRATIEI 2. UNITATEA EXECUTIVA PENTRU FINANTAREA INVATAMANTULUI SUPERIOR, A CERCETARII,
DEZVOLTARII SI INOVARII/Centrul pentru Politici Publice in Invatamantul Superior, Stiinta, Inovare
si Antreprenoriat                                3. ASOCIATIA "C4C COMMUNICATION FOR COMMUNITY"</t>
  </si>
  <si>
    <t>Fundația PAEM ALBA</t>
  </si>
  <si>
    <t>AA1/18.12.2018</t>
  </si>
  <si>
    <t>Consolidarea capacitatii institutionale a Ministerului Cercetarii si Inovarii prin optimizarea proceselor
decizionale in domeniul de cercetare-dezvoltare si inovare</t>
  </si>
  <si>
    <t>Ministerul Cercetarii si Inovarii</t>
  </si>
  <si>
    <t xml:space="preserve">1. Universitatea Dunarea de Jos
2. ASE
3. Institutul National de Cercetare-Dezvoltare
Pentru Mecatronica si
Tehnica Masurarii - I.N.C.D.M.T.M.
</t>
  </si>
  <si>
    <t xml:space="preserve">Obiectivul general al proiectului este consolidarea capacitaþii instituþionale a MCI pentru a contribui la sustinerea unei economii moderne si competitive în România
Obiectivele specifice ale proiectului:
1. implementarea unui cadru de lucru care sa faciliteze elaborarea si aplicarea politicilor publice bazate pe dovezi, în
domeniul CDI, în MCI si realizarea unei politici publice cu accent pe segmentul cercetarii aplicative si al valorificarii rezultatelor
cercetarii, în corelaþie cu necesitaþile mediului economic (A1, Rezultat de proiect 1: politica publica în domeniul de CDI  elaborata si aprobata;
2. implementarea unui cadru de lucru care sa susþina sistematizarea si simplificarea legislaþiei în domeniul CDI si
realizarea în cadrul MCI a unui act normativ nou, republicat sau concentrat în reglementari unice, publicat în Monitorul Oficial 
(act normativ sistematizat elaborat si aprobat);
3. implementarea unui cadru de lucru care sa faciliteze elaborarea si aplicarea unor proceduri simplificate pentru
companiile care au activitaþi de CDI, în scopul reducerii poverii administrative pentru mediul de afaceri si realizarea în cadrul MCI a unei proceduri simplificate privind recunoasterea activitatii de CDI din cadrul companiilor românesti,
4. dezvoltarea competentelor si abilitaþilor profesionale ale personalului de conducere si execuþie din MCI  în cadrul unor module de instruire în urmatoarele domeniul: politici publice de CDI bazate pe dovezi, legislatia în domeniul cercetarii si reglementarile care vizeaza activitatile de CDI din mediul de afaceri românesc
</t>
  </si>
  <si>
    <t>Cresterea capacității administrative a autorității publice locale a Municipiului Codlea, in fundamentarea deciziilor, planificarea strategică si măsurile de simplificare pentru cetățeni</t>
  </si>
  <si>
    <t>Municipiul Codlea</t>
  </si>
  <si>
    <t>Obiectivul general al proiectului consta consolidarea capacitaþii instituþionale si eficientizarea activitaþii la nivelul Municipiului Codlea, prin simplificarea procedurilor administrative si reducerea birocraþiei pentru cetaþeni, implementând masuri din perspectiva back-office (adaptarea procedurilor interne de lucru, digitalizarea arhivelor) si din perspectiva front-office, pentru serviciile publice furnizate.                                                                                                                                                                                                         Obs. 1) Implementarea unor masuri de simplificare pentru cetaþeni, în corespondenþa cu Planul integrat pentru simplificarea
procedurilor administrative aplicabile cetaþenilor, atât din perspectiva back-office (adaptarea procedurilor interne de lucru,
digitalizarea arhivelor), cât si din perspectiva front-office.
cetaþeni. Rezultatul 1 contribuie la atingerea acestuia.
2. Obs. 2) Cultivarea si dezvoltatea cunostintelor, competentelor si abilitaþilor personalului din cadrul Municipiului Codlea, prin participarea la programe de instruire, inclusiv prin abordarea temelor de dezvoltare durabila, egalitate de sanse, nediscriminare si
egalitate de gen, în vederea utilizarii si administrarii solutiilor informatice implementate.</t>
  </si>
  <si>
    <t>Simplificarea procedurilor administrative pentru cetațenii Municipiului Pitești</t>
  </si>
  <si>
    <t>Obiectivul general al proiectului il reprezinta consolidarea capacitatii administrative a Municipiului Pitesti prin simplificarea masurilor adresate cetatenilor si imbunatatirea procesului decizional, a planificarii strategice si executiei bugetare.
Obiectivele specifice ale proiectului
1. Cresterea coerentei, eficientei, predictibilitatii si transparentei procesului decizional la nivelul Municipiului Pitesti prin dezvoltarea unui modul de bugetare participativa.
2. Consolidarea capacitatii Municipiului Pitesti ca urmare a simplificarii procedurilor administrative adresate cetatenilor si reducerea birocratiei prin crearea unui portal de servicii electronice.
3. Imbunatatirea competentelor personalului de conducere si executie din Primaria Municipiului Pitesti.</t>
  </si>
  <si>
    <t>Eficientizarea Planificarii Strategice la nivel Organizaional (EPSO)</t>
  </si>
  <si>
    <t>Obiectiv specific 1: Realizarea în mod participativ a Strategiei de dezvoltare a judetului Gorj pentru perioada 2021-2027 in scopul îmbunataþirii procesului decizional, a planificarii strategice si execuþiei bugetare la nivelul UAT Judeþul Gorj.
Obiectiv specific 2: Implementarea la nivelul UAT Judeþul Gorj a masurilor de simplificare pentru cetaþeni în corespondenþa cu Planul integrat pentru simplificarea procedurilor administrative aplicabile cetaþenilor.</t>
  </si>
  <si>
    <t>Consolidarea mecanismului de coordonare a implementarii Conventiei ONU privind drepturile persoanelor cu dizabilitati</t>
  </si>
  <si>
    <t>Autoritatea Națională Pentru Persoane cu dizabilitati</t>
  </si>
  <si>
    <t>1. Elaborarea Strategiei naþionale privind drepturile persoanelor cu dizabilitaþi, 2021-2027, care sa asigure implementarea CDPD (numita în continuare Strategia 2021-2027), cu obiective/þinte specifice cu indicatori masurabili.
2. Dezvoltarea unui mecanism funcþional de monitorizare a implementarii Strategiei 2021-2027 prin obþinerea de dovezi privind modul în care drepturile persoanelor cu dizabilitaþi sunt respectate.</t>
  </si>
  <si>
    <t>Capacitate administrativă ridicată prin investiții integrate și complementare - CARIC</t>
  </si>
  <si>
    <t>Județul Galați</t>
  </si>
  <si>
    <t>Obiectivul general consta în îmbunataþirea capacitaþii administrative, a calitatii si eficientei serviciilor publice furnizate la nivelul Consiliul Judetean Galati si a 5 institutii subordonate, din regiunea mai puþin dezvoltata, prin investiþii integrate si complementare conform reglementarilor europene si naþionale (implementare CAF, planificare strategica instituþionala, sistem informatic pentru arhiva electronica).
Obiectivele specifice ale proiectului
1. OS 1: Implementarea unor mecanisme si proceduri standard (Strategie de dezvoltare a judeþului, Plan strategic instituþional si proceduri operaþionate de aplicare a acestuia) pentru a creste eficienþa acþiunilor adimintrative la nivelul Consiliului Judetean Galaþi. OS 1 se va îndeplini prin Activitatea 3 si va conduce la atingerea rezultatului de program POCA R1.
2. OS 2. Implementarea si utilizarea instrumentului de management al calitatii CAF (Cadrul comun de autoevaluare a modului de funcþionare a instituþiilor publice) la nivelul Consiliului Judetean Galati si a 5 institutii subordonate pentru sprijinirea schimbarii spre performanþa, îmbunataþirea modului de realizare a activitaþilor si de prestare a serviciilor publice. OS 2 se va îndeplini prin Activitatea 4 si va conduce la atingerea rezultatului de program POCA R2. Pentru realizarea acestui obiectiv se va implementa instrumentul CAF (Cadru Comun de autoevaluare a modului de functionare a institutiilor publice) pentru autoevaluarea institutiilor publice, instrument prin care angajatii identifica punctele forte si slabe ale functionarii institutiei proprii si propun solutii de imbunatatire a activitatii. Acest instrument este inovativ pentru Consiliul Judetean Galati si institutiile subordinate si îsi propune sa îmbunatateasca performanta institutionala si calitatea serviciilor publice prestate.
3. OS 3. Masuri de simplificare a procedurilor administrative si reducerea birocraþiei pentru cetaþeni prin crearea si integrarea unui sistem informatic pentru arhiva (digitalizarea documentelor din arhiva) la nivelul Consiliului Judeþean Galaþi. OS 3 se va îndeplini prin Activitatea 6 si va conduce la atingerea rezultatului de program POCA R3.
4. OS 4. Imbunatatirea competentelor profesionale a unui numar de 150 persoane din toate nivelurile ierarhice din cadrul Consiliului Judetean Galati si a institutiilor subordonate pe teme specifice, în urma unei analize de nevoi. OS 4 se va îndeplini prin Activitatea 7 si va conduce la atingerea rezultatului R5.</t>
  </si>
  <si>
    <t>AA8 /30.01.2019</t>
  </si>
  <si>
    <t>AA5/ 09.01.2019</t>
  </si>
  <si>
    <t>AA5/ 31.01.2019</t>
  </si>
  <si>
    <t>AA1/01.02.2019</t>
  </si>
  <si>
    <t>AA1/ 04.02.2019</t>
  </si>
  <si>
    <t xml:space="preserve">Dialogul Social și Civic Rural -  Perspectiva dezvoltării mediului rural (DiaSRul) </t>
  </si>
  <si>
    <t>Asociația "Afaceri, Comunități, Oameni din România"</t>
  </si>
  <si>
    <t xml:space="preserve">Obiectivul general al proiectului: 
Cresterea capacitatii partenerilor sociali de a dezvolta standarde comune pentru optimizarea procesului decizional, pentru dezvoltarea si promovarea de propuneri alternative la politicile publice existente precum si pentru monitorizarea politicilor publice ce vizeaza mediul rural in vederea orientarii procesului decizional catre cetateni, in conformitate cu prevederile SCAP.
Obiectivele specifice ale proiectului
1. Cresterea capacitatii partenerilor sociali si a ONG-urilor in vederea implicarii in optimizarea proceselor decizionale si orientarea proceselor decizionale catre cetateni prin realizarea a 2 sesiuni de instruire si realizarea unui instrument de monitorizare a
politicilor publice ce vizeaza dezvoltarea mediului rural.
2. Optimizarea procesului decizional prin dezvoltarea, fundamentarea, promovarea si sustinerea unei alternative, de tip initiativa legislativa, la politicile publice existente ce vizeaza consolidarea dialogului civic si social in mediul rural in vederea apropierii
procesului decizional aferent administratiei publice din mediul rural.
</t>
  </si>
  <si>
    <t>AA1/11.02.2019</t>
  </si>
  <si>
    <t>MUNICIPIUL BLAJ - ADMINISTRATIE PUBLICA EFICIENTA - ETAPA A II-A</t>
  </si>
  <si>
    <t>Obiectivul general al proiectului: Simplificarea procedurilor administrative, reducerea birocratiei si cresterea calitatii serviciilor oferite pentru cetateni de catre administratia publica locala a Municipiului Blaj.                                                                                 OS. 1. Operationalizarea, in 26 de luni, la nivelul Municipiului Blaj, a unor fluxuri de lucru online si care sa furnizeze digital, front si back office o buna parte din serviciile pe care o primarie moderna le asigura in relatia cu cetatenii, respectiv o platforma integrata pentru servicii electronice, o solutie de plata electronica pentru taxele colectate la bugetul local, notificari termene de plata, mecanisme urmarire grad de colectare (pentru stimularea colectarii impozitelor si taxelor locale), semnatura electronica a documentelor relevante in acord cu cadrul legal in vigoare si managementul activitatilor si fluxurilor de lucru aferente serviciilorelectronice.
 OS. 2. Digitalizarea proceselor de administrare si arhivare a documentelor din Primaria Municipiului Blaj, intr-o maniera securizata si interoperabila cu alte sisteme de creare/gestionare documente, in 26 de luni.
 OS. 3 Implementarea unui sistem integrat, complex si acoperitor de interactiune intre cetatenii municipiului Blaj si administratia locala prin intermediul unei platfome conectate la 300 de senzori (beaconi) instalati in spatiile publice principale ale orasului, a unei retele de hotspoturi WI-FI ce asigura internet securizat gratuit, a unei solutii de vizualizare si optimizare a fluxurilor de mobilitate a publicului in relatia cu orasul si mai ales cu serviciile publice oferite de catre acesta, in 26 de luni.
OS.4. Cresterea abilitatilor si capacitatii profesionale de a presta activitati publice de calitate pentru 75 de persoane din cadrul Primariei municipiului Blaj - functionari publici si contractuali din aparatului executiv al primariei, respectiv din serviciile publice subordonate consiliului local, din care 20 alesi locali-, in domeniul intelegerii si comunicarii noilor servicii digitale implemantate in administratia locala, in 26 de luni.</t>
  </si>
  <si>
    <t>Munuicipiul Blaj</t>
  </si>
  <si>
    <t>Judetul Cluj - Smart Territory</t>
  </si>
  <si>
    <t>Judetul Cluj</t>
  </si>
  <si>
    <t>Obiectivul specific 1: Îmbunatatirea procesului decizional si al planificarii strategice la nivelul UAT Judetul Cluj prin introducerea unui sistem de planificare teritoriala integrata; Obiectivul specific 2: Facilitarea accesului la servicii online pentru cetatenii judetului Cluj prin introducerea unor sisteme de simplificare a procedurilor administrative din perspectiva back-office</t>
  </si>
  <si>
    <t xml:space="preserve">1. Scoala Nationala de Grefieri;                                         2. Inspectia Judiciara                        3. Parchetul de pe langa Inalta Curte de Casatie si Justitie/adjunct procuror general                                                                                  4. Institutul National al Magistraturii                                                         5. Ministerul Justitiei                                                                                                                  </t>
  </si>
  <si>
    <t>Act aditional nr. 1/28.01.2019</t>
  </si>
  <si>
    <t>IP12/2018
(MySMIS: 
POCA/ 399/1/1)</t>
  </si>
  <si>
    <t>Stabilirea cadrului de referință în domeniul dezvoltarii rețelei de banda larga în România</t>
  </si>
  <si>
    <t>Ministerul Comunicațiilor si Societății Informaționale</t>
  </si>
  <si>
    <t>Obiectivul general al proiectului este de a elabora o politica publica în domeniul comunicațiilor în banda larga care sa asigure o abordare strategica generala a domeniului, bazata pe o analiza teritoriala, pe diferite instrumente de intervenție si finanțare a dezvoltarii reþelelor si identificarea de masuri de sprijin în vederea încurajarii adoptarii serviciilor în banda larga, condiție esențiala pentru adoptarea e-guvernarii.
OS1. Îmbunatațirea capacitații MCSI de a interveni pe piaþa de broadband, în condiții de disfuncționalitate, prin elaborarea unui
document de analiza completa a opțiunilor de intervenție publica.
OS2. Cresterea cererii si utilizarii rețelelor de foarte mare capacitate prin elaborarea Planului de acțiuni menite sa sprijine instalarea acestora.</t>
  </si>
  <si>
    <t>ASOCIATIA "SOCIETATEA NATIONALA SPIRU HARET PENTRU EDUCATIE, STIINTA SI CULTURA"</t>
  </si>
  <si>
    <t>iNFOLex</t>
  </si>
  <si>
    <t>CP8 less /2018</t>
  </si>
  <si>
    <t>AP 2/11i/2.3</t>
  </si>
  <si>
    <t>Obiectivul general al Proiectului îl reprezinta facilitarea accesului ceta'enilor din regiunile Sud Muntenia, Sud Est, Sud Vest si Centru, la un sistem judiciar transparent, integru si de calitate, prin intermediul unei campanii de informare, educa'ie juridica si constientizare a cetatenilor în privinþa drepturilor prevazute în cadrul noilor coduri, într-o perioada de 24 luni. Acesta se realizeaza prin intemediul obiectivelor specifice prezentate mai jos. Atât obiectivul general, cât si obiectivele specifice sunt în conformitate cu prevederile si respectiv Obiectivul Specific al Ghidului Solicitantului 2.3: Asigurarea unei transparenþe si integritaþi sporite la nivelul sistemului judiciar în vederea îmbunataþirii accesului si a calitaþii serviciilor furnizate la nivelul acestuia, vizând atingerea obiectivelor POCA în materie.
Obiectivele specifice ale proiectului
1. 1.Obiectivul specific 1 (OS1) al Proiectului îl constituie realizarea unei campanii de informare, educație juridica si constientizare a cetaþenilor, privind drepturile legislative ale acestora utilizând reþelele de socializare si internetul.
2. 2.Obiectivul specific 2 (OS2) al Proiectului îl constituie realizarea unei campanii de informare, educație juridica si constientizare a cetaþenilor, privind drepturile legislative ale acestora utilizând mijloacele media clasice (televiziune, radio, presa scrisa etc).
3. 3.Obiectivul specific 3 (OS3) al Proiectului îl constituie realizarea în regiunile SM, SV, SE, Centru a unei campanii de informare,
educație juridica si constientizare a cetaþenilor, privind drepturile legislative ale acestora prin prezenþa în teritoriu a unei echipe de Experþi juridici ce vor facilita cetatenilor si, in special, elevilor si studentilor accesul la legislaþie si justiție.</t>
  </si>
  <si>
    <t>Omdrap 1120/19.02.2019</t>
  </si>
  <si>
    <t>FUNDAȚIA ''TUNA''</t>
  </si>
  <si>
    <t>ProLexKampanya</t>
  </si>
  <si>
    <t xml:space="preserve">Obiectivul general al Proiectului îl reprezintă facilitarea accesului cetățenilor si în special femeilor ca si grup vulnerabil si/sau altor grupuri vulnerabile din regiunile Sud Muntenia si Sud Est la un sistem judiciar transparent, integru si de calitate, prin intermediul unei campanii de informare si conștientizare a cetățenilor în privința drepturilor prevăzute în cadrul noilor coduri, într-o perioada de 24 luni. Acesta se realizează prin intermediul obiectivelor specifice prezentate mai jos. Atât obiectivul general, cât si obiectivele specifice sunt în conformitate cu prevederile si respectiv Obiectivul Specific al Ghidului Solicitantului 2.3: Asigurarea unei transparențe si integrități sporite la nivelul sistemului judiciar în vederea îmbunătățirii accesului si a calității serviciilor furnizate la nivelul acestuia, vizând atingerea obiectivelor POCA în materie.
Obiectivele specifice ale proiectului:
1. 1. Obiectivul specific 1 (OS1) al Proiectului îl constituie realizarea în regiunile SM si SE a unei campanii teritoriale de informare si conștientizare a minimum 22.080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2. 2.Obiectivul specific 2 (OS2) al Proiectului îl constituie realizarea unei campanii online de informare si conștientizare a cetățenilor, privind drepturile legislative ale acestora.
</t>
  </si>
  <si>
    <t>2, 3</t>
  </si>
  <si>
    <t xml:space="preserve">Tulcea
Constanța
Buzau
Prahova
Giurgiu
Dâmbovița
Calarasi
</t>
  </si>
  <si>
    <t>Constanța
Prahova
Giurgiu
Arges
Dolj
Gorj
Mehedinți
Vâlcea
Brașov
Sibiu</t>
  </si>
  <si>
    <t>2, 3, 4, 7</t>
  </si>
  <si>
    <t>Simplificarea procedurilor administrative și reducerea birocrației pentru cetățeni la nivelul Primăriei Municipiului Sfântu Gheorghe</t>
  </si>
  <si>
    <t>Municipiul Sfântu Gheorghe</t>
  </si>
  <si>
    <t>Obiectivul general al proiectului "Simplificarea procedurilor administrative si reducerea birocratiei pentru cetateni la nivelul Primariei Municipiului Sfantu Gheorghe" consta in simplificarea procedurilor administrative si reducerea birocratiei pentru cetatenii Mun Sfantu Gheorghe prin implementarea unor masuri de simplificare, atat din perspectiva back-office, cat si front-office pentru serviciile furnizate exclusiv de catre Primaria municipiului Sfantu Gheorghe.                                                                                                            1. Asigurarea accesului online la serviciile gestionate exclusiv de primaria municipiului Sfantu Gheorghe - in termen de 30 luni de
la semnarea contractului de finantare.
2. Digitalizarea proceselor de administrare a documentelor- in termen de 30 de luni de la semnarea contractului de finantare.
3. Retro-digitalizarea documentelor din arhiva - in termen de 30 de luni de la semnarea contractului de finantare.</t>
  </si>
  <si>
    <t>Covasna</t>
  </si>
  <si>
    <t>Sfântu Gheorghe</t>
  </si>
  <si>
    <t xml:space="preserve">Obiectiv general: Dezvoltarea capacitatii societatii civile, ca împreuna cu UAT, sa contribuie la sustinerea si dezvoltarea economiei sociale prin sprijinirea initiativelor antreprenoriale care vizeaza infiintarea de structuri de economie sociala in Romania (SES).
OS3. Formularea propunerilor de Politici Publice.
OS1. Crearea unui parteneriat public-privat la nivel national, format din 160 de reprezentati ai UAT si organizatii civice din
Romania, pentru formularea si promovarea de propuneri alternative la politicile publice initiate de Guvern.
OS2. Formarea membrilor GT , pentru cresterea capacitatii de a identifica probleme in comunitate si a formula politici publice
alternative.
</t>
  </si>
  <si>
    <t>AA1/27.02.2019</t>
  </si>
  <si>
    <t>Actul aditional nr.1/26.02.2019</t>
  </si>
  <si>
    <t>Obiectivul general al proiectului: Optimizarea proceselor de managementul performanței la nivel strategic prin introducerea instrumentului de Balanced Scorecard în cadrul Primariei Municipiului Arad
Obiectivele specifice ale proiectului:
1. Obiectiv specific 1: Elaborarea unui studiu privind situaþia actuala a managementului performanþei la nivel strategic în cadrul
Primariei Municipiului Arad
2. Obiectiv specific 2: Introducerea unui instrument de management strategic de tip Balanced Scorecard la nivelul instituției
3. Obiectiv specific 3: Dezvoltarea cunostințelor si abilitaților pentru 129 de persoane în cadrul Primariei Municipiului Arad în
domeniul managementului performanței.</t>
  </si>
  <si>
    <t xml:space="preserve">Omdrapfe nr.  1227/28.02.2019 </t>
  </si>
  <si>
    <t>Cresterea capacitații administrative a Ministerului Economiei în vederea monitorizarii, evaluarii și
coordonării politicilor publice din domeniul competitivitații economice</t>
  </si>
  <si>
    <t>Consolidarea capacitaþii Ministerului Economiei de implementare si evaluare a strategiilor/politicilor publice pe care le coordoneaza.
Obiectivele specifice ale proiectului
1. Punerea la dispoziția Ministerului Economiei a instrumentelor necesare în vederea elaborarii, implementarii si monitorizarii
Strategiei Naționale de Competitivitate
2. Extinderea sferei de aplicație a Atlasului Economic al României catre zona utilizatorilor din afara Ministerului Economiei
3. Dezvoltarea competenþelor angajaþilor Ministerului Economiei în domeniul politicilor publice</t>
  </si>
  <si>
    <t>„CIVIC - CONSULTARE, INOVARE, VOLUNTARIAT, INFORMATIZARE ȘI COMUNICARE ÎN MUNICIPIUL BĂILEȘTI”</t>
  </si>
  <si>
    <t>AA1/07.03.2019</t>
  </si>
  <si>
    <t>Obiectivul general al proiectului - Fundamentarea deciziilor, planificarea strategica si masuri de simplificare pentru cetateni la nivelul UAT Bailesti.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birocraþiei pentru cetaþeni la nivel local corelate cu
Planul integrat de simplificare a procedurilor administrative pentru cetaþeni implementate;
3. OS 2.4: Cresterea nivelului de Cunostinþe si abilitaþi ale personalului UAT Bailesti în vederea sprijinirii masurilor/acþiunilor vizate
de acest obiectiv specific.</t>
  </si>
  <si>
    <t>ASOCIATIA CENTRUL PENTRU DEZVOLTARE DURABILA COLUMNA</t>
  </si>
  <si>
    <t>Accesul la sistemul juridic prin perspectiva grupurilor vulnerabile - Justiţie pentru toţi</t>
  </si>
  <si>
    <t>ASOCIAŢIA PENTRU IMPLICARE SOCIALĂ, EDUCAŢIE ŞI CULTURĂ</t>
  </si>
  <si>
    <t xml:space="preserve">Obiectivul general al proiectului este facilitarea accesului la justiție al cetățenilor, în special al grupurilor vulnerabile, prin activități de informare si promovare a drepturilor si serviciilor de care pot beneficia dar si prin îmbunătățirea calității serviciilor juridice.
Obiectivele specifice ale proiectului
1. O.S. 1 – Derularea unei campanii de informare în rândul cetățenilor pentru creșterea accesului la serviciile juridice,
conștientizarea drepturilor si serviciilor de care pot beneficia, pe parcursul a 15 luni, cu o audientă de peste 250.000 persoane,
cu accent pe grupurile vulnerabile.
2. O.S. 2 – Îmbunătățirea calității serviciilor juridice oferite cetățenilor prin acțiuni de formare a cel puțin 600 de practicieni ai
dreptului, pe parcursul a 16 luni, în domeniul protecției juridice a drepturilor omului, cu accent pe grupurile vulnerabile si
organizarea a 18 workshop-uri, cu peste 432 de participanți, pentru consolidarea capacitații avocaților privind acordarea asistentei
juridice în cazurile de discriminare.
3. O.S. 3 – Organizarea a 25 de sesiuni de informare la care vor participa cel puțin 875 de persoane cu scopul de a îmbunătăți
accesul cetățenilor la justiție, cu accent pe grupurile vulnerabile.
</t>
  </si>
  <si>
    <t>3, 4</t>
  </si>
  <si>
    <t xml:space="preserve">Arges
Calarasi
Dâmbovița
Giurgiu
Ialomița
Prahova
Teleorman
Dolj
Gorj
Mehedinți
Olt
Vâlcea
</t>
  </si>
  <si>
    <t>Informare Educare Justitie</t>
  </si>
  <si>
    <t>ASOCIATIA CENTRUL DE RESURSE APOLLO</t>
  </si>
  <si>
    <t xml:space="preserve">Îmbunătățirea accesului la justiție a cetățenilor de etnie roma din regiunile de dezvoltare Sud Muntenia si Sud Est, respectiv județele Prahova si Buzău
Obiectivele specifice ale proiectului
1. Creșterea nivelului de informare, educație juridica și conștientizare privind accesul la justiție a 1000 de cetățeni de etnie roma din județele Prahova și Buzău
2. Promovarea metodelor alternative de soluționare a litigiilor in justiție in rândul a 1000 de cetățeni de etnie roma si 40 persoane care desfășoară sau sunt autorizate sa desfășoare activități juridice personal din instituții judiciare si persoane cu atribuții juridice din instituții si autorități publice din județele Prahova si Buzău.
3. Evaluarea nevoilor si obstacolelor, cu care se confrunta cetățenii de etnie roma, din județele Prahova si Buzău , privind accesul la justiție.
</t>
  </si>
  <si>
    <t>Prahova
Buzău</t>
  </si>
  <si>
    <t>Introducerea de sisteme SMART pentru reducerea birocrației din Municipiul Drobeta Turnu Severin</t>
  </si>
  <si>
    <t>Obiectivul general al proiectului/Scopul proiectului
Fundamentarea deciziilor, planificarea strategica si masuri de simplificare pentru cetateni la nivelul UAT Drobeta-Turnu Severin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birocrației pentru cetațeni la nivel local corelate cu
Planul integrat de simplificare a procedurilor administrative pentru cetațeni implementate
3. OS 2.4: Cresterea nivelului de Cunostințe si abilități ale personalului UAT Drobeta-Turnu Severin, în vederea sprijinirii
masurilor/acțiunilor vizate de acest obiectiv specific.</t>
  </si>
  <si>
    <t>ForLegallnfo</t>
  </si>
  <si>
    <t>FUNDATIA "LUMINA INSTITUTII DE INVATAMANT"</t>
  </si>
  <si>
    <t xml:space="preserve">Iași
Neamț
Vaslui
Bihor
Cluj
Calarasi
Dâmbovița
Giurgiu
Prahova
Buzau
Constanța
Tulcea
</t>
  </si>
  <si>
    <t>1, 6, 3, 2</t>
  </si>
  <si>
    <t xml:space="preserve">Obiectivul general al Proiectului îl reprezintă facilitarea accesului cetățenilor si în special femeilor ca si grup vulnerabil si/sau altor grupuri vulnerabile din regiunile Sud Muntenia, Sud Est, Nord Vest si Nord Est, la un sistem judiciar transparent, integru si de calitate, prin intermediul unei campanii de informare, educație juridica si conștientizare a cetățenilor în privință drepturilor revăzute în cadrul noilor coduri, într-o perioada totala a proiectului de 24 luni. 
Obiectivele specifice ale proiectului
1. 1. Obiectivul specific 1 (OS1) al Proiectului îl constituie realizarea unui Ghid legislativ, conținând prevederile noilor coduri, o sinteza a drepturilor cetățenilor prevăzute de către acestea în vederea facilitării accesului la un proces de justiție mai transparent si mai aproape de nevoile cetățenilor, Ghid legislativ ce va fi publicat pe site-ul proiectului si diseminat către minimum 10.000 adrese de e-mail ale cetățenilor din grupul țintă / altor cetățeni si/sau altor instituții.
2. 2. Obiectivul specific 2 (OS2) al Proiectului îl constituie realizarea în regiunile SM, SE, NV si NE a unei campanii teritoriale de informare, educație juridica si conștientizare a minimum 16.000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3. 3.Obiectivul specific 3 (OS3) al Proiectului îl constituie realizarea unei campanii online de informare, educație juridica si conștientizare a cetățenilor, privind drepturile legislative ale acestora.
</t>
  </si>
  <si>
    <t xml:space="preserve">Finalizat </t>
  </si>
  <si>
    <t>Municipiul Rm. Sarat</t>
  </si>
  <si>
    <t>ALT- Sibiu: Administrație de Calitate, Accesibilă Locuitorilor prin Tehnologie„SALT- Sibiu: Administrație de Calitate, Accesibilă Locuitorilor prin Tehnologie</t>
  </si>
  <si>
    <t>Municipiul Sibiu</t>
  </si>
  <si>
    <t>Obiectivul general al proiectului este cresterea calitaþii actului administrativ la nivelul Municipiului Sibiu, prin abordarea sistematica a doua
elemente cheie care asigura aceasta crestere de calitate.Obiectivele specifice ale proiectului
1. OBIECTIVUL SPECIFIC 1: Dezvoltarea sistemului de management al calitaþii la Primaria Municipiului Sibiu pe baza autoevaluarii,
planificarii remediilor pentru cresterea calitaþii si standardizarii proceselor si activitaþilor, prin utilizarea de instumente standard
recomandate la nivel internaþional (ISO9001:2015), european (CAF) si naþional („Planul de acþiuni pentru implementarea etapizata
a managementului calitaþii în autoritaþi si instituþii publice 2016-2020”).
2. OBIECTIVUL SPECIFIC 2: Cresterea accesului online la serviciile publice gestionate de Primaria Municipiului Sibiu si instituþiile
din subordinea sa, în vederea reducerii birocraþiei pentru cetaþeni la (a) solicitarea si primirea în mod automatizat a unor
documente, certificate, autorizaþii si avize, (b) efectuarea de plaþi pentru servicii publice, taxe si impozite locale si (c) cresterea
accesibilitaþii registraturii prin dezvoltarea unui sistem non-stop de auto-înregistrare a documentelor depuse de cetaþeni.
3. OBIECTIVUL SPECIFIC 3: Îmbunataþirea proceselor de management al documentelor curente si arhivate prin extinderea solutiei
digitale de administrare a documentelor nou create si dezvoltarea arhivei electronice, în vederea eliminarii erorilor si scurtarii
timpului de asteptare pentru cetaþeni pentru orice eliberare a oricarui document sau raspuns
4. OBIECTIVUL SPECIFIC 4: Cresterea nivelului de competenþa a personalului Primariei Municipiului Sibiu si a instituþiilor
subordonate CL pentru cresterea calitaþii serviciilor locale prin implementarea corecta a sistemelor de management al calitaþii si
gestionarea eficienta a soluþiilor informatice care permit reducerea birocraþiei.a unor interfeþe prietenoase de interacþiune cu cetatenii si scaderea poverii administrative la nivelul acestora, cât si prin scaderea
poverii administrative si a timpului de prelucrare a documentelor la nivelul autoritaþii publice locale, ceea ce va scadea corelativ timpul de
asteptare al cetaþenilor pentru furnizarea unui serviciu public si va elimina erori generate de gestionarea unui numar mare de documente
înregistrate exclusiv pe hârtie (pentru care mecanismele de verificare se bazeaza exclusiv pe atentia umana).</t>
  </si>
  <si>
    <t>Județul SIBIU</t>
  </si>
  <si>
    <t>Sustenabilitate. Inovare. Bunăstare. Incluziune Socială. Unitate. SIBIU - Strategia 2030</t>
  </si>
  <si>
    <t>Obiectivul general: Optimizarea proceselor orientate catre beneficiari în concordanþa cu SCAP în cadrul administraþiei Judetului Sibiu, prin
abordarea strategica a dezvoltarii judetului pe termen lung, utilizând instrumente de prioritizare si planificare a investitiilor, bugetelor si
interventiilor în comunitate si prin dezvoltarea solutii de simplificare a relatiei dintre CJ si cetateni.
Obiectivele specifice ale proiectului
1. OBIECTIVUL SPECIFIC 1: Dezvoltarea capacitatii de planificare strategica si fundamentare a deciziilor la nivelul Consiliului
Judeþean Sibiu, prin dezvoltarea de mecansisme de participare publica, prioritizare a investiþiilor si prin desfasurarea unui
exerciþiu amplu de planificare strategica si a politicilor publice permiþând atât fundamentarea solida a tuturor investitiilor si
deciziilor în perioada 2020-2030, cât si cresterea nivelului de competenta la nivelul insituþiei printr-o învaþare experientiala.
2. OBIECTIVUL SPECIFIC 2: Cresterea accesului online la serviciile publice gestionate de Consiliul Judeþean Sibiu si instituþiile din
subordinea sa în vederea reducerii birocraþiei pentru cetateni când acceseaza servicii de sanatate.
3. OBIECTIVUL SPECIFIC 3: Simplificarea procedurilor administrative si reducerea birocratiei, cu impact asupra modului de
interactiune al Consiliului Judetean Sibiu cu cetatenii, prin dezvoltarea arhivei electronice, în vederea eliminarii erorilor si scurtarii
timpului de asteptare pentru cetateni pentru eliberarea oricarui document sau emiterea oricarui raspuns.
4. OBIECTIVUL SPECIFIC 4: Cresterea nivelului de competenþa a personalului Consiliului Judetean Sibiu si a institutiilor
subordonate în vederea si pentru gestionarea eficienta a solutiilor informatice care permit simplificare si reducerea birocratiei
pentru cetateni.</t>
  </si>
  <si>
    <t>Municipiul Alba iulia</t>
  </si>
  <si>
    <t>OC</t>
  </si>
  <si>
    <t>AA1</t>
  </si>
  <si>
    <t>CP 11/2018</t>
  </si>
  <si>
    <t>AP2/11i /2.2</t>
  </si>
  <si>
    <t>Dezvoltarea de reglementări instituționale privind etica, integritatea și anticorupție în sistemul de educație</t>
  </si>
  <si>
    <t>1. Academia de Poliție Al.Ioan Cuza
2. Asociația pentru Implementarea Democrației</t>
  </si>
  <si>
    <t>Obiectivul general: Cresterea capacitatii institutionale a MEN de aplicare a normelor, mecanismelor si procedurilor în materie de etica, integritate si anticoruptie la nivelul activitatii sale manageriale si administrative, în concordanþa cu SCAP
Obiective specifice:
OS1. Dezvoltarea si actualizarea unui cadru procedural unitar pentru asigurarea eticii, integritatii si conduitei anticoruptie in
activitatea manageriala si administrativa a MEN care reglementeaza organizarea si functionarea sistemului de educatie
OS2. Cresterea nivelului de educatie anticoruptie in randul personalului angajat al MEN
OS3. Cresterea gradului de constientizare publica a implementarii masurilor anticoruptie in domeniul educatie</t>
  </si>
  <si>
    <t>Administrație modernă. Creșterea calității proceselor</t>
  </si>
  <si>
    <t>Obiectivul general consta în îmbunataþirea capacitaþii administrative, a calitatii si eficientei serviciilor publice furnizate la nivelul UAT
Municipiul Sebes, judeþul Alba, din Regiunea Centru, prin investiþii integrate si complementare conform reglementarilor europene si
naþionale (elaborare criterii de planificare a investitiilor, servicii de digitizare si implementarea unui sistem informatic pentru eficientizarea
serviciilor de baza din cadru institutiei).
OS 1: Implementarea unor mecanisme si proceduri standard (elaborare criterii de planificare a investitiilor) pentru a creste
eficienþa acþiunilor adimintrative la nivelul Municipiului Sebes. OS 1 se va îndeplini prin Activitatea 7 si va conduce la atingerea
rezultatului de program POCA R1.
2. OS 2. Masuri de simplificare a procedurilor administrative si reducerea birocraþiei prin crearea si integrarea unui sistem informatic
pentru arhiva (digitalizarea arhivelor) si implementarea unui sistem informatic pentru eficientizarea serviciilor de baza de la nivelul
Municipiului Sebes. OS 2 se va îndeplini prin Activitatea 5 si Activitatea 6 si va conduce la atingerea rezultatului de program
POCA R3.
3. OS 3. Imbunatatirea competentelor profesionale a unui numar de circa 30 persoane din toate nivelurile ierarhice din cadrul UAT
Municipiul Sebes pe teme specifice, în urma unei analize de nevoi. OS 3 se va îndeplini prin Activitatea 8 si va conduce la
atingerea rezultatului R5.</t>
  </si>
  <si>
    <t>Asisteță pentru formularea propunerii de
politica publica a Municipiului Dragasani si
a principalelor instrumente aplicabile în
fiecare etapa pentru perioada 2020-2024</t>
  </si>
  <si>
    <t xml:space="preserve">Obiectivul general al proiectului este formularea unei propuneri de politica publica prin realizarea Strategiei de Dezvoltare Locala SDL
pentru perioada 2020-2024 si a Planului Strategic Instituțional PSI 2020-2023, corelata cu modernizarea sistemului informatic existent
pentru cresterea performanþei personalului angajat si deservirea online a cetaþenilor si mediului de afaceri.
Obiectivele specifice ale proiectului
OS1: Definirea politicii locale a municipiului Dragasani cu concursul tuturor factorilor cu aport în dezvoltarea locala, concretizata
prin adoptarea a 2 documente strategice: Strategia de Dezvoltare Locala (SDL) a municipiului Dragasani pentru perioada 2020-
2024 si Planul Strategic Instituțional 2020-2023, corelat cu SDL.
2. OS2: Reducerea birocraþiei pentru cetaþeni la nivel local corelate cu planul integrat de simplificare a procedurilor administrative
pentru cetaþeni - prin implementarea sistemului informatic modernizat pentru cresterea performanþei personalului angajat si
deservirea online a cetaþenilor si mediului de afaceri.
3. OS3: Dezvoltarea abilitaþilor personalului din cadrul Primariei Municipiului Dragasani si al instituþiilor subordonate Primariei
Dragasani prin asigurarea formarii profesionale a 60 persoane din grupul þinta în domeniile managementului strategic, al
instrumentelor si procedurilor pentru fundamentarea decizie si al competenþelor de comunicare.
</t>
  </si>
  <si>
    <t>Asociația Profesională Neguvernamentală de Asistența Socială ASSOC</t>
  </si>
  <si>
    <t>Acces la justiție și la metodele alternative de soluționare a litigiilor</t>
  </si>
  <si>
    <t>3, 4, 5, 6, 7</t>
  </si>
  <si>
    <t xml:space="preserve">Arges
Vâlcea
Bistrița-Nasaud
Maramureș
Satu Mare
Sălaj
Alba
Sibiu
Hunedoara
</t>
  </si>
  <si>
    <t xml:space="preserve">Obiectivul general al proiectului îl reprezinta îmbunatațirea accesului la justiție pentru cetateni, in special pentru grupuri vulnerabile,
precum si imbunatatirea calitatii serviciilor de suport, inclusiv asistenta juridica.
Proiectul vizeaza acțiuni de degrevare a instanțelor si parchetelor prin promovarea medierii/arbitrajului ca metoda alternativa de soluþionare a litigiilor (pentru dezvoltarea si diversificarea paletei de servicii de consiliere si asistenþa juridica adecvate nevoilor cetaþenilor), garantarea accesului la justiție, promovarea birourilor/serviciilor de consiliere juridica si informare a cetaþenilor, accesibile înainte de a apela la  instanța, promovarea activitaþii acestora, acþiuni precum organizarea de campanii de informare, educatie juridica si
constientizare a populaþiei, în special a grupurilor vulnerabile, cu privire la dreptul la asistenþa judiciara si modalitaþile concrete de
accesare a acestor servicii.
Obiectivele specifice ale proiectului:
1 Cresterea accesului la justiþie al cetațenilor prin derularea de campanii de informare, educaþie juridica si constientizare cu privire la promovarea si consolidarea metodelor alternative de soluþionare a litigiilor (medierea, arbitrajul etc.) si la prevederile noilor coduri, drepturile cetaþenilor, promovarea informaþiilor privind instituþiile din sistemul judiciar si serviciile oferite de acestea.
• Cresterea gradului de informare, educaþie juridica si constientizare cu privire la prevederile noilor coduri, drepturile cetațenilor, promovarea informaþiilor privind instituþiile din sistemul judiciar si serviciile oferite de acestea
 2 Cresterea accesului la justiþie prin asistenþa juridica pusa pentru 240 de persoane.
3 Cresterea gradului de consolidare a metodelor alternative de soluþionare a litigiilor prin acþiuni de formare a 75 de practicieni ai dreptului.
</t>
  </si>
  <si>
    <t>Administrație publică locală eficientă pentru cetățeni</t>
  </si>
  <si>
    <t>Obiectivul general: îmbunataþirea procesului decizional, a planificarii strategice si reducerea birocraþiei pentru cetaþeni, prin dezvoltarea si
implementarea de masuri precum: un mecanism pentru fundamentarea deciziilor, doua politici publice, un plan strategic instituþional, doua
strategii sectoriale, soluþii informatice integrate, ca si prin îmbunataþirea cunostinþelor personalului pentru implementarea masurilor
dezvoltate în proiect.
Obiectiv specific 1: Îmbunataþirea procesului de fundamentare a deciziilor la nivelul UAT Primaria Municipiului Aiud prin
elaborarea a doua politici publice în domenii prioritare la nivelul UAT.
Obiectiv specific 2: Îmbunataþirea procesului de planificare strategica la nivelul UAT Primaria Municipiului Aiud prin elaborarea si
aprobarea unui plan strategic instituþional (PSI) aferent anilor 2020 – 2021, precum si a doua strategii sectoriale aferente anilor
2021 – 2025 în domeniile sanatate si asistenþa sociala.
Obiectiv specific 3: Simplificarea procedurilor administrative si reducerea birocraþiei pentru cetaþeni la nivel local, prin dezvoltarea
si implementarea unui pachet de soluþii informatice integrate de tip front-office si back-office, în vederea accesului online la
serviciile gestionate exclusiv de UAT si digitalizarea documentelor din arhiva instituþiei.
Obiectiv specific 4:Dezvoltarea abilitaþilor personalului din UAT Primaria Municipiului Aiud si instituþiile din subordinea consiliului
local, pe teme specifice de interes care au legatura cu OS2.1 si cu obiectivul general al proiectului, incluzând politici publice
locale, planificare strategica, utilizarea sistemelor informatice dezvoltate în proiect.</t>
  </si>
  <si>
    <t>1. AASOCIAȚIA PROFESIONALĂ NEGUVERNAMENTALĂ DE ASISTENȚA SOCIALA ASSOC - FILIALA VÂLCEA
2. COMUNA MĂCIUCA</t>
  </si>
  <si>
    <t>Imbunatatirea capacitatii adm-ve a CJ Constanța</t>
  </si>
  <si>
    <t>Obiectivul general al proiectului vizeaza introducerea de sisteme si standarde comune în administraþia publica locala ce
optimizeaza procesele orientate catre beneficiari în concordanþa cu Strategia pentru Consolidarea Administratiei Publice 2014-2020
(SICAP).                                                                                                                                                                                                                                                                                                                Obiectivele specifice ale proiectului: 1) Realizarea Strategiei de Dezvoltare a Judeþului Constantþa pentru perioada 2021-2027 si 2) Modernizarea arhivei Consiliului Judetean Constanta.</t>
  </si>
  <si>
    <t>Justitie si mediere pentru toata lumea/ Law and mediation for everyone</t>
  </si>
  <si>
    <t>Asociația Liga Apărării Drepturilor Colective</t>
  </si>
  <si>
    <t>Obiectivul general al proiectului este atat de a sprijini populatia din mediul rural in procesul de identificare si de intelegere a drepturilor
cetatenilor conform legislatiei in vigoare precum si de a imbunatatii si facilita accesul romanilor la serviciile de mediere si asistenta juridica.
Obiectivele specifice ale proiectului
1. 1 Mediatizarea si diseminarea in trei comune din judetul Cluj a informaþiilor cu privire la prevederile introduse de noile coduri
privind drepturile cetatenilor, si in special ale grupurilor dezavantajate. Acest obiectiv urmeaza a fi implementat prin Activitatea A2.
2. 4. Cresterea accesului comunitatii la justitie Acest obiectiv urmeaza a fi implementat prin Activitatea A2, Activitatea A3 si
Activitatea A4.
3. 3.Promovarea medierii ca metoda alternativa de soluþionare a litigiilor. Acest obiectiv urmeaza a fi implementat prin Activitatea A4.
4. 2. Transpunerea intr-un limbaj uzual a informatiilor juridice de maxim interes pentruy cetatenii din mediul rural. Acest obiectiv
urmeaza a fi implementat prin Activitatea A3</t>
  </si>
  <si>
    <t>REZILIAT</t>
  </si>
  <si>
    <t>Consolidarea capacității administrative a Municipiului Lugoj prin dezvoltarea capacității de planificare strategică și prin simplificarea procedurilor administrative pentru reducerea birocrației destinate</t>
  </si>
  <si>
    <t>Municipiu Lugoj</t>
  </si>
  <si>
    <t>Obiectivul general al proiectului consta in consolidarea capacitatii administrative a Municipiului Lugoj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OS 1 Dezvoltarea capacitatii de planificare strategica la nivelul administratiei publice locale din Municipiul Lugoj prin realizarea
Strategiei Smart City si Strategiei de dezvoltare durabila 2021 – 2027
OS 2 Eficientizarea si simplificarea serviciilor furnizate cetatenilor de catre Primaria Muncipiului Lugoj prin implementarea unei
solutii de portal cu servicii digitale pentru cetateni, managementul documentelor, ERP si digitalizarea arhivei
OS 3 Promovarea modernizarii in administratia publica locala din Municipiul Lugoj prin specializarea angajatilor primariei pe teme
specifice proiectului (planificare strategica si utilizarea noului sistem informatic) ceea ce va determina motivarea si mobilizarea
acestora in directia inovatiei si in oferirea de servicii publice de calitate catre cetateni</t>
  </si>
  <si>
    <t>Simplificarea Procedurilor Administrative și Creșterea Eficienței în județul Sălaj</t>
  </si>
  <si>
    <t>Obiectivul general al proiectului: 
Consolidarea capacitaþii Consiliului Judetean Salaj de a asigura calitatea si accesul la serviciile publice oferite exclusiv de instituþie catre cetaþeni prin simplificarea procedurilor administraþiei locale si reducerea birocrației
Obiectivele specifice ale proiectului
1. Reducerea cu minim 30% a timpului aferent livrarii serviciilor catre cetațeni, primarii locale, ONG-uri, asociații si mediul de afaceri prin oferirea unor servicii cu acces on-line, crearea unei arhive digitale si eliminarea astfel a birocraþiei existente
2. Reducerea la maxim a fluxului clasic pe hârtie pentru urmatoarele servicii oferite exclusiv de Consiliul Judeþean Salaj pentru: 
       a) Obþinere informaþii despre concesionare/închieirere/vânzare bunuri proprietate publica sau privata
       b) Obþinere Acord prealabil lucrari în zona drumurilor judeþene
       c) Obþinere Acord privind efectuarea de lucrari în cladirile de patrimoniu judeþean
       d) Solicitare sprijin financiar cazuri sociale
       e) Comunicarea privind începerea lucrarilor de construire/desfiinþare
       f) Comunicarea privind încheierea execuþiei lucrarilor de construire/desfiinþare
       g) Licenþa de transport
3. Furnizarea unui canal îmbunataþit de comunicaþie informaþionala pentru cetaþeni
4. Simplificarea fluxurilor interne prin eliminarea unor acte doveditoare eliberate deja de catre instituþie
5. Elaborarea unui instrument de management si evaluare a performanþei instituþionale privind serviciile livrate prin înfiinþarea
canalului de comunicaþie nou reprezentat de portalul de servicii electronice
6. Îmbunataþirea accesului la informaþii prin up-gradarea site-ului web al instituþiei pentru a fi receptiv, intuitiv si accesibil persoanelor
cu dizabilitaþi
7. Elaborarea unui instrument extranet pentru confirmarea veridicitaþii actelor emise de instituþie
8. Cresterea eficienþei serviciilor oferite prin instruirea a cel puþin 70 de angajaþi din aparatul propriu al Consiliului Judeþean Salaj</t>
  </si>
  <si>
    <t>AA2/30.01.2019</t>
  </si>
  <si>
    <t>Optimizarea proceselor în concordanță cu Strategia pentru Consolidarea Administrației Publice la nivelul Municipiului Deva</t>
  </si>
  <si>
    <t>Asociația Centrul Pentru Dezvoltare Durabilă Columna</t>
  </si>
  <si>
    <t>Obiectivul general al proiectului consta consolidarea capacitaþii instituþionale si eficientizarea activitaþii la nivelul Municipiului Deva, prin
fundamentare strategica, simplificarea procedurilor administrative si reducerea birocraþiei pentru cetaþeni, implementând masuri din
perspectiva back-office (adaptarea procedurilor interne de lucru), si front-office pentru serviciile publice furnizate.
OS1. Implementarea unor procedure simplificate pentru reducerea birocraþiei pentru cetaþeni, în corespondenta cu
Planul integrat pentru simplificarea procedurilor administrative aplicabile cetaþenilor, atât din perspectiva back-office,cât si frontoffice.
OS2. Dezvoltarea cunostinþelor si abilitaþilor personalului din cadrul Municipiului Deva, în vederea sprijinirii masurilor
vizate de proiect.
OS 3. Introducerea unor mecanisme si proceduri standard implementate la nivel local pentru fundamentarea deciziilor si
planificarea strategic pe termen lung.</t>
  </si>
  <si>
    <t>AA1/08.04.2019</t>
  </si>
  <si>
    <t>Administratie moderna in sprijunul cetatenilor</t>
  </si>
  <si>
    <t>Judetul Botosani</t>
  </si>
  <si>
    <t>OS1: Consolidarea capacitatii administrative si accesul online la serviciile publice prin implementarea unei Platforme Integrate de
Simplificare a interactiunii cu Cetatenii pentru reducerea birocratiei si administrarea electronica a documentelor (PISC DMS) si a
Arhivei electronice a judetului.
2. OS2: Simplificarea procedurilor administrative si actualizarea procedurilor interne de lucru ca urmare a implementarii sistemului
PISC DMS
3. OS.3. Dezvoltarea cunostinþelor si abilitaþilor profesionale pentru 35 de persoane din grupul tinta prin participarea la cursuri de
formare pentru utilizarea sistemului informatic si a procedurilor simplificate,cuprinzând si module de dezvoltare durabila, egalitate
de sanse, nediscriminare si egalitate de gen.</t>
  </si>
  <si>
    <t>Soluții informatice integrate pentru simplificarea procedurilor on-line si reducerea birocrației la nivelul municipiului Râmnicu Vâlcea</t>
  </si>
  <si>
    <t>Municipiul Râmnicu Vâlcea</t>
  </si>
  <si>
    <t xml:space="preserve">Obiectivul general al proiectului consta consolidarea capacitaþii instituþionale si eficientizarea activitaþii la nivelul Municipiului Râmnicu Vâlcea, prin simplificarea procedurilor administrative si reducerea birocraþiei pentru cetaþeni, implementând masuri din perspectiva backoffice (adaptarea procedurilor interne de lucru, digitalizarea arhivelor), si front-office pentru serviciile publice furnizate.
Obiectivele specifice ale proiectului
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În acest sens sunt avute în vedere achiziþia si implementarea unei platforme integrate pentru managementul fluxurilor de lucru si arhivarea electronica, respectiv a unei platforme integrate (portal web, aplicaþie pentru dispozitive mobila) pentru servicii electronice complete (inclusiv plata electronica si semnatura electronica), a unui terminal interactiv de tip self-service pentru servicii electronice, si a unei soluþii de raportare a indicatorilor aferenþi serviciilor electronice. Platforma integrata pentru servicii electronice este bazata pe implementarea urmatoarelor principii: One Stop Shop pentru livrarea de servicii publice electronice; utilizarea inteligenta informaþiilor disponibile prin aplicarea principiului înregistrarii "o singura data" a datelor – conceptul de identitate electronica a cetaþeanului; spaþiul privat virtual al cetaþeanului în relaþia cu primaria. </t>
  </si>
  <si>
    <t>120 -  Investiții în capacitatea instituțională și în eficiența administrațiilor și a serviciilor publice la nivel național, regional și local, în perspectiva realizării de reforme, a unei mai bune legiferări și a bunei guvernanțe</t>
  </si>
  <si>
    <t>Elaborarea strategiei de dezvoltare durabilă a județului Prahova pentru perioada 2021-2027</t>
  </si>
  <si>
    <t>Obiectivul general al proiectului îl reprezinta eficientizarea activitaþii administraþiei publice locale din cadrul Judetului Prahova prin implementarea de mecanisme si proceduri standard pentru fundamentarea deciziilor si planificare strategica pe termen lung ( pentru perioada 2021-2027), in concordanta cu Strategia pentru Consolidarea Administratiei Publice2014-2020, intr-o perioada de 20 luni.
Obiectivele specifice ale proiectului
1. 1. Cresterea capacitaþii de a realiza o planificare strategica a Judetului Prahova bazata pe prioritizarea acþiunilor si cheltuielilor bugetare si stabilirea unui dialog cu partenerii locali, prin elaborarea Strategiei de dezvoltare locala durabila a judetului Prahova pentru perioada 2021-2027.
2. Dezvoltarea capacitatii manageriale prin imbunatatirea competentelor la toate nivelurile ierarhiei profesionale din cadrul
Consiliului Judetean Prahova prin pregatirea a 45 de persoane din cadrul aparatului de specialitate, personal de executie si de
conducere si alesi locali, in domeniul planificarii strategice pentru dezvoltare locala durabila.</t>
  </si>
  <si>
    <t xml:space="preserve">                                                 AA4/08.04.2019</t>
  </si>
  <si>
    <t>AA2/08.04.2019</t>
  </si>
  <si>
    <t>Sistem informatic integrat de e-administrație pentru îmbunătățirea accesului populației la servicii electronice și simplificare administrativă</t>
  </si>
  <si>
    <t xml:space="preserve">Obiectivul general al proiectului: Consolidarea capacitaþii instituþionale a Primariei Municipiului Vaslui prin implementarea de masuri de simplificare administrativa si optimizare a furnizarii serviciilor catre cetaþeni.
Obiectivele specifice ale proiectului
1. Optimizarea activitaþilor interne ale funcþionarilor, prin implementarea unei platforme integrate de management al activitaþilor si al înregistrarilor, inclusiv prin digitalizarea si gestiunea electronica a arhivei primariei Vaslui
2. Implementarea unei platforme de tip portal pentru servicii care sa fie furnizate online catre cetaþeni
3. Îmbunataþirea abilitaþilor si cunostinþelor personalului municipiului Vaslui pentru utilizarea sistemelor informatice dezvoltate prin proiect si pentru gestionarea documentelor electronice
</t>
  </si>
  <si>
    <t>129 - Investiții în capacitatea instituțională și în eficiența administrațiilor și a serviciilor publice la nivel național, regional și local, în perspectiva realizării de reforme, a unei mai bune legiferări și a bunei guvernanțe</t>
  </si>
  <si>
    <t>Planificare strategică și simplificare administrativă pentru o dezvoltare sustenabilă a județului Călărași</t>
  </si>
  <si>
    <t>Obiectivul general al proiectului consta in consolidarea capacitatii administrative a Consiliului Judetean Calarasi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Obiectivele specifice ale proiectului
1. Dezvoltarea capacitatii de planificare strategica la nivelul Consiliului Judetean Calarasi prin realizarea Strategiei de Dezvoltare Durabila
2. Eficientizarea si simplificarea serviciilor furnizate cetatenilor de catre Consiliul Judetean Calarasi prin implementarea unei solutii de portal cu servicii digitale pentru cetateni, managementul documentelor, ERP si digitalizarea arhivei
3. Promovarea modernizarii Consiliului Judetean Calarasi prin specializarea angajatilor institutiei pe teme specifice proiectului
(planificare strategica si utilizarea noului sistem informatic) ceea ce va determina motivarea si mobilizarea acestora in directia inovatiei si in oferirea de servicii publice de calitate catre cetateni</t>
  </si>
  <si>
    <t>Planificare strategică eficientă și implementare de soluții electronice pentru reducerea birocrație</t>
  </si>
  <si>
    <t>Obiectivul general al proiectului
Îmbunatațirea procesului de luare a deciziei la nivelul Municipiului Arad prin introducerea unor metode si sisteme coerente de
fundamentare a deciziilor, corelarea acestora cu resursele disponibile si pregatirea personalului aparatului de specialitate, precum si a
consilierilor locali in vederea utilizarii acestor instrumente.
OS1. Îmbunatațirea procesului de planificare strategica si alocare a resurselor în cadrul Primariei Municipiului Arad prin
elaborarea Planului Strategic Instituțional aferent anilor 2020 si 2023.
2. OS2. Îmbunataþirea corelarii între masurile si planurile de acþiune din principalele documente de politici publice si activitațile de
planificare bugetara si alocare a resurselor de catre autoritatea publica locala Municipiul Arad prin actualizarea Strategiei
Integrate de Dezvoltare Urbana a Municipiului Arad si a Planului de Mobilitate Urbana Durabila pentru Municipiul Arad pentru
perioada post 2020.
3. OS3. Implementarea unor masuri de simplificare pentru cetațeni, în corespondenþa cu Planul Integrat pentru simplificarea
procedurilor administrative aplicabile cetațenilor, atât din perspectiva back-office (adaptarea procedurilor interne de lucru,
digitalizarea arhivelor), cât si front-office
4. OS4. Dezvoltarea cunostinþelor si abilitaților personalului din cadrul Primariei Municipiului Arad, în vederea sprijinirii masurilor
vizate de proiect. Este avuta în vedere formarea/instruirea,evaluarea/testarea si certificarea competenþelor/cunostinþelor
dobândite pentru 75 persoane din cadrul grupului þinta, în ceea ce priveste planificarea strategica. Obiectivul general al serviciilor
de instruire îl constituie familiarizarea persoanelor din grupul þinta cu implicaþiile conceptului de planificarea strategica.</t>
  </si>
  <si>
    <t>AA 1/ 12.04.2019</t>
  </si>
  <si>
    <t>AA 1/29.11.2018          AA 2 /03.04.2019</t>
  </si>
  <si>
    <t>AA 1/ 15.04.2019</t>
  </si>
  <si>
    <t>AA 1/ 01.04.2019</t>
  </si>
  <si>
    <t>AA 1/ 28.03.2019</t>
  </si>
  <si>
    <t xml:space="preserve">AA 1/02.04.2019 </t>
  </si>
  <si>
    <t>AA2/17.04.2019</t>
  </si>
  <si>
    <t>AA2/18.04.2019</t>
  </si>
  <si>
    <t>MaraStrategy</t>
  </si>
  <si>
    <t>Obiectivul proiectului este implementarea si certificarea sistemului propriu de management al calitaþii implementat în cadrul Consiliului Judeþean Maramures, conform standardelor ISO 9001 – 2015.                                                                                                                                                                         1.Elaborarea documentelor necesare pentru realizarea, implementarea si certificarea unui sistem propriu de management al calitaþii (SMC) implementat în cadrul Consiliului Judeþean Maramures, conform standardelor ISO 9001 - 2015;
2. Instruirea unui numar de 160 persoane – aparatul propriu al Consiliului Judeþean Maramures în utilizarea, menþinerea si dezvoltarea SMC, din care 3 funcþii de demnitate publica, 130 funcþii publice si 27 funcþii contractuale;
3. Realizarea unui sistem informatic suport al SMC cu adresabilitate întregului personal;
4. Instruirea unui numar minim de 20 persoane din aparatul propriu al Consiliului Judeþean Maramures în utilizarea aplicaþiilor
informatice din cadrul sistemului informatic suport.</t>
  </si>
  <si>
    <t>1. Elaborarea documentelor dezvoltarii pe perioada urmatoare a judeþului Maramures, planuri si strategii sectoriale, pornind de la
actualizarea documentelor de planificare (pentru care este cazul), în perioada de implementare a proiectului.
2. Realizarea unui sistem informatic de gestiune a arhivelor proprii, precum si digitalizarea proceselor si a fluxurilor de documente
inclusiv retro-arhivarea documentelor din arhiva tradiþionala Consiliul Judeþean Maramures, în perioada de implementare a
proiectului
3. Realizarea unui sistem informatic de tip portal informatic care sa asigure interfaþa on line pentru cetaþeni cu scopul reducerii
birocraþiei si pentru furnizarea de informare /asistenþa, formulare, primire solicitari, emitere documente, efectuarea plaþi
impozitelor si taxelor on line, inclusiv sistem informatic de gestiune a informaþiilor geospaþiale (GIS) în perioada de implementare
a proiectului.
4. Instruirea unui numar de 48 persoane – aparatul propriu al Consiliului Judeþean Maramures în diverse teme legate de planificarea
strategica, urbanism si amenajarea teritoriului, politici publice, etc., în perioada de implementare a proiectului.</t>
  </si>
  <si>
    <t>AA1/24.04.2019</t>
  </si>
  <si>
    <t>OMDRAP nr. 1679/06.05.2019/Actul adițional nr.1/06.05.2019</t>
  </si>
  <si>
    <t>AA3/15.04.2019</t>
  </si>
  <si>
    <t>AA6/08.04.2019 PRELUNGIRE 6 LUNI</t>
  </si>
  <si>
    <t>AA1/02.04.2019 PRELUNGIRE 10 LUNI</t>
  </si>
  <si>
    <t>Planificare strategică și managementul
performanței în folosul cetățenilor din
județul Harghita prin implementarea CAF
(CAFHR)</t>
  </si>
  <si>
    <t>Județul Harghita</t>
  </si>
  <si>
    <t xml:space="preserve">Obiectivul general este optimizarea proceselor orientate catre beneficiari în concordanþa cu SCAP prin introducerea sistemului CAF si instruirea personalului pentru implementarea unitara a managementului calitaþii si performanþei în administraþia publica locala, pentru a oferi servicii de calitate care sa asigure obþinerea satisfacþiei si încrederii cetaþenilor, în condiții de eficienþa, eficacitate.
Obiectivele specifice ale proiectului
1. Obiectiv specific 1: Elaborarea unui studiu privind situaþia actuala a managementului performanței la nivel strategic în cadrul Consiliului Județean Harghita si Introducerea unui instrument al managementului calitații, respectiv instrumentul CAF la nivelul Consiliului Județean Harghita pentru îmbunatațirea managementului performanței.
2. Obiectiv specific 2: Dezvoltarea si perfecționarea cunostințelor si abilitaților pentru 91 de persoane din cadrul Consiliului Judeþean Harghita în domeniul managementului performanței si a standardelor instrumentului CAF, cu scopul aplicarii acestor concepte în organizaþie pentru un management al calitații mai bun. Persoanele instruite vor acumula cunostințe care vizeaza atât principiile de management al calitații cât si aplicarea acestora în cadrul instituției. Cu ocazia desfasurarii fiecarei sesiuni de instruire, fiecarui modul de formare va fi prezentata o tema dedicata egalitații de sanse, nediscriminare si egalitate de gen si o tema dedicata dezvoltarii durabile.
</t>
  </si>
  <si>
    <t>AA1/10.05.2019</t>
  </si>
  <si>
    <t>AA3/10.05.2019</t>
  </si>
  <si>
    <t>IP14/2019
(MySMIS: 
POCA/ 513/1/1 )</t>
  </si>
  <si>
    <t>Obiectivul general: Dezvoltarea capacitaþii administrative a MMJS si ANES de a fundamenta pe dovezi politicile publice din aria de responsabilitate, respectiv a cadrului strategic naþional privind incluziunea sociala si reducerea saraciei post 2020 si a cadrului strategic naþional pentru egalitatea de gen post 2020, conform cerintelor stabilite de Comisia Europeana, în vederea îndeplinirii condiþiilor favorizante esenþiale pregatirii documentelor aferente CFM post 2020 si accesarii FESI în perioada 2021-2027.
Obiective specifice:
OS 1. Cresterea capacitatii MMJS si ANES de a fundamenta politici publice bazate pe dovezi prin colaborarea cu experti din mediul universitar cu experienta in domeniu, in elaborarea cadrului strategic national post 2020 privind incluziunea sociala si respectiv egalitatea de gen, obiectiv atins prin RP1 si RP2.
2. OS 2. Imbunatatirea nivelului de cunoastere a fenomenelor saraciei, excluziunii sociale, egalitatii de gen, prin realizarea unei analize diagnostic bazata pe date statistice, obiectiv atins prin RP1 si RP2.
3. OS 3. Planificarea strategica post 2020 a masurilor interdisciplinare care vizeaza cresterea incluziunii sociale, reducerea saraciei,
precum si care vizeaza egalitatea de gen, obiectiv atins prin RP3.
4. OS 4 Sprijinirea procesului de programare a CFM post 2020 si îndeplinirea condiþiilor stabilite de Comisia Europeana pe domeniile incluziunii, reducerii saraciei si domeniul egalitatii de gen, pentru ca România sa acceseze fondurile europene post 2020, obiectiv atins prin RP3.
5. OS 5 Intarirea cooperarii interinstitutionale (a MMJS si ANES cu institutiile de nivel central si local cu atributii in incluziunea sociala si in ceea ce priveste egalitatea de gen) prin implicarea activa a acestora in elaborarea acestui cadru strategic, obiectiv atins prin RP3.</t>
  </si>
  <si>
    <t>MINISTERUL MUNCII ȘI JUSTIȚIEI SOCIALE</t>
  </si>
  <si>
    <t>INCLUZIUNE ȘI EGALITATE DE SANSE
POST-2020 - Cadru strategic național de
politică pentru incluziunea socială și
egalitatea de șanse post 2020</t>
  </si>
  <si>
    <t>1. AGENȚIA NAȚIONALĂ PENTRU EGALITATEA DE ȘANSE ÎNTRE FEMEI ȘI BĂRBAȚI
2. SCOALA NATIONALĂ DE STUDII POLITICE SI ADMINISTRATIVE</t>
  </si>
  <si>
    <t>Administrație publică împreună cu cetățenii</t>
  </si>
  <si>
    <t>Municipiul Făgăraș</t>
  </si>
  <si>
    <r>
      <rPr>
        <u/>
        <sz val="12"/>
        <rFont val="Calibri"/>
        <family val="2"/>
        <scheme val="minor"/>
      </rPr>
      <t>Obiectivul general al proiectului:</t>
    </r>
    <r>
      <rPr>
        <sz val="12"/>
        <rFont val="Calibri"/>
        <family val="2"/>
        <scheme val="minor"/>
      </rPr>
      <t xml:space="preserve">
Introducerea de sisteme si standarde comune în administraþia publica locala ce optimizeaza procesele orientate catre beneficiari în concordanþa cu SCAP:
• Implementarea de mecanisme si proceduri standard la nivel local pentru simplificare si raþionalizare a procedurilor
administrative
• Introducerea de instrumente electronice si procese de lucru simplificate pentru reducerea birocraþiei, corelate cu Planul integrat de simplificare a procedurilor administrative pentru cetaþeni implementate
Obiectivele specifice ale proiectului
1. Obiectiv specific de proiect 1: Digitizarea, simplificarea si optimizarea fluxurilor de lucru pentru procesele orientate catre cetaþeni în administraþia locala a Municipiului Fagaras.
2. Obiectiv specific de proiect 2: Îmbunataþirea cunostinþelor si abilitaþilor alesilor locali, precum si angajaþilor administraþiei locale în furnizarea si comunicarea unor servicii publice de calitate catre cetaþeni
3. Obiectiv specific de proiect 3: Îmbunataþirea cunostinþelor si abilitaþilor alesilor locali, precum si angajaþilor administraþiei locale în furnizarea si comunicarea unor servicii digitizate si online catre cetaþeni</t>
    </r>
  </si>
  <si>
    <t>AA1/16.05.2019</t>
  </si>
  <si>
    <t>AA2/16.05.2019</t>
  </si>
  <si>
    <t>MINISTERUL CERCETARII SI INOVARII</t>
  </si>
  <si>
    <t>Cresterea capacității sistemului CDI de a răspunde provocarilor globale. Consolidarea capacității+G413
anticipatorii de elaborare a politicilor publice bazate pe dovezi</t>
  </si>
  <si>
    <t>UNITATEA EXECUTIVA PENTRU FINANTAREA INVATAMANTULUI SUPERIOR, A CERCETARII,</t>
  </si>
  <si>
    <t>AA2</t>
  </si>
  <si>
    <t>AA3 /17.05.2019</t>
  </si>
  <si>
    <t>Asociatia Technology and Innovation for Society Tehnologie si Inovare pentru Societate</t>
  </si>
  <si>
    <t>Asociatia Technology and Innovation For Society/Tehnologie ți Inovare pentru Societate Filiala Satu Mare</t>
  </si>
  <si>
    <t>Creșterea transparentei, calității și accesibilității serviciilor oferite cetățenilor de către sistemul judiciar, cu ajutorul tehnologiei</t>
  </si>
  <si>
    <t>Justiție pentru mediu rural</t>
  </si>
  <si>
    <t xml:space="preserve">Obiectivul general al proiectului este creșterea nivelului de informare si accesibilitate a serviciilor oferite cetățenilor din grupuri vulnerabile din mediul urban: femei, tineri, persoane din grupuri vulnerabile, comunități marginalizate, si a altor cetățeni, de catre sistemul judiciar, cu ajutorul tehnologiei. Acesta este in concordanta cu Obiectivul specific 2.3. al programului, Asigurarea unei transparențe si integrități sporite la nivelul sistemului judiciar în vederea îmbunătățirii accesului si a calitaþii serviciilor furnizate la nivelul acestuia.
Obiectivele specifice ale proiectului
1. OS1. Creșterea accesului la justiție a 200 de cetățeni din mediul urban: tineri, femei, persoane care fac parte din grupuri vulnerabile, comunități marginalizate sau alți cetățeni care au nevoie de reformare, educare si consiliere in domeniul accesului la servicii oferite de sistemul juridic, prin derularea unei campanii de informare/educație juridica, prin utilizarea unor metode inovative si cu ajutorul tehnologiei, in cadrul caravanei “Justiție pentru toți”.
2. OS2. Accelerarea dezvoltării si diversificării paletei de servicii de informare, educare si consiliere juridica adecvate nevoilor cetățeanului din mediul urban, prin cooperare cu autoritari ale administrației publice locale si cu societatea civila prin organizarea unui “Accelerator pentru Justiție - Centrul real si virtual de resurse pentru accesul accelerat la justiție”, care sa acopere nevoile de informare, educare si consiliere in perioada de implementare a minim 100 de cetățeni: tineri, femei, persoane care fac parte din grupuri vulnerabile, comunități marginalizate sau alti cetățeni care au nevoie de informare, educare si consiliere in domeniul accesului la servicii oferite de sistemul juridic.
3. OS3. Promovarea si consolidarea cu ajutorul tehnologiei a metodelor alternative de soluționare a litigiilor prin crearea si dezvoltarea in acord cu nevoile identificate in mediul urban a unui “Portal interactiv de metode alternative de soluționare a litigiilor” pentru promovarea si consolidarea cu ajutorul tehnologiei a metodelor alternative de soluționare a litigiilor, prin derularea de campanii de informare si consiliere on-line a beneficiarilor actului de justiție: minim 50 de persoane, pe parcursul
implementarii-cetateni din mediul urban: tineri, femei, persoane care fac parte din grupuri vulnerabile, comunitati marginalizate sau alti cetățeni care au nevoie de informare, educare si consiliere in domeniul accesului la servicii oferite de sistemul juridic.
</t>
  </si>
  <si>
    <t xml:space="preserve">Bacău
Botașani
Iași
Neamț
Suceava
Vaslui
Bihor
Bistrița Năsăud
Cluj
Maramureș
Satu Mare
Sălaj
Argeș
Călărași
Dîmbovița
Giurgiu
Ialomița
Prahova
Teleorman
Brăila
Buzău
Galați
Tulcea
Vrancea
Dolj
Gorj
Mehedinți
Olt
Arad
Caraș Severin
Hunedoara
Timiș
Alba
Brașov
Covasna
Haghita
Mureș
Sibiu
</t>
  </si>
  <si>
    <t>1,2,3,4,5,6,7</t>
  </si>
  <si>
    <t>Obiectivul general al proiectului este cresterea nivelului de informare si accesibilitate a serviciilor oferite cetatenilor din mediul rural de
catre sistemul judiciar, cu ajutorul tehnologiei. Acesta este in concordanta cu Obiectivul specific 2.3. al programului, Asigurarea unei
transparenþe si integritaþi sporite la nivelul sistemului judiciar în vederea îmbunataþirii accesului si a calitaþii serviciilor furnizate la nivelul
acestuia, corespunzator Axei prioritare 2: Administraþie publica si sistem judiciar accesibile si transparente.
Obiectivele specifice ale proiectului
1. OS1. Cresterea accesului la justiþie a 200 de cetateni din mediul rural care au nevoie de informare, educare si consiliere in
domeniul accesului la servicii oferite de sistemul juridic, prin derularea unei campanii de informare/educaþie juridica, prin utilizarea
unor metode inovative si cu ajutorul tehnologiei, in cadrul caravanei “Justitie pentru sate”.
2. OS2. Accelerarea dezvoltarii si diversificarii paletei de servicii de informare, educare si consiliere juridica adecvate nevoilor
cetaþeanului, prin cooperare cu autoritaþi ale administraþiei publice locale si cu societatea civila prin organizarea unui
“Acceleratorului pentru Justitie in mediul rural- Centrul real si virtual de resurse pentru accesul accelerat la justitie pentru mediul
rural” , care sa acopere nevoile de informare, educare si consiliere in perioada de implementare a minim 100 de cetateni din
mediul rural care au nevoie de informare, educare si consiliere in domeniul accesului la servicii oferite de sistemul juridic.
3. OS3. Promovarea si consolidarea cu ajutorul tehnologiei a metodelor alternative de soluþionare a litigiilor prin crearea si
dezvoltarea unui “Portalului interactiv de metode alternative de solutionare a litigiilor pentru mediul rural”, pentru promovarea si
consolidarea cu ajutorul tehnologiei a metodelor alternative de soluþionare a litigiilor, prin derularea de campanii de informare si
consiliere on-line a beneficiarilor actului de justitie: minim 50 de persoane, pe parcursul implementarii-cetatenidin mediul rural,
care fac parte din comunitati marginalizate sau alti cetateni din mediul rural care au nevoie de informare, educare si consiliere in
domeniul accesului la servicii oferite de sistemul juridic.</t>
  </si>
  <si>
    <t>CP 12 less/2018</t>
  </si>
  <si>
    <t>Obiectivul general al proiectului corelat cu obiectivul specific al apelului de proiecte CP12/2018 urmareste imbunatatirea capacitatii
institutionale si reducerea birocratiei pentru cetateni, prin dezvoltarea si implementarea unei solutii informatice integrate.
Obiectivul general va fi atins pe seama urmatoarelor obiective specifice:
Obiectivele specifice ale proiectului
1. Obiectiv specific 1.Dezvoltarea si implementarea unei solutii informatice integrate ce sustine simplificarea procedurilor
administrative si reducerea birocratiei pentru cetatenii Municipiului Oltenita atat din perspectiva back-office cat si front-office.
2. Obiectiv specific 2: Instruirea personalului din cadrul UAT Municipiului Oltenita pentru utilizarea optima a solutiei informatice
integrate prin proiect.</t>
  </si>
  <si>
    <t>AA1/17.05.2019</t>
  </si>
  <si>
    <t>Consolidarea capacității de planificare strategică a Ministerului Dezvoltării Regionale și Administrației Publice în renovarea fondului construit național din perspectiva eficientei energetice și a riscului</t>
  </si>
  <si>
    <t>MINISTERUL DEZVOLTARII REGIONALE ȘI ADMINISTRAȚIEI PUBLICE</t>
  </si>
  <si>
    <t xml:space="preserve">Institutul Național de Cercetare Dezvoltare
în Construcții,
Urbanism și Dezvoltare Teritorială Durabilă "URBAN-INCERC
</t>
  </si>
  <si>
    <t>Obiectivul general: Consolidarea capacitaþi anticipatorii de elaborare a politicilor publice bazate pe dovezi în domeniul                                     Obiectivele specifice ale proiectului
1. Elaborarea cadrului Strategic Naþional de Cercetare, Dezvoltare si Inovare 2021-2027, incluzând sinergiile cu Strategia Naþionala
de Specializare Inteligenta
2. Elaborarea cadrului Strategic Naþional de Specializare Inteligenta
3. Îmbunataþirea politicilor publice si cresterea calitaþii reglementarilor în domeniul antreprenoriatului inovativ
4. Revizuirea legislaþiei în domeniul CDI, asociat cadrului strategic dezvoltat
5. Implementarea unui sistem de managementul calitaþii la nivelul MCI
6. Dezvoltarea competenþelor membrilor grupului þinta si actorilor implicaþi în activitaþile proiectului si în implementara cadrului
strategic dezvoltat (SNCDI, SNSI)</t>
  </si>
  <si>
    <t>Obiectivul general: Consolidarea capacitaþii de planificare strategica si operaþionala a Ministerului Dezvoltarii Regionale si Administrației Publice în vederea
îndeplinirii obligațiilor europene privind eficiența energetica în cladiri si a eficientizarii acþiunilor ministerului în domeniul riscului seismic.
Obiectivele specifice ale proiectului
1. Asigurarea cadrului strategic pentru renovarea fondului construit, potrivit nevoilor naționale si prevederilor legislației europene prin
elaborarea Strategiei de renovare pe termen lung;
2. Optimizarea cadrului legislativ privind eficiența energetica în cladiri si reziliența fondului construit la riscul seismic;
3. Optimizarea proceselor decizionale de la nivelul MDRAP si de la nivelul autoritaților publice locale pentru utilizarea eficienta si
eficace a fondurilor publice în programe si proiecte;
4. Realizarea unor instrumente si metode eficiente de evidența si monitorizare pentru atingerea țintelor stabilite prin strategii si
reglementari europene si naționale privind fondul construit;
5. Formarea unui numar de 35 de persoane din cadrul MDRAP si ISC în vederea îmbunatațirii cunostințelor si abilitaților în domeniul
eficienței energetice si riscului seismic;
6. Asigurarea unor instrumente de informare si comunicare pentru aplicarea strategiei si legislației modificate.</t>
  </si>
  <si>
    <t>AA5/27.05.2019</t>
  </si>
  <si>
    <t>Municipiul  Caransebeș</t>
  </si>
  <si>
    <t>Implementarea unui sistem de informatizare a administrației publice, sistem de management integrat al datelor administraţiei publice şi îmbunătățirea organizării instituționale și a procedurilor la nivelul Municipiului Reşiţa</t>
  </si>
  <si>
    <t>Municpiul Resita</t>
  </si>
  <si>
    <t>1. Îmbunataþirea capacitatii de planificare strategica si alocare a resurselor la nivelul administratiei publice locale Municipiul Resiþa
prin introducerea unui instrument informatic de bugetare participativa, realizarea unor instrumente de planificare si dezvoltare
locala si realizarea Strategiei Smart City – orizont 2027
2. Eficientizarea si simplificarea serviciilor furnizate cetatenilor de catre Primaria Muncipiului Resita prin implementarea unei solutii
de portal cu servicii digitale pentru cetateni, managementul documentelor, ERP si digitalizarea arhivei
3. Promovarea modernizarii in administratia publica locala din Municipiul Resita prin dezvoltarea cunostinþelor si abilitaþilor
personalului din cadrul Primariei Municipiului Resita, în vederea sprijinirii masurilor vizate de proiect prin formarea/instruirea,
evaluarea/testarea si certificarea competenþelor/cunostinþelor dobândite pentru persoanele din cadrul grupului þinta, în ceea ce
priveste planificarea strategica, managementul calitatii si utilizarea noului sistem informatic, ceea ce va determina motivarea si
mobilizarea acestora in directia inovatiei si in oferirea de servicii publice de calitate catre cetateni
4. Implementarea sistemului de management al calitatii in conformitate cu prevederile standardului SR EN ISO 9001:2015 in scopul
imbunatatirii calitatii si eficientei serviciilor publice furnizate de catre Municipiul Resita</t>
  </si>
  <si>
    <t>Simplificarea administrativa si reducerea birocratiei pentru cetatenii din Municipiul Oltenita</t>
  </si>
  <si>
    <t>Municipiul Oltenita</t>
  </si>
  <si>
    <t>AA 1/29.05.2019</t>
  </si>
  <si>
    <t>Solutii administrative moderne - dezvoltarea si implementarea de proceduri si mecanisme simplificate in sprijinul cetatenilor in cadrul Consiliul Judetean Tulcea</t>
  </si>
  <si>
    <t>Judetul Tulcea</t>
  </si>
  <si>
    <t>Obs. 1) Introducerea si implementarea unui mecanism de bugetare participativa in scopul cresterii calitatii procesului decizional,
pentru a raspunde in mod fundamentat si coerent nevoilor comunitatilor din judetul Tulcea.
Pentru realizarea Obs.1) s-a avut în vedere activitatea A3 Dezvoltarea si implementarea unui mecanism de bugetare participativa
on-line in scopul elaborarii politicilor publice ce necesită resurse financiare din bugetele aferente anilor 2020 şi 2021 si
subactivitatile aferente. Rezultatul 1 contribuie la atingerea acestuia.
Obs. 2) Consolidarea capacitatii institutionale privind planificarea si fundamentarea strategica, prin dezvoltarea si elaborarea
Strategiei de dezvoltare durabila a Judetului Tulcea pentru perioada 2021 -2027.
Pentru realizarea Obs.2) s-a avut în vedere activitatea A4 Elaborarea Strategiei de dezvoltare durabila a Judetului Tulcea pentru
perioada 2021 -2027 si subactivitatile aferente. Rezultatul 2 contribuie la atingerea acestuia.
Obs. 3) Dezvoltarea, implementarea si susţinerea de mecanisme de cooperare inter-institutionala, din perspectivă back-office si
front-office pentru serviciile furnizate direct cetatenilor din Judetul Tulcea.
Pentru realizarea Obs.3) s-a avut în vedere activitatea A5 Dezvoltarea de solutii si sisteme informatice pentru simplificarea
serviciilor furnizate direct cetatenilor si mediului de afaceri. Rezultatul 3 contribuie la atingerea acestuia.
Obs. 4) Dezvoltarea si implementarea unor programe de instruire specifice privind dezvoltarea competentelor si abilitatilor pentru
angajatii (demnitari, consilieri, personal de conducere si executie) din Consiliului Judetean Tulcea.
Pentru realizarea Obs.4) s-a avut în vedere activitatea A6 Imbunatatirea competentelor si abilitatilor specifice domeniului
proiectului pentru personalul cu functii de conducere si executie din Consiliul Judetean Tulcea Rezultatul 4 contribuie la atingerea
acestuia</t>
  </si>
  <si>
    <t>AA2/12.04.2019</t>
  </si>
  <si>
    <t>AA1/12.10.2018</t>
  </si>
  <si>
    <t>AA3/31.05.2019</t>
  </si>
  <si>
    <t>Consiliul Județean Dolj</t>
  </si>
  <si>
    <t>Simplificarea procedurilor prin eficientizare si digitalizare la consiliul județean</t>
  </si>
  <si>
    <t>Obiectivul general al proiectului/Scopul proiectului
Consolidarea capacitații Consiliului Județean Dolj de a asigura calitatea si accesul la serviciile publice oferite exclusiv prin simplificarea
procedurilor administraþiei locale si reducerea birocrației pentru cetațeni.
Obiectivele specifice ale proiectului
1. OS2. Implementarea unor masuri de simplificare pentru cetaþeni si firme, în corespondenþa cu Planul Integrat pentru simplificarea
procedurilor administrative aplicabile cetaþenilor, atât din perspectiva back-office (adaptarea procedurilor interne de lucru,digitalizarea arhivelor), cât si front-office.
2. OS3. Dezvoltarea cunostinþelor si abilitaþilor personalului din cadrul Consiliului Judetean Dolj, în vederea sprijinirii masurilor vizate
de proiect. Este avuta în vedere formarea/instruirea, evaluarea/testarea si certificarea competenþelor/cunostinþelor dobândite
pentru 75 de persoane din cadrul grupului þinta, în ceea ce priveste simplificarea procedurilor administrative. Obiectivul general al
serviciilor de instruire îl constituie familiarizarea persoanelor din grupul þinta cu implicaþiile conceptului de simplificare administrativa.</t>
  </si>
  <si>
    <t>Sistem integrat pentru simplificarea procedurilor administrative și reducerea birocrației la nivelul Municipiului Călărași</t>
  </si>
  <si>
    <t>Obiectivul general al proiectului consta in consolidarea capacitatii institutionale si eficientizarea activitatii la nivelul Municipiului Calarasi
prin simplificarea procedurilor administrative si reducerea birocratiei pentru cetateni, implementând un sistem integrat ce optimizeaza
procesele orientate catre beneficiari în concordanta cu SCAP.
Obiectivele specifice ale proiectului
1. OS1. Implementarea unor masuri de simplificare pentru cetateni, in corespondenta cu Planul integrat pentru simplificarea
procedurilor administrative aplicabile cetatenilor prin achizitia si implementarea unui sistem integrat ce optimizeaza procesele
orientate catre beneficiari în concordanta cu SCAP.
2. OS2. Îmbunatatirea cunostintelor si a competentelor personalului din Primaria Municipiului Calarasi, precum si a alesilor locali în
vederea sprijinirii masurilor/actiunilor vizate de acest proiect.</t>
  </si>
  <si>
    <t>AA1/05.06.2019</t>
  </si>
  <si>
    <t>Municipiul Fetești</t>
  </si>
  <si>
    <t>Fetești</t>
  </si>
  <si>
    <t>Obiectivul general al proiectului: Imbunatatirea capacitatii institutionale si eficientizarea activitatii in UAT Municipiul Fetesti prin
implementarea de masuri de simplificare a procedurilor administrative si reducere a birocratiei catre cetateni - introducerea unui sistem
informatic integrat in UAT- , cat si dezvoltarea cunostintelor personalului din cadru UAT, in scopul implementarii si utilizarii optime a
masurilor realizate prin proiect.
Obiectivul general va fi o consecinta directa a indeplinirii urmatoarelor doua obiective specifice definite in cadrul proiectului:
Obiectivele specifice ale proiectului
1. Obiectiv specific nr.1 - Dezvoltarea si implementarea unui sistem informatic integrat care sa sustina simplificarea procedurilor
interne de lucru si reducerea birocratiei pentru cetatenii Municipiului Fetesti din perspectiva back-office, cat si front-office, in
vederea furnizarii unor servicii publice performante si gestionate in mod eficient la nivelul UAT.
2. Obiectiv specific nr.2 - Dezvoltarea cunostintelor si abilitatilor personalului din UAT Mun. Fetesti prin formare pe teme specifice de
interes care au legatura cu OS2.1 si cu obiectivul general al proiectului, incluzand si un proces de instruire interna pentru
utilizarea masurilor dezvoltate prin proiect.</t>
  </si>
  <si>
    <t>Eficiență și performanta in administratia
publica locala a Municipiului Fetesti</t>
  </si>
  <si>
    <t>AA 1/06 .06.2019</t>
  </si>
  <si>
    <t>Introducerea de sisteme informatice pentru
optimizarea proceselor in Municipiul Husi</t>
  </si>
  <si>
    <t xml:space="preserve">Obiectivul general al proiectului este reprezentat de implementarea unor sisteme informatice in vederea optimizarii proceselor in cadrul
municipiului Husi, sustinut de o dezvoltare a abilitatilor personalului de la nivelul solicitantului.
Obiectivele specifice ale proiectului
1. OS 1. Dezvoltarea capacitatii necesare in vederea fundamentarii deciziilor si planificarii strategice pe termen lung, pentru
perioada 2020-2021.
2. OS 2. Implementarea unor sisteme informatice si dotarea cu echipamente hardware necesare optimizarii proceselor
administrative.
3. OS.3 Dezvoltarea de noi abilitati ale personalului în vederea optimizarii proceselor decizionale orientate catre cetateni.unicipiului Husi, sustinut de o dezvoltare a abilitatilor personalului de la nivelul solicitantului.
</t>
  </si>
  <si>
    <t>AA8 /03.09.2018 prel. Proiect 45L               AA9/11.02.2019 realoc.sume</t>
  </si>
  <si>
    <t>AA 2/ 05.06.2019</t>
  </si>
  <si>
    <t>Asistență și educație juridica la nivelul cetățenilor din Drobeta-Turnu Severin</t>
  </si>
  <si>
    <t>Obiectivul general al proiectului:
Asigurarea unei transparențe si integrități sporite la nivelul sistemului judiciar în vederea îmbunataþirii accesului si a calității serviciilor furnizate la nivelul acestuia în cadrul UAT Drobeta-Turnu Severin;
Obiectiv specific al proiectului:
OS 2.1: Grad crescut de acces la justiție al cetățenilor prin derularea de campanii de informare/educaþie juridica si oferirea de servicii suport, inclusiv de asistenăț juridică, puse la dispoziția cetățenilor.</t>
  </si>
  <si>
    <t>Implementarea unor măsuri și instrumente destinate îmbunătățirii proceselor administrative în cadrul Consiliului Județean Argeș</t>
  </si>
  <si>
    <t>Îmbunataþirea planificarii strategice instituþionale si simplificarea procedurilor implementate la nivelul Consiliului Judeþean Arges
Obiectivele specifice ale proiectului
1. Elaborarea Strategiei pentru Dezvoltare Durabila a Judeþului Arges - instrument de planificare a investiþiilor locale
2. Simplificarea procedurilor la nivel judeþean prin digitalizarea documentelor si implementarea unei soluþii informatice pentru
administrarea acesteia
3. Îmbunataþirea cunostinþelor si abilitaþilor personalului din cadrul Consiliului Judeþean Arges în domeniul managementului strategic
si în utilizarea si administrarea soluþiei informatice dezvoltate prin proiect</t>
  </si>
  <si>
    <t>ePAS-eficientizarea Procedurilor Administrative prin Simplificare la Primăria Municipiului Petroșani</t>
  </si>
  <si>
    <t>Municipiul Petroșani</t>
  </si>
  <si>
    <t>Obiectiv general:Consolidarea capacitaþii Primariei Municipiului Petrosani de a asigura calitatea si accesul la serviciile publice oferite exclusiv de Primarie prin simplificarea procedurilor administraþiei locale si reducerea birocraþiei pentru cetaþeni                                                                     . OS1. Îmbunatațirea procesului de planificare strategica si alocare a resurselor în cadrul Primariei Municipiului Petrosani prin introducerea unui instrument informatic de bugetare participativa
OS2. Implementarea unor masuri administrative simplificate în relaþia cu cetaþenii, în corespondență cu Planul Integrat pentru simplificarea procedurilor administrative aplicabile cetaþenilor, atât din perspectiva back-office (adaptarea procedurilor interne delucru, digitalizarea arhivelor), cât si front-office (prelucrarea si soluționarea on-line a solicitarilor cetațenilor).
3. OS3. Dezvoltarea cunostinþelor si abilitaþilor personalului din cadrul Primariei Municipiului Petrosani, în vederea sprijinirii masurilor vizate de proiect. Este avuta în vedere formarea/instruirea, evaluarea/testarea si certificarea competenþelor/cunostințelor dobândite pentru 75 de persoane din cadrul grupului þinta, în ceea ce priveste simplificarea administrativa si planificarea strategica.</t>
  </si>
  <si>
    <t>Petroșani</t>
  </si>
  <si>
    <t>SEPA - Simplificarea si eficientizarea procedurilor administrative</t>
  </si>
  <si>
    <t>Obiectivul general consta în îmbunatatirea capacitatii administrative, a calitatii si eficientei serviciilor publice furnizate la nivelul UAT Municipiul Rosiorii de Vede prin investitii integrate si complementare conform reglementarilor europene si nationale si prin mecanisme si
proceduri standard implementate la nivel local pentru fundamentarea deciziilor si planificarea strategica pe termen lung                                                                                                                                            OS 1. Masuri de simplificare a procedurilor administrative si reducerea birocratiei prin crearea si integrarea unui sistem
informatics pentru arhiva (digitalizarea arhivelor) si administrarea electronica a documentelor la nivelul Municipiului Rosiorii de Vede.                                                                              OS 1 se va îndeplini prin Activitatea 3 si va conduce la atingerea rezultatului POCA R3.
OS 2. Imbunatatirea competentelor profesionale a unui numar de 61 persoane din toate nivelurile ierarhice din cadrul UAT Municipiul Rosiorii de Vede pe teme specifice. OS 2 se va îndeplini prin Activitatea 5 si va conduce la atingerea rezultatului POCA R5.
OS 3. Implementarea unor mecanisme si proceduri standard (actualizare Strategie de dezvoltare a Municipiului, Plan strategic institutional, proceduri cadru de adoptare a hotarârilor de consiliu local) pentru a creste eficienta actiunilor adimintrative la nivelul Municipiului Rosiorii de Vede.                                                                                                                                     OS 3 se va îndeplini prin Activitatea 6 si va conduce la atingerea rezultatului de program POCA R1.</t>
  </si>
  <si>
    <t>Municipiul Botosani</t>
  </si>
  <si>
    <t>Municipiul Pascani</t>
  </si>
  <si>
    <t>Simplificarea administrativa si reducerea birocratiei prin implementarea de masuri de digitalizare in Municipiul Botosani</t>
  </si>
  <si>
    <t>Simplificarea Procedurilor Administrative prin Digitalizare</t>
  </si>
  <si>
    <t xml:space="preserve">Botosani </t>
  </si>
  <si>
    <t>Botosani</t>
  </si>
  <si>
    <t>Pascani</t>
  </si>
  <si>
    <t>Obiectivul general al proiectului: Simplificarea procedurilor administrative si reducerea birocratiei pentru cetateni, prin dezvoltarea si implementarea unei solutii informatice integrate.
OS 1.Dezvoltarea si implementarea unei solutii informatice integrate ce sustine simplificarea procedurilor
administrative si reducerea birocratiei pentru cetatenii Municipiului Botosani atat din perspectiva back-office cat si front-office.
OS 2: Instruirea personalului din cadrul UAT Municipiului Botosani pentru utilizarea optima a solutiei informatice
integrate prin proiect.</t>
  </si>
  <si>
    <t xml:space="preserve">Obiectiv general-Consolidarea capacitaþii Primariei Municipiului Pascani de a asigura calitatea si accesul la serviciile publice oferite exclusiv de Primarie prin simplificarea procedurilor administraþiei locale si reducerea birocraþiei pentru cetaþenii.
Obiective specifice:
OS1. Îmbunataþirea procesului de planificare strategica si alocare a resurselor în cadrul Primariei Municipiului Pascani
prin introducerea unui instrument informatic de bugetare participativa.
 OS2.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OS3. Dezvoltarea cunostinþelor si abilitaþilor personalului din cadrul Primariei Municipiului Pascani , în vederea sprijinirii masurilor vizate de proiect. Este avuta în vedere formarea/instruirea,evaluarea/testarea si certificarea competenþelor/cunostinþelor dobândite pentru 75 de persoane din cadrul grupului þinta, în ceea ce priveste planificarea strategica. </t>
  </si>
  <si>
    <t>AA1 /13.06.2019</t>
  </si>
  <si>
    <t>AA1/06.06.2019</t>
  </si>
  <si>
    <t>AA3/06.06.2019</t>
  </si>
  <si>
    <t>Capacitate administrativa moderna si
inovativa</t>
  </si>
  <si>
    <t>Obiectivul general consta în îmbunatatirea capacitatii administrative, a calitatii si eficientei serviciilor publice furnizate la nivelul Consiliului Judetean Teleorman, din regiunea mai putin dezvoltata Sud-Muntenia, prin introducerea unor proceduri simplificate pentru reducerea
birocratiei conform reglementarilor europene si nationale (digitizarea proceselor de administrare a documentelor si retro-digitalizarea documentelor din arhiva).                                                                                                                                           OS 1. Masuri de simplificare a procedurilor administrative si reducerea birocratiei prin digitizarea proceselor de administrare a documentelor la nivelul Consiliului Judetean Teleorman. OS1 se va indeplini prin Activitatea 3 si va conduce la atingerea rezultatului de program POCA R3
2. OS2. Retro-digitalizarea documentelor din arhiva Consiliului Judetean Teleorman in vederea simplificarii proceselor si procedurilor administrative si reducerea timpilor de efectuare a activitatilor curente. OS2 se va indeplini prin Activitatea 3 si va
conduce la atingerea rezultatului POCA R3.</t>
  </si>
  <si>
    <t>Roșiorii de Vede</t>
  </si>
  <si>
    <t>Municipiul Alba Iulia - Administratie
inteligenta</t>
  </si>
  <si>
    <t>Sustinerea implementarii unui management performant la nivelul Municipiului Alba Iulia, in corespondenta cu Strategia de Consolidare a Administratiei Publice, in termen de 24 luni.                                                                                                                                                                                                                                                      OS1. Elaborarea si implementarea unui numar de 2 strategii de planificare pe termen lung, la nivelul Municipiului Alba Iulia, in termen de 15 luni de la initierea procesului.
2. OS2.Dezvoltarea si implementarea la nivelul Municipiului Alba Iulia, a 2 mecanisme de colaborare si consultare cu actori relevanti pentru sustinerea dezvoltarii locale, in termen de 12 luni de la initierea procesului.</t>
  </si>
  <si>
    <t>Municipiul Lupeni</t>
  </si>
  <si>
    <t>Proceduri Administrative Simplificate prin Eficientizare Digitala - la Primaria Municipiului Lupeni</t>
  </si>
  <si>
    <t>Obiectivul general al proiectului: Consolidarea capacității Primăriei municipiului Lupeni de a asigura calitatea și accesul la serviciile publice oferite exclusiv de Primărie prin
simplificarea procedurilor administrației locale și reducerea birocrației pentru cetățeni                                                                                OS1. Îmbunataþirea procesului de planificare strategica si alocare a resurselor în cadrul Primariei Municipiului Lupeni prin introducerea unui sistem intern managerial certificat
2. OS2. Implementarea unor masuri de simplificare pentru cetaþeni - în corespondenþa cu Planul Integrat pentru simplificarea procedurilor administrative aplicabile cetaþenilor - atât din perspectiva back-office (adaptarea procedurilor interne de lucru, digitalizarea arhivelor), cât si front-office.
3. OS3. Dezvoltarea cunostinþelor si abilitaþilor personalului din cadrul Primariei Municipiului Lupeni, în vederea sprijinirii masurilor vizate de proiect. Este avuta în vedere formarea/instruirea, evaluarea/testarea si certificarea competenþelor/cunostinþelor dobândite pentru 70 de persoane din cadrul grupului þinta, în ceea ce priveste simplificarea procedurilor. Obiectivul general al
serviciilor de instruire îl constituie familiarizarea persoanelor din grupul þinta cu implicaþiile simplificarii procedurilor administrative.</t>
  </si>
  <si>
    <t>Lupeni</t>
  </si>
  <si>
    <t>Soluții informatice integrate pentru
simplificarea procedurilor administrative si
reducerea birocrației la nivelul Municipiului
DEJ</t>
  </si>
  <si>
    <t>Obiectivul general al proiectului consta in consolidarea capacitații instituþionale si eficientizarea activitații la nivelul Municipiului DEJ prin
simplificarea procedurilor administrative si reducerea birocraþiei pentru cetațeni, implementând masuri din perspectiva back-office
(adaptarea procedurilor interne de lucru, digitalizarea arhivelor) si front-office pentru serviciile publice furnizate.
Obiectivele specifice ale proiectului
1. OS1. Implementarea unor masuri de simplificare pentru cetaþeni, in corespondenta cu Planul integrat pentru simplificarea
procedurilor administrative aplicabile cetaþenilor din perspectiva front-office, dar si back-office prin achiziþia si implementarea unei
platforme integrate (portal web, arhivare electronica, captura documente, fluxuri de lucru cu documente, registratura electronica
si management arhiva fizica de documente) care va furniza digital fluxurile de lucru de baza din cadrul instituþiei, în scopul
eficientizarii procesarii documentelor, evitarii întreruperilor ce pot aparea în fluxurile informaþionale ale instituþiei, reducând astfel
întârzierile în procesul decizional cu impact asupra activitaþilor operative si va asigura accesul online la serviciile publice
gestionate de Municipiul DEJ si retro-digitalizarea unui numar de cca. 20.000 dosare aflate in arhiva clasica si cu valoare
operaþionala prezenta pentru a facilita rezolvarea cererilor cetaþenilor în curs de soluþionare.
2. OS2. Dezvoltarea cunostinþelor si abilitaþilor personalului din cadrul Municipiului DEJ, in vederea sprijinirii masurilor vizate de
proiect. Este avuta in vedere formarea/instruirea, evaluarea/testarea si certificarea competentelor/cunostinþelor dobândite pentru
50 persoane din cadrul grupului þinta, in ceea ce priveste utilizarea soluþiilor informatice implementate in cadrul proiectului .
Obiectivul general al serviciilor de instruire ii constituie familiarizarea cu componentele soluþiei informatice implementate, prin
însusirea cunostinþelor necesare utilizarii aplicaþiilor, deprinderea funcþionalitaþilor si a modului de folosire a acestora, înþelegerea
implicaþiilor si avantajelor raportate la realizarea obiectivelor specifice aferente proiectului.</t>
  </si>
  <si>
    <t>Dej</t>
  </si>
  <si>
    <t>CP 12 more/2018</t>
  </si>
  <si>
    <t>O primarie mai aproape de oameni la doar un click distanta</t>
  </si>
  <si>
    <t>Primarie Fara Hartie si Implicarea Cetatenilor in Planificarea Strategica a Sectorului 6</t>
  </si>
  <si>
    <t>Servicii electronice eficiente și simplificare administrativă prin platforme informatice inovative</t>
  </si>
  <si>
    <t>PRIMARIA SECTOR 5</t>
  </si>
  <si>
    <t>SECTORUL 6 AL MUNICIPIULUI BUCUREŞTI</t>
  </si>
  <si>
    <t>SECTORUL 3 AL MUNICIPIULUI BUCURESTI</t>
  </si>
  <si>
    <t xml:space="preserve">Obiectivul general al proiectului vizează îmbunătățirea procesului decizional, a planificării strategice și execuției bugetare, implementarea unitară a managementului calității și performanței și crearea de măsuri de simplificare pentru cetățeni în concordanță cu SCAP, la nivelul Primăriei Sectorului 5. Proiectul propus spre finanțare se încadrează în Axa prioritară 2 – Administrație publică și sistem judiciar accesibile și transparente, obiectivul specific 2.1 – Introducerea de sisteme și standarde comune în administrația publică locală ce optimizează procesele orientate către beneficiari în concordanță cu SCAP. </t>
  </si>
  <si>
    <t>Consolidarea capacităţii instituţionale a Primăriei Sectorului 6 prin introducerea de instrumente de planificare strategică pentru optimizarea proceselor administrative ale primăriei şi adoptarea unor măsuri de simplificare a furnizării serviciilor către cetăţeni şi mediul de afaceri, prin implementarea unor solutii inovative.
Proiectul contribuie astfel la îndeplinirea obiectivului specific 2.1 al POCA "Introducerea de sisteme şi standarde comune în administraţia publica locala ce optimizează procesele orientate catre beneficiari în concordanţă cu
SCAP". Implementarea acestui proiect va avea ca efect implicarea cetatenilor in procesul de planificare strategica şi simplificarea
administrativă a serviciilor furnizate către cetăţeni/mediu de afaceri, contribuind astfel la atingerea obiectivelor Strategiei pentru
consolidarea administratiei publice 2014-2020 (SCAP) - II.1.4, II.3, II.4, II.5 şi II.6 , III.1 şi III.2. Mentionam faptul ca proiectul contribuie la atingerea rezultatelor si indicatorilor POCA, asa cum se va detalia in sectiunile urmatoare.</t>
  </si>
  <si>
    <t>Obiectivul general al proiectului vizeaza imbunatatirea procesului decizional, a planificarii strategice si executiei bugetare, implementarea unitara a managementului calitatii si performantei si crearea de masuri de simplificare pentru cetateni in concordanta cu SCAP, la nivelul Sectorului 3 al Municipiului Bucuresti.
Astfel, proiectul propus spre finantare urmareste consolidarea capacitatii administrative a PS 3 in vederea formularii de politici publice, motivarii proiectelor de acte administrative cu caracter normativ si planificarii strategice institutionale, pe de-o parte si pe de alta parte, implementarea unor sisteme informatice pentru optimizarea modului de lucru intern al angajatilor PS 3, inclusiv prin digitalizarea arhivei de documente, precum si dezvoltarea si cresterea gradului de sofisticare a serviciilor online furnizate catre cetateni, contribuind astfel la indeplinirea obiectivului specific 2.1 al POCA "Introducerea de sisteme si standarde comune in administratia publica locala ce optimizeaza procesele orientate catre beneficiari in concordanta cu SCAP".
Totodata, implementarea acestui proiect va avea ca efect imbunatatirea proceselor interne ale institutiei si serviciile furnizate catre cetateni/mediu de afaceri, contribuind la atingerea obiectivelor Strategia pentru consolidarea administratiei publice 2014-2020 (SCAP) - II.4 (Solutii IT pentru eficientizarea administraţiei publice) si II.5 (Imbunatatirea proceselor interne la nivelul institutiilor publice), III.1 (Reducerea birocratiei pentru cetateni) şi III.2. (Reducerea birocratiei pentru mediul de afaceri), IV. ( Consolidarea capacitatii administraţiei publice de a asigura calitatea si accesul la serviciile publice).</t>
  </si>
  <si>
    <t>Act adițional nr. 1/19.06.2019</t>
  </si>
  <si>
    <t>Judetul Constanta</t>
  </si>
  <si>
    <t>Creșterea transparenței decizionale si simplificarea procedurilor administrative pentru cetățeni - ANTO-CIIC</t>
  </si>
  <si>
    <t>Municipiul Cluj Napoca</t>
  </si>
  <si>
    <t>in implementare</t>
  </si>
  <si>
    <t xml:space="preserve">Obiectivul general  - Implementarea de masuri care vizeaza adaptarea structurilor administrative existente, optimizarea proceselor orientate catre cetaþeni, prin crearea accesului online la serviciile administraþiei publice locale, precum si utilizarea centrului de inovare si imaginaþie civica în planificarea strategica a proceselor de inovare sociala, pentru cresterea transparenþei decizionale si simplificarea procedurilor oferite cetaþenilor municipiului Cluj-Napoca.
Obiective specifice:
OS 1. Dezvoltarea si introducerea mecanismelor Centrului de Inovare si Imaginaþie Civica (CIIC) în vederea optimizarii proceselor decizionale orientate catre cetaþeni si mediul de afaceri în Municipiul Cluj-Napoca.
OS 2. Design-ul, dezvoltarea si implementarea unui sistem electronic de digitalizare si simplificare a serviciilor publice oferite
cetaþenilor Municipiului Cluj-Napoca prin implementarea funcþionarului public electronic si virtual – ANTONIA.
OS 3. Formarea/instruirea functionarilor publici si contractuali, inclusiv a factorilor de decizie la nivel politic, în utilizarea instrumentelor digitale si a functionarului electronic.
</t>
  </si>
  <si>
    <t>Armonizarea cadrului legislativ pentru implementarea planului de reformă în sănătate</t>
  </si>
  <si>
    <t>MINISTERUL SĂNĂTĂȚII</t>
  </si>
  <si>
    <t>Municpiul Câmpina
/PROGRAME DE FINANTARE, RELATII INTERNATIONALE SI PROTOCOL</t>
  </si>
  <si>
    <t>Soluții informatice integrate pentru simplificarea procedurilor administrative si reducerea birocrației la nivelul Municipiului Câmpina</t>
  </si>
  <si>
    <t>Obiectivul general al proiectului consta in consolidarea capacitaþii instituþionale si eficientizarea activitaþii la nivelul Municipiului Câmpina
prin simplificarea procedurilor administrative si reducerea birocraþiei pentru cetaþeni, implementând masuri din perspectiva back-office
(adaptarea procedurilor interne de lucru, digitalizarea arhivelor) si front-office pentru serviciile publice furnizate.</t>
  </si>
  <si>
    <t>AA1 din 21.06.2019</t>
  </si>
  <si>
    <t>Municipiul Orăștie</t>
  </si>
  <si>
    <t>Orăștie</t>
  </si>
  <si>
    <t>Soluții informatice integrate pentru simplificarea procedurilor administrative și reducerea birocrației la nivelul Municipiului Orăștie</t>
  </si>
  <si>
    <t>Obiectivul general al proiectului consta in consolidarea capacitații instituționale și eficientizarea activității la nivelul Municipiului Orastie prin simplificarea procedurilor administrative și reducerea birocrației pentru cetățeni, implementând măsuri din perspectiva back-office (adaptarea procedurilor interne de lucru, digitalizarea arhivelor) și front-office pentru serviciile publice furnizate.</t>
  </si>
  <si>
    <t>Servicii publice de calitate la nivelul Judetului Bacau</t>
  </si>
  <si>
    <t xml:space="preserve">Optimizarea proceselor orientate catre beneficiari prin introducerea de sisteme si standarde la nivelul UAT Judetul Bacau, in conformitate cu SCAP
OS1. Implementarea unor măsuri de reducere a birocratiei pentru cetăţeni, în corespondenţă cu Planul integrat pentru simplificarea procedurilor administrative aplicabile cetăţenilor, atât din perspectivă back-office (extinderea sistemului de management al documentelor, digitalizarea arhivelor), cât şi front-office (portal web de servicii)
OS2. Dezvoltarea cunoştinţelor şi abilităţilor personalului din cadrul Consiliului Judetean Bacau, în vederea sprijinirii măsurilor vizate de proiect. Este avută în vedere instruirea, evaluarea şi certificarea competenţelor si cunoştinţelor dobândite pentru 71 de persoane din cadrul grupului ţintă, în ceea ce priveşte exploatarea si administrarea sistemelor implementate.
</t>
  </si>
  <si>
    <t>Obiectivul general: Dezvoltarea si introducerea de sisteme si standarde comune în sistemul public de sanatate ce optimizeaza procesele decizionale - reprezentate de reglementari (acte normative, procedure, norme metodologice etc.) precum si a procesului de initiere,
adoptare,implementare si evaluare a acestora - orientate catre cetaþeni si mediul de afaceri în concordanþa cu SCAP
Obiectivele specifice:
1. OBS 1. Crearea unui cadru specific privind stabilirea si implementarea acþiunilor necesare consolidarii cadrului legislative in
domeniul sanatatii avand la baza imbunataþirea politicilor publice si cresterea calitaþii reglementarilor in domeniul sanatatii
2. OBS 2. Crearea unui set de reglementari legislative care sa conduca la simplificarea procedurilor administrative si reducerea
birocraþiei in domeniul sanatatii, proceduri care afecteaza atat cetaþeni precum si mediul de afaceri.
3. OBS 3. Dezvoltarea abilitaþilor si cunostinþelor unui numar de numar de 150 persoane, personal al autoritatile si institutiile
publice centrale – respectiv Ministerul Sanatatii si Casa Nationala a Asigurarilor de Sanatate, reprezentati ai Ministerului Sanatatii,
implicati de cele mai multe ori în procesele de legiferare, pentru utilizarea instrumentelor specifice de politica publica</t>
  </si>
  <si>
    <t>Soluții informatice integrate pentru simplificarea procedurilor administrative și reducerea birocrației la nivelul Municipiului</t>
  </si>
  <si>
    <t>Municipiul Urziceni</t>
  </si>
  <si>
    <t>Obiectivul general al proiectului consta in consolidarea capacitaþii instituþionale si eficientizarea activitaþii la nivelul Municipiului Urziceni prin simplificarea procedurilor administrative si reducerea birocraþiei pentru cetaþeni, implementând masuri din perspectiva back-office (adaptarea procedurilor interne de lucru, digitalizarea arhivelor) si front-office pentru serviciile publice furnizate.                                 OS1. Simplificarea furnizarii serviciilor catre cetaþeni prin implementarea unei platforme integrate de servicii electronice care va
furniza digital fluxurile de lucru de baza din cadrul instituþiei, reducând astfel întârzierile în procesul decizional cu impact asupra
activitaþilor operative si va asigura accesul online la serviciile publice gestionate de UAT.
2. OS2. Îmbunataþirea abilitaþilor si cunostinþelor personalului UAT în domeniul utilizarii sistemelor informatice dezvoltate prin proiect</t>
  </si>
  <si>
    <t>Municipiul Huși</t>
  </si>
  <si>
    <t>Îmbunătățirea capacității instituționale și reducerea birocrației pentru cetățenii din Municipiul Toplița</t>
  </si>
  <si>
    <t>Toplita</t>
  </si>
  <si>
    <t>Obiectivul genereal al proiectului corelat cu obiectivul specific al apelului de proiecte CP12/2018 urmareste imbunatatirea capacitatii
institutionale si reducerea birocratiei pentru cetateni, prin dezvoltarea si implementarea unei solutii informatice integrate.
OS 1: Achizitionarea unui pachet de solutii informatice pentru simplificarea procedurilor administrative si reducere a birocratiei
pentru cetateni.
OS 2: Dezvoltarea si implementarea solutiei informatice inovative la nivelul institutiei publice.
OS 3: Instruirea personalului din cadrul UAT Toplita pentru utilizarea optima a solutiei informatice integrate prin proiect.</t>
  </si>
  <si>
    <t>SECTORUL 1 AL MUNICIPIULUI BUCUREŞTI</t>
  </si>
  <si>
    <t>Mecanisme si instrumente implementate la nivelul S1MB pentru fundamentarea deciziilor si planificarii
strategice pe termen lung</t>
  </si>
  <si>
    <t>N.A.</t>
  </si>
  <si>
    <t>Obiectiv general: Cresterea calitatii procesului decizional la nivelul Primariei Sectorului 1, Bucuresti, prin implementarea unor instrumente de management strategic institutional care sa sustina planificarea strategica si fundamentarea politicilor publice, respectiv evaluarea indicatorilor de performanta a politicilor publice adoptate.
OS1 - Dezvoltarea si implementarea unor mecanisme si instrumente de management strategic instituþional care sa sustina planificarea si fundamentarea politicilor publice la nivelul Primariei SectORULUI1.
OS2 - Dezvoltarea unor instrumente de monitorizare si raportare a indicatorilor de performanta privind implementarea politicilor publice, cat si a obiectivelor strategice stabilite la nivelul Primariei Sectorului 1, corborate cu instrumente IT de management strategic, care vor permite cresterea calitaþii si performantei actului administrativ, a transparenþei, eficienþei si eficacitaþii în utilizarea fondurilor publice.
OS3 - Modernizarea sistemului de management al documentelor din Primaria Sectorului 1, prin implementarea unei aplicatii informatice care sa sustina digitalizarea proceselor de inregistrare si arhivare a documentelor.</t>
  </si>
  <si>
    <t>AA1 din 27.06.2019</t>
  </si>
  <si>
    <t>finalizat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</si>
</sst>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e_i_-;\-* #,##0.00\ _l_e_i_-;_-* &quot;-&quot;??\ _l_e_i_-;_-@_-"/>
    <numFmt numFmtId="165" formatCode="0.000000000"/>
    <numFmt numFmtId="166" formatCode="#,##0.00_ ;\-#,##0.00\ "/>
    <numFmt numFmtId="167" formatCode="0.0000000"/>
    <numFmt numFmtId="170" formatCode="0.0000"/>
  </numFmts>
  <fonts count="6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b/>
      <sz val="12"/>
      <color theme="1"/>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b/>
      <sz val="12"/>
      <name val="Calibri"/>
      <family val="2"/>
      <scheme val="minor"/>
    </font>
    <font>
      <b/>
      <sz val="11"/>
      <color theme="1"/>
      <name val="Calibri"/>
      <family val="2"/>
      <scheme val="minor"/>
    </font>
    <font>
      <sz val="10"/>
      <name val="Calibri"/>
      <family val="2"/>
    </font>
    <font>
      <sz val="10"/>
      <color theme="1"/>
      <name val="Calibri"/>
      <family val="2"/>
      <scheme val="minor"/>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2"/>
      <name val="Trebuchet MS"/>
      <family val="2"/>
    </font>
    <font>
      <b/>
      <sz val="10"/>
      <color theme="1"/>
      <name val="Arial"/>
      <family val="2"/>
    </font>
    <font>
      <sz val="12"/>
      <name val="Trebuchet MS"/>
      <family val="2"/>
    </font>
    <font>
      <sz val="12"/>
      <name val="Calibri"/>
      <family val="2"/>
      <scheme val="minor"/>
    </font>
    <font>
      <sz val="12"/>
      <color theme="1"/>
      <name val="Calibri"/>
      <family val="2"/>
      <scheme val="minor"/>
    </font>
    <font>
      <sz val="11"/>
      <name val="Calibri"/>
      <family val="2"/>
    </font>
    <font>
      <sz val="12"/>
      <color theme="1"/>
      <name val="Calibri"/>
      <family val="2"/>
      <charset val="1"/>
      <scheme val="minor"/>
    </font>
    <font>
      <sz val="11"/>
      <color indexed="8"/>
      <name val="Calibri"/>
      <family val="2"/>
      <scheme val="minor"/>
    </font>
    <font>
      <sz val="11"/>
      <name val="Calibri"/>
      <family val="2"/>
      <charset val="1"/>
      <scheme val="minor"/>
    </font>
    <font>
      <sz val="10"/>
      <name val="MS Sans Serif"/>
      <family val="2"/>
    </font>
    <font>
      <b/>
      <sz val="12"/>
      <name val="Calibri"/>
      <family val="2"/>
    </font>
    <font>
      <sz val="12"/>
      <name val="Calibri"/>
      <family val="2"/>
      <charset val="238"/>
    </font>
    <font>
      <sz val="12"/>
      <color rgb="FF000000"/>
      <name val="Calibri"/>
      <family val="2"/>
      <scheme val="minor"/>
    </font>
    <font>
      <sz val="11"/>
      <name val="Calibri"/>
      <family val="2"/>
      <charset val="238"/>
      <scheme val="minor"/>
    </font>
    <font>
      <sz val="10"/>
      <name val="Calibri"/>
      <family val="2"/>
      <charset val="1"/>
      <scheme val="minor"/>
    </font>
    <font>
      <b/>
      <sz val="11"/>
      <color theme="1"/>
      <name val="Trebuchet MS"/>
      <family val="2"/>
    </font>
    <font>
      <sz val="10"/>
      <color theme="1"/>
      <name val="Trebuchet MS"/>
      <family val="2"/>
    </font>
    <font>
      <sz val="12"/>
      <color theme="1"/>
      <name val="Times New Roman"/>
      <family val="1"/>
    </font>
    <font>
      <sz val="11"/>
      <name val="Calibri"/>
      <family val="2"/>
      <scheme val="minor"/>
    </font>
    <font>
      <sz val="12"/>
      <name val="Trebuchet MS"/>
      <family val="2"/>
    </font>
    <font>
      <sz val="11"/>
      <color rgb="FFFA7D00"/>
      <name val="Calibri"/>
      <family val="2"/>
      <charset val="238"/>
      <scheme val="minor"/>
    </font>
    <font>
      <sz val="12"/>
      <name val="Trebuchet MS"/>
      <family val="2"/>
      <charset val="238"/>
    </font>
    <font>
      <u/>
      <sz val="12"/>
      <name val="Calibri"/>
      <family val="2"/>
      <scheme val="minor"/>
    </font>
    <font>
      <sz val="8"/>
      <name val="Calibri"/>
      <family val="2"/>
      <charset val="238"/>
      <scheme val="minor"/>
    </font>
    <font>
      <sz val="11"/>
      <name val="Trebuchet MS"/>
      <family val="2"/>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auto="1"/>
      </left>
      <right style="thin">
        <color indexed="64"/>
      </right>
      <top style="medium">
        <color auto="1"/>
      </top>
      <bottom/>
      <diagonal/>
    </border>
    <border>
      <left style="medium">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bottom style="double">
        <color rgb="FFFF8001"/>
      </bottom>
      <diagonal/>
    </border>
  </borders>
  <cellStyleXfs count="16">
    <xf numFmtId="0" fontId="0" fillId="0" borderId="0"/>
    <xf numFmtId="164" fontId="17" fillId="0" borderId="0" applyFont="0" applyFill="0" applyBorder="0" applyAlignment="0" applyProtection="0"/>
    <xf numFmtId="164" fontId="17" fillId="0" borderId="0" applyFont="0" applyFill="0" applyBorder="0" applyAlignment="0" applyProtection="0"/>
    <xf numFmtId="0" fontId="44" fillId="0" borderId="0"/>
    <xf numFmtId="0" fontId="17" fillId="0" borderId="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46" fillId="0" borderId="0"/>
    <xf numFmtId="0" fontId="17" fillId="0" borderId="0"/>
    <xf numFmtId="0" fontId="17" fillId="0" borderId="0"/>
    <xf numFmtId="0" fontId="28" fillId="0" borderId="0"/>
    <xf numFmtId="0" fontId="10" fillId="0" borderId="0"/>
    <xf numFmtId="0" fontId="10" fillId="0" borderId="0"/>
  </cellStyleXfs>
  <cellXfs count="300">
    <xf numFmtId="0" fontId="0" fillId="0" borderId="0" xfId="0"/>
    <xf numFmtId="4" fontId="21" fillId="0" borderId="3" xfId="0" applyNumberFormat="1" applyFont="1" applyFill="1" applyBorder="1" applyAlignment="1">
      <alignment horizontal="right" vertical="center" wrapText="1"/>
    </xf>
    <xf numFmtId="4" fontId="15" fillId="2" borderId="3" xfId="0" applyNumberFormat="1" applyFont="1" applyFill="1" applyBorder="1" applyAlignment="1">
      <alignment vertical="center" wrapText="1"/>
    </xf>
    <xf numFmtId="4" fontId="15" fillId="0" borderId="1" xfId="0" applyNumberFormat="1" applyFont="1" applyFill="1" applyBorder="1" applyAlignment="1">
      <alignment vertical="center" wrapText="1"/>
    </xf>
    <xf numFmtId="0" fontId="0" fillId="0" borderId="0" xfId="0" applyFill="1"/>
    <xf numFmtId="4" fontId="15" fillId="0" borderId="3"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3" fontId="15" fillId="0" borderId="3" xfId="0" applyNumberFormat="1" applyFont="1" applyFill="1" applyBorder="1" applyAlignment="1">
      <alignment vertical="center" wrapText="1"/>
    </xf>
    <xf numFmtId="0" fontId="18" fillId="0" borderId="2"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18"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18" fillId="0" borderId="3" xfId="0" applyFont="1" applyFill="1" applyBorder="1" applyAlignment="1">
      <alignment horizontal="justify" vertical="top" wrapText="1"/>
    </xf>
    <xf numFmtId="14" fontId="18" fillId="0" borderId="3" xfId="0" applyNumberFormat="1" applyFont="1" applyFill="1" applyBorder="1" applyAlignment="1">
      <alignment horizontal="center" vertical="center" wrapText="1"/>
    </xf>
    <xf numFmtId="165" fontId="18"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166" fontId="18" fillId="0" borderId="3" xfId="1" applyNumberFormat="1" applyFont="1" applyFill="1" applyBorder="1" applyAlignment="1">
      <alignment horizontal="right" vertical="center" wrapText="1"/>
    </xf>
    <xf numFmtId="4" fontId="23" fillId="0" borderId="0" xfId="0" applyNumberFormat="1" applyFont="1" applyFill="1" applyAlignment="1">
      <alignment horizontal="right" vertical="center" wrapText="1"/>
    </xf>
    <xf numFmtId="4" fontId="21" fillId="0" borderId="3" xfId="1" applyNumberFormat="1" applyFont="1" applyFill="1" applyBorder="1" applyAlignment="1">
      <alignment horizontal="right" vertical="center" wrapText="1"/>
    </xf>
    <xf numFmtId="166" fontId="21" fillId="0" borderId="3" xfId="1"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14" fontId="22" fillId="0" borderId="3" xfId="0" applyNumberFormat="1" applyFont="1" applyFill="1" applyBorder="1" applyAlignment="1">
      <alignment horizontal="right" vertical="center" wrapText="1"/>
    </xf>
    <xf numFmtId="4" fontId="18" fillId="0" borderId="3" xfId="0" applyNumberFormat="1" applyFont="1" applyFill="1" applyBorder="1" applyAlignment="1">
      <alignment horizontal="right" vertical="center" wrapText="1"/>
    </xf>
    <xf numFmtId="0" fontId="34" fillId="0" borderId="3" xfId="0" applyFont="1" applyFill="1" applyBorder="1" applyAlignment="1">
      <alignment horizontal="left" vertical="center" wrapText="1"/>
    </xf>
    <xf numFmtId="0" fontId="34" fillId="0" borderId="3" xfId="0" applyFont="1" applyFill="1" applyBorder="1" applyAlignment="1">
      <alignment horizontal="justify" vertical="top" wrapText="1"/>
    </xf>
    <xf numFmtId="14" fontId="21" fillId="0" borderId="3" xfId="0" applyNumberFormat="1" applyFont="1" applyFill="1" applyBorder="1" applyAlignment="1">
      <alignment horizontal="center" vertical="center" wrapText="1"/>
    </xf>
    <xf numFmtId="0" fontId="15" fillId="0" borderId="3" xfId="0" applyFont="1" applyFill="1" applyBorder="1" applyAlignment="1">
      <alignment horizontal="right" vertical="center" wrapText="1"/>
    </xf>
    <xf numFmtId="3" fontId="15" fillId="0" borderId="3" xfId="0" applyNumberFormat="1" applyFont="1" applyFill="1" applyBorder="1" applyAlignment="1">
      <alignment horizontal="right" vertical="center" wrapText="1"/>
    </xf>
    <xf numFmtId="0" fontId="21" fillId="0" borderId="15" xfId="0" applyFont="1" applyFill="1" applyBorder="1" applyAlignment="1">
      <alignment horizontal="center" vertical="center" wrapText="1"/>
    </xf>
    <xf numFmtId="0" fontId="21" fillId="0" borderId="15" xfId="0" applyFont="1" applyFill="1" applyBorder="1" applyAlignment="1">
      <alignment horizontal="left" vertical="center" wrapText="1"/>
    </xf>
    <xf numFmtId="166" fontId="18" fillId="0" borderId="3" xfId="0" applyNumberFormat="1" applyFont="1" applyFill="1" applyBorder="1" applyAlignment="1">
      <alignment horizontal="right" vertical="center" wrapText="1"/>
    </xf>
    <xf numFmtId="4" fontId="21" fillId="0" borderId="5" xfId="0" applyNumberFormat="1" applyFont="1" applyFill="1" applyBorder="1" applyAlignment="1">
      <alignment horizontal="right" vertical="center" wrapText="1"/>
    </xf>
    <xf numFmtId="0" fontId="21" fillId="0" borderId="3" xfId="0" applyFont="1" applyFill="1" applyBorder="1" applyAlignment="1">
      <alignment horizontal="left" vertical="top" wrapText="1"/>
    </xf>
    <xf numFmtId="0" fontId="37" fillId="0" borderId="1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18" fillId="0" borderId="3" xfId="0" applyFont="1" applyFill="1" applyBorder="1" applyAlignment="1">
      <alignment horizontal="right" vertical="center" wrapText="1"/>
    </xf>
    <xf numFmtId="0" fontId="20" fillId="0" borderId="0" xfId="0" applyFont="1" applyFill="1" applyAlignment="1">
      <alignment wrapText="1"/>
    </xf>
    <xf numFmtId="165" fontId="21" fillId="0" borderId="3" xfId="0" applyNumberFormat="1" applyFont="1" applyFill="1" applyBorder="1" applyAlignment="1">
      <alignment horizontal="center" vertical="center" wrapText="1"/>
    </xf>
    <xf numFmtId="0" fontId="21" fillId="0" borderId="3" xfId="0" applyFont="1" applyFill="1" applyBorder="1" applyAlignment="1">
      <alignment horizontal="right" vertical="center" wrapText="1"/>
    </xf>
    <xf numFmtId="0" fontId="7" fillId="0" borderId="0" xfId="0" applyFont="1" applyFill="1"/>
    <xf numFmtId="0" fontId="18" fillId="0" borderId="3" xfId="0" applyFont="1" applyFill="1" applyBorder="1" applyAlignment="1">
      <alignment horizontal="justify" vertical="center" wrapText="1"/>
    </xf>
    <xf numFmtId="4" fontId="18" fillId="0" borderId="7" xfId="0" applyNumberFormat="1" applyFont="1" applyFill="1" applyBorder="1" applyAlignment="1">
      <alignment horizontal="right" vertical="center" wrapText="1"/>
    </xf>
    <xf numFmtId="1" fontId="25" fillId="0" borderId="3" xfId="0" applyNumberFormat="1" applyFont="1" applyFill="1" applyBorder="1" applyAlignment="1">
      <alignment horizontal="center" vertical="center" wrapText="1"/>
    </xf>
    <xf numFmtId="166" fontId="18" fillId="0" borderId="3" xfId="1" applyNumberFormat="1" applyFont="1" applyFill="1" applyBorder="1" applyAlignment="1">
      <alignment horizontal="center" vertical="center" wrapText="1"/>
    </xf>
    <xf numFmtId="4" fontId="49" fillId="0" borderId="0" xfId="0" applyNumberFormat="1" applyFont="1" applyFill="1" applyAlignment="1">
      <alignment horizontal="center" vertical="center" wrapText="1"/>
    </xf>
    <xf numFmtId="14" fontId="23" fillId="0" borderId="3" xfId="0" applyNumberFormat="1" applyFont="1" applyFill="1" applyBorder="1" applyAlignment="1">
      <alignment horizontal="right" vertical="center" wrapText="1"/>
    </xf>
    <xf numFmtId="4" fontId="18" fillId="0" borderId="5" xfId="0" applyNumberFormat="1" applyFont="1" applyFill="1" applyBorder="1" applyAlignment="1">
      <alignment horizontal="right" vertical="center" wrapText="1"/>
    </xf>
    <xf numFmtId="0" fontId="21" fillId="0" borderId="15" xfId="0" applyFont="1" applyFill="1" applyBorder="1" applyAlignment="1">
      <alignment vertical="center" wrapText="1"/>
    </xf>
    <xf numFmtId="0" fontId="18" fillId="0" borderId="15" xfId="0" applyFont="1" applyFill="1" applyBorder="1" applyAlignment="1">
      <alignment horizontal="left" vertical="center" wrapText="1"/>
    </xf>
    <xf numFmtId="4" fontId="15" fillId="0" borderId="3" xfId="0" applyNumberFormat="1" applyFont="1" applyFill="1" applyBorder="1" applyAlignment="1">
      <alignment horizontal="right" vertical="center" wrapText="1"/>
    </xf>
    <xf numFmtId="166" fontId="21" fillId="0" borderId="6" xfId="1" applyNumberFormat="1" applyFont="1" applyFill="1" applyBorder="1" applyAlignment="1">
      <alignment horizontal="right" vertical="center" wrapText="1"/>
    </xf>
    <xf numFmtId="4" fontId="21" fillId="0" borderId="6" xfId="1" applyNumberFormat="1" applyFont="1" applyFill="1" applyBorder="1" applyAlignment="1">
      <alignment horizontal="right" vertical="center" wrapText="1"/>
    </xf>
    <xf numFmtId="167" fontId="21" fillId="0" borderId="3" xfId="0" applyNumberFormat="1" applyFont="1" applyFill="1" applyBorder="1" applyAlignment="1">
      <alignment horizontal="center" vertical="center" wrapText="1"/>
    </xf>
    <xf numFmtId="4" fontId="18" fillId="0" borderId="3" xfId="1" applyNumberFormat="1" applyFont="1" applyFill="1" applyBorder="1" applyAlignment="1">
      <alignment horizontal="right" vertical="center" wrapText="1"/>
    </xf>
    <xf numFmtId="0" fontId="23" fillId="0" borderId="3" xfId="0" applyFont="1" applyFill="1" applyBorder="1" applyAlignment="1">
      <alignment horizontal="left" vertical="center" wrapText="1"/>
    </xf>
    <xf numFmtId="165" fontId="21" fillId="0" borderId="3" xfId="0" applyNumberFormat="1" applyFont="1" applyFill="1" applyBorder="1" applyAlignment="1">
      <alignment horizontal="left" vertical="center" wrapText="1"/>
    </xf>
    <xf numFmtId="4" fontId="23" fillId="0" borderId="3" xfId="0" applyNumberFormat="1" applyFont="1" applyFill="1" applyBorder="1" applyAlignment="1">
      <alignment horizontal="right" vertical="center" wrapText="1"/>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25" fillId="0" borderId="15"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31" fillId="0" borderId="3" xfId="0" applyFont="1" applyFill="1" applyBorder="1" applyAlignment="1">
      <alignment vertical="center" wrapText="1"/>
    </xf>
    <xf numFmtId="0" fontId="31" fillId="0" borderId="3" xfId="0" applyFont="1" applyFill="1" applyBorder="1" applyAlignment="1">
      <alignment horizontal="center" vertical="center" wrapText="1"/>
    </xf>
    <xf numFmtId="0" fontId="18" fillId="0" borderId="3" xfId="0" applyFont="1" applyFill="1" applyBorder="1" applyAlignment="1">
      <alignment horizontal="left" vertical="top" wrapText="1"/>
    </xf>
    <xf numFmtId="4" fontId="20" fillId="0" borderId="3" xfId="1" applyNumberFormat="1" applyFont="1" applyFill="1" applyBorder="1" applyAlignment="1">
      <alignment horizontal="right" vertical="center" wrapText="1"/>
    </xf>
    <xf numFmtId="0" fontId="23" fillId="0" borderId="3" xfId="0" applyFont="1" applyFill="1" applyBorder="1" applyAlignment="1">
      <alignment vertical="center" wrapText="1"/>
    </xf>
    <xf numFmtId="0" fontId="4" fillId="0" borderId="0" xfId="0" applyFont="1" applyFill="1"/>
    <xf numFmtId="0" fontId="23" fillId="0" borderId="0" xfId="0" applyFont="1" applyFill="1" applyAlignment="1">
      <alignment vertical="center" wrapText="1"/>
    </xf>
    <xf numFmtId="0" fontId="31" fillId="0" borderId="0" xfId="0" applyFont="1" applyFill="1" applyAlignment="1">
      <alignment vertical="center" wrapText="1"/>
    </xf>
    <xf numFmtId="0" fontId="18" fillId="0" borderId="3" xfId="0" applyFont="1" applyFill="1" applyBorder="1" applyAlignment="1">
      <alignment vertical="center" wrapText="1"/>
    </xf>
    <xf numFmtId="0" fontId="30" fillId="0" borderId="3" xfId="0" applyFont="1" applyFill="1" applyBorder="1" applyAlignment="1">
      <alignment vertical="top" wrapText="1"/>
    </xf>
    <xf numFmtId="0" fontId="40" fillId="0" borderId="3" xfId="0" applyFont="1" applyFill="1" applyBorder="1" applyAlignment="1">
      <alignment horizontal="right" vertical="center" wrapText="1"/>
    </xf>
    <xf numFmtId="4" fontId="41" fillId="0" borderId="0" xfId="0" applyNumberFormat="1" applyFont="1" applyFill="1" applyAlignment="1">
      <alignment vertical="center" wrapText="1"/>
    </xf>
    <xf numFmtId="4" fontId="40" fillId="0" borderId="3" xfId="1" applyNumberFormat="1" applyFont="1" applyFill="1" applyBorder="1" applyAlignment="1">
      <alignment horizontal="right" vertical="center" wrapText="1"/>
    </xf>
    <xf numFmtId="4" fontId="40" fillId="0" borderId="3" xfId="0" applyNumberFormat="1" applyFont="1" applyFill="1" applyBorder="1" applyAlignment="1">
      <alignment horizontal="right" vertical="center" wrapText="1"/>
    </xf>
    <xf numFmtId="14" fontId="39" fillId="0" borderId="3" xfId="0" applyNumberFormat="1" applyFont="1" applyFill="1" applyBorder="1" applyAlignment="1">
      <alignment horizontal="right" vertical="center" wrapText="1"/>
    </xf>
    <xf numFmtId="14" fontId="37" fillId="0" borderId="3" xfId="0" applyNumberFormat="1" applyFont="1" applyFill="1" applyBorder="1" applyAlignment="1">
      <alignment horizontal="right" vertical="center" wrapText="1"/>
    </xf>
    <xf numFmtId="0" fontId="29" fillId="0" borderId="3" xfId="0" applyFont="1" applyFill="1" applyBorder="1" applyAlignment="1">
      <alignment horizontal="center" vertical="center" wrapText="1"/>
    </xf>
    <xf numFmtId="0" fontId="61" fillId="0" borderId="3" xfId="0" applyFont="1" applyFill="1" applyBorder="1" applyAlignment="1">
      <alignment horizontal="center" vertical="center" wrapText="1"/>
    </xf>
    <xf numFmtId="0" fontId="51" fillId="0" borderId="3" xfId="0" applyFont="1" applyFill="1" applyBorder="1" applyAlignment="1">
      <alignment vertical="center" wrapText="1"/>
    </xf>
    <xf numFmtId="0" fontId="34" fillId="0" borderId="3" xfId="0" applyFont="1" applyFill="1" applyBorder="1" applyAlignment="1">
      <alignment vertical="top" wrapText="1"/>
    </xf>
    <xf numFmtId="1" fontId="18" fillId="0" borderId="3" xfId="0"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164" fontId="21" fillId="0" borderId="3" xfId="0" applyNumberFormat="1" applyFont="1" applyFill="1" applyBorder="1" applyAlignment="1">
      <alignment horizontal="center" vertical="center" wrapText="1"/>
    </xf>
    <xf numFmtId="4" fontId="21" fillId="0" borderId="3" xfId="0" applyNumberFormat="1"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3" fontId="18" fillId="0" borderId="3" xfId="0" applyNumberFormat="1" applyFont="1" applyFill="1" applyBorder="1" applyAlignment="1">
      <alignment horizontal="right" vertical="center" wrapText="1"/>
    </xf>
    <xf numFmtId="4" fontId="18" fillId="0" borderId="3" xfId="0" applyNumberFormat="1" applyFont="1" applyFill="1" applyBorder="1"/>
    <xf numFmtId="4" fontId="18" fillId="0" borderId="3" xfId="0" applyNumberFormat="1" applyFont="1" applyFill="1" applyBorder="1" applyAlignment="1">
      <alignment horizontal="center" vertical="center"/>
    </xf>
    <xf numFmtId="2" fontId="21" fillId="0" borderId="3" xfId="0" applyNumberFormat="1" applyFont="1" applyFill="1" applyBorder="1" applyAlignment="1">
      <alignment horizontal="right" vertical="center" wrapText="1"/>
    </xf>
    <xf numFmtId="0" fontId="20" fillId="0" borderId="15" xfId="0" applyFont="1" applyFill="1" applyBorder="1" applyAlignment="1">
      <alignment vertical="center" wrapText="1"/>
    </xf>
    <xf numFmtId="4" fontId="21" fillId="0" borderId="3" xfId="0" applyNumberFormat="1" applyFont="1" applyFill="1" applyBorder="1" applyAlignment="1">
      <alignment horizontal="center" vertical="center"/>
    </xf>
    <xf numFmtId="0" fontId="32" fillId="0" borderId="3" xfId="0" applyFont="1" applyFill="1" applyBorder="1" applyAlignment="1">
      <alignment horizontal="center" vertical="center" wrapText="1"/>
    </xf>
    <xf numFmtId="0" fontId="18" fillId="0" borderId="24" xfId="0" applyFont="1" applyFill="1" applyBorder="1" applyAlignment="1">
      <alignment horizontal="left" vertical="center" wrapText="1"/>
    </xf>
    <xf numFmtId="0" fontId="30" fillId="0" borderId="5" xfId="0" applyFont="1" applyFill="1" applyBorder="1" applyAlignment="1">
      <alignment vertical="top" wrapText="1"/>
    </xf>
    <xf numFmtId="0" fontId="37" fillId="0" borderId="3" xfId="0" applyFont="1" applyFill="1" applyBorder="1" applyAlignment="1">
      <alignment horizontal="left" vertical="center" wrapText="1"/>
    </xf>
    <xf numFmtId="0" fontId="19" fillId="0" borderId="3" xfId="0" applyFont="1" applyFill="1" applyBorder="1" applyAlignment="1">
      <alignment vertical="center" wrapText="1"/>
    </xf>
    <xf numFmtId="0" fontId="25" fillId="0" borderId="14" xfId="0" applyFont="1" applyFill="1" applyBorder="1" applyAlignment="1">
      <alignment horizontal="center" vertical="center" wrapText="1"/>
    </xf>
    <xf numFmtId="0" fontId="29" fillId="0" borderId="0" xfId="0" applyFont="1" applyFill="1" applyAlignment="1">
      <alignment wrapText="1"/>
    </xf>
    <xf numFmtId="0" fontId="21" fillId="0" borderId="3" xfId="0" applyFont="1" applyFill="1" applyBorder="1" applyAlignment="1">
      <alignment horizontal="justify" vertical="top" wrapText="1"/>
    </xf>
    <xf numFmtId="4" fontId="21" fillId="0" borderId="15" xfId="1" applyNumberFormat="1" applyFont="1" applyFill="1" applyBorder="1" applyAlignment="1">
      <alignment horizontal="right" vertical="center" wrapText="1"/>
    </xf>
    <xf numFmtId="0" fontId="23" fillId="0" borderId="0" xfId="0" applyFont="1" applyFill="1"/>
    <xf numFmtId="0" fontId="11" fillId="0" borderId="3" xfId="0" applyFont="1" applyFill="1" applyBorder="1" applyAlignment="1">
      <alignment vertical="center" wrapText="1"/>
    </xf>
    <xf numFmtId="0" fontId="21" fillId="0" borderId="2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9" fillId="0" borderId="0" xfId="0" applyFont="1" applyFill="1" applyAlignment="1">
      <alignment vertical="center" wrapText="1"/>
    </xf>
    <xf numFmtId="0" fontId="9" fillId="0" borderId="0" xfId="0" applyFont="1" applyFill="1"/>
    <xf numFmtId="0" fontId="7" fillId="0" borderId="3" xfId="0" applyFont="1" applyFill="1" applyBorder="1" applyAlignment="1">
      <alignment vertical="center" wrapText="1"/>
    </xf>
    <xf numFmtId="4" fontId="20" fillId="0" borderId="3" xfId="0" applyNumberFormat="1" applyFont="1" applyFill="1" applyBorder="1" applyAlignment="1">
      <alignment horizontal="right" vertical="center" wrapText="1"/>
    </xf>
    <xf numFmtId="164" fontId="21" fillId="0" borderId="3" xfId="0" applyNumberFormat="1" applyFont="1" applyFill="1" applyBorder="1" applyAlignment="1">
      <alignment horizontal="right" vertical="center" wrapText="1"/>
    </xf>
    <xf numFmtId="3" fontId="21" fillId="0" borderId="15" xfId="0" applyNumberFormat="1" applyFont="1" applyFill="1" applyBorder="1" applyAlignment="1">
      <alignment horizontal="center" vertical="center" wrapText="1"/>
    </xf>
    <xf numFmtId="3" fontId="21" fillId="0" borderId="3" xfId="0" applyNumberFormat="1" applyFont="1" applyFill="1" applyBorder="1" applyAlignment="1">
      <alignment horizontal="center" vertical="center" wrapText="1"/>
    </xf>
    <xf numFmtId="4" fontId="21" fillId="0" borderId="15" xfId="0" applyNumberFormat="1" applyFont="1" applyFill="1" applyBorder="1" applyAlignment="1">
      <alignment horizontal="center" vertical="center" wrapText="1"/>
    </xf>
    <xf numFmtId="4" fontId="21" fillId="0" borderId="3" xfId="0" applyNumberFormat="1" applyFont="1" applyFill="1" applyBorder="1" applyAlignment="1">
      <alignment horizontal="left" vertical="center" wrapText="1"/>
    </xf>
    <xf numFmtId="4" fontId="18" fillId="0" borderId="3" xfId="0" applyNumberFormat="1" applyFont="1" applyFill="1" applyBorder="1" applyAlignment="1">
      <alignment horizontal="left" vertical="center" wrapText="1"/>
    </xf>
    <xf numFmtId="4" fontId="15" fillId="0" borderId="3" xfId="0" applyNumberFormat="1" applyFont="1" applyFill="1" applyBorder="1" applyAlignment="1">
      <alignment horizontal="center" vertical="center" wrapText="1"/>
    </xf>
    <xf numFmtId="4" fontId="21" fillId="0" borderId="3" xfId="0" applyNumberFormat="1" applyFont="1" applyFill="1" applyBorder="1" applyAlignment="1">
      <alignment horizontal="left" vertical="top" wrapText="1"/>
    </xf>
    <xf numFmtId="4" fontId="0" fillId="0" borderId="0" xfId="0" applyNumberFormat="1" applyFill="1"/>
    <xf numFmtId="0" fontId="52" fillId="0" borderId="0" xfId="0" applyFont="1" applyFill="1" applyAlignment="1">
      <alignment horizontal="center" vertical="center" wrapText="1"/>
    </xf>
    <xf numFmtId="166" fontId="21" fillId="0" borderId="3" xfId="1" applyNumberFormat="1" applyFont="1" applyFill="1" applyBorder="1" applyAlignment="1">
      <alignment horizontal="center" vertical="center" wrapText="1"/>
    </xf>
    <xf numFmtId="4" fontId="21" fillId="0" borderId="3" xfId="1"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49" fontId="21" fillId="0" borderId="15" xfId="0" applyNumberFormat="1" applyFont="1" applyFill="1" applyBorder="1" applyAlignment="1">
      <alignment horizontal="center" vertical="center" wrapText="1"/>
    </xf>
    <xf numFmtId="4" fontId="18" fillId="0" borderId="14" xfId="0" applyNumberFormat="1" applyFont="1" applyFill="1" applyBorder="1" applyAlignment="1">
      <alignment horizontal="left" vertical="center" wrapText="1"/>
    </xf>
    <xf numFmtId="0" fontId="5" fillId="0" borderId="0" xfId="0" applyFont="1" applyFill="1"/>
    <xf numFmtId="0" fontId="55" fillId="0" borderId="3" xfId="0" applyFont="1" applyFill="1" applyBorder="1" applyAlignment="1">
      <alignment horizontal="left" vertical="center" wrapText="1"/>
    </xf>
    <xf numFmtId="4" fontId="18" fillId="0" borderId="3" xfId="0" applyNumberFormat="1" applyFont="1" applyFill="1" applyBorder="1" applyAlignment="1">
      <alignment vertical="center"/>
    </xf>
    <xf numFmtId="166" fontId="18" fillId="0" borderId="6" xfId="1" applyNumberFormat="1" applyFont="1" applyFill="1" applyBorder="1" applyAlignment="1">
      <alignment horizontal="right" vertical="center" wrapText="1"/>
    </xf>
    <xf numFmtId="0" fontId="12" fillId="0" borderId="0" xfId="0" applyFont="1" applyFill="1" applyAlignment="1">
      <alignment horizontal="left" vertical="center" wrapText="1"/>
    </xf>
    <xf numFmtId="3" fontId="15" fillId="0" borderId="3" xfId="1" applyNumberFormat="1" applyFont="1" applyFill="1" applyBorder="1" applyAlignment="1">
      <alignment horizontal="right" vertical="center" wrapText="1"/>
    </xf>
    <xf numFmtId="166" fontId="18" fillId="0" borderId="9" xfId="1" applyNumberFormat="1" applyFont="1" applyFill="1" applyBorder="1" applyAlignment="1">
      <alignment horizontal="right" vertical="center" wrapText="1"/>
    </xf>
    <xf numFmtId="166" fontId="18" fillId="0" borderId="15" xfId="1" applyNumberFormat="1" applyFont="1" applyFill="1" applyBorder="1" applyAlignment="1">
      <alignment horizontal="right" vertical="center" wrapText="1"/>
    </xf>
    <xf numFmtId="0" fontId="0" fillId="0" borderId="0" xfId="0" applyFill="1" applyAlignment="1">
      <alignment horizontal="center" vertical="center"/>
    </xf>
    <xf numFmtId="0" fontId="29" fillId="0" borderId="3" xfId="0" applyFont="1" applyFill="1" applyBorder="1" applyAlignment="1">
      <alignment vertical="center" wrapText="1"/>
    </xf>
    <xf numFmtId="0" fontId="29" fillId="0" borderId="0" xfId="0" applyFont="1" applyFill="1" applyAlignment="1">
      <alignment horizontal="center" vertical="center" wrapText="1"/>
    </xf>
    <xf numFmtId="0" fontId="52" fillId="0" borderId="3" xfId="0" applyFont="1" applyFill="1" applyBorder="1" applyAlignment="1">
      <alignment horizontal="center" vertical="center"/>
    </xf>
    <xf numFmtId="0" fontId="52" fillId="0" borderId="3" xfId="0" applyFont="1" applyFill="1" applyBorder="1" applyAlignment="1">
      <alignment horizontal="center" vertical="center" wrapText="1"/>
    </xf>
    <xf numFmtId="2" fontId="15" fillId="0" borderId="3" xfId="0" applyNumberFormat="1" applyFont="1" applyFill="1" applyBorder="1" applyAlignment="1">
      <alignment horizontal="right" vertical="center" wrapText="1"/>
    </xf>
    <xf numFmtId="166" fontId="18" fillId="0" borderId="5" xfId="1" applyNumberFormat="1" applyFont="1" applyFill="1" applyBorder="1" applyAlignment="1">
      <alignment horizontal="right" vertical="center" wrapText="1"/>
    </xf>
    <xf numFmtId="166" fontId="21" fillId="0" borderId="3" xfId="0" applyNumberFormat="1" applyFont="1" applyFill="1" applyBorder="1" applyAlignment="1">
      <alignment horizontal="right" vertical="center" wrapText="1"/>
    </xf>
    <xf numFmtId="0" fontId="0" fillId="0" borderId="0" xfId="0" applyFill="1" applyAlignment="1">
      <alignment wrapText="1"/>
    </xf>
    <xf numFmtId="0" fontId="29" fillId="0" borderId="0" xfId="0" applyFont="1" applyFill="1" applyAlignment="1">
      <alignment vertical="center" wrapText="1"/>
    </xf>
    <xf numFmtId="0" fontId="0" fillId="0" borderId="3" xfId="0" applyFill="1" applyBorder="1" applyAlignment="1">
      <alignment vertical="center" wrapText="1"/>
    </xf>
    <xf numFmtId="4" fontId="24" fillId="0" borderId="24"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4" fontId="24" fillId="0" borderId="0" xfId="0" applyNumberFormat="1" applyFont="1" applyFill="1" applyAlignment="1">
      <alignment horizontal="right" vertical="center" wrapText="1"/>
    </xf>
    <xf numFmtId="4" fontId="24" fillId="0" borderId="25" xfId="0" applyNumberFormat="1" applyFont="1" applyFill="1" applyBorder="1" applyAlignment="1">
      <alignment horizontal="right" vertical="center" wrapText="1"/>
    </xf>
    <xf numFmtId="4" fontId="56" fillId="0" borderId="0" xfId="0" applyNumberFormat="1" applyFont="1" applyFill="1" applyAlignment="1">
      <alignment horizontal="right" vertical="center" wrapText="1"/>
    </xf>
    <xf numFmtId="4" fontId="56" fillId="0" borderId="3" xfId="0" applyNumberFormat="1" applyFont="1" applyFill="1" applyBorder="1" applyAlignment="1">
      <alignment horizontal="right" vertical="center" wrapText="1"/>
    </xf>
    <xf numFmtId="0" fontId="0" fillId="0" borderId="0" xfId="0" applyFill="1" applyAlignment="1">
      <alignment vertical="center" wrapText="1"/>
    </xf>
    <xf numFmtId="0" fontId="24" fillId="0" borderId="3" xfId="0" applyFont="1" applyFill="1" applyBorder="1" applyAlignment="1">
      <alignment horizontal="right" vertical="center" wrapText="1"/>
    </xf>
    <xf numFmtId="0" fontId="13" fillId="0" borderId="0" xfId="0" applyFont="1" applyFill="1" applyAlignment="1">
      <alignment vertical="center" wrapText="1"/>
    </xf>
    <xf numFmtId="0" fontId="24" fillId="0" borderId="0" xfId="0" applyFont="1" applyFill="1" applyAlignment="1">
      <alignment horizontal="right" vertical="center" wrapText="1"/>
    </xf>
    <xf numFmtId="0" fontId="21" fillId="0" borderId="3" xfId="0" applyFont="1" applyFill="1" applyBorder="1" applyAlignment="1">
      <alignment vertical="center" wrapText="1"/>
    </xf>
    <xf numFmtId="14" fontId="21" fillId="0" borderId="3" xfId="0" applyNumberFormat="1" applyFont="1" applyFill="1" applyBorder="1" applyAlignment="1">
      <alignment horizontal="right" vertical="center" wrapText="1"/>
    </xf>
    <xf numFmtId="0" fontId="21" fillId="0" borderId="0" xfId="0" applyFont="1" applyFill="1" applyAlignment="1">
      <alignment horizontal="left" vertical="center"/>
    </xf>
    <xf numFmtId="0" fontId="8" fillId="0" borderId="0" xfId="0" applyFont="1" applyFill="1"/>
    <xf numFmtId="0" fontId="3" fillId="0" borderId="0" xfId="0" applyFont="1" applyFill="1"/>
    <xf numFmtId="166" fontId="18" fillId="0" borderId="0" xfId="0" applyNumberFormat="1" applyFont="1" applyFill="1" applyAlignment="1">
      <alignment vertical="center"/>
    </xf>
    <xf numFmtId="0" fontId="52" fillId="0" borderId="0" xfId="0" applyFont="1" applyFill="1" applyAlignment="1">
      <alignment horizontal="center" vertical="center"/>
    </xf>
    <xf numFmtId="0" fontId="26" fillId="0" borderId="3" xfId="0" applyFont="1" applyFill="1" applyBorder="1" applyAlignment="1">
      <alignment horizontal="center" vertical="center" wrapText="1"/>
    </xf>
    <xf numFmtId="166" fontId="18" fillId="0" borderId="3" xfId="0" applyNumberFormat="1" applyFont="1" applyFill="1" applyBorder="1" applyAlignment="1">
      <alignment vertical="center"/>
    </xf>
    <xf numFmtId="0" fontId="37" fillId="0" borderId="3" xfId="0" applyFont="1" applyFill="1" applyBorder="1" applyAlignment="1">
      <alignment horizontal="center" vertical="center" wrapText="1"/>
    </xf>
    <xf numFmtId="4" fontId="20" fillId="0" borderId="3" xfId="0" applyNumberFormat="1" applyFont="1" applyFill="1" applyBorder="1" applyAlignment="1">
      <alignment vertical="center" wrapText="1"/>
    </xf>
    <xf numFmtId="4" fontId="29" fillId="0" borderId="0" xfId="0" applyNumberFormat="1" applyFont="1" applyFill="1" applyAlignment="1">
      <alignment horizontal="right" vertical="center" wrapText="1"/>
    </xf>
    <xf numFmtId="4" fontId="29" fillId="0" borderId="3" xfId="0" applyNumberFormat="1" applyFont="1" applyFill="1" applyBorder="1" applyAlignment="1">
      <alignment horizontal="right" vertical="center" wrapText="1"/>
    </xf>
    <xf numFmtId="166" fontId="18" fillId="0" borderId="4"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166" fontId="18" fillId="0" borderId="0" xfId="0" applyNumberFormat="1" applyFont="1" applyFill="1"/>
    <xf numFmtId="3" fontId="15" fillId="0" borderId="5" xfId="0" applyNumberFormat="1" applyFont="1" applyFill="1" applyBorder="1" applyAlignment="1">
      <alignment horizontal="right" vertical="center" wrapText="1"/>
    </xf>
    <xf numFmtId="166" fontId="0" fillId="0" borderId="0" xfId="0" applyNumberFormat="1" applyFill="1"/>
    <xf numFmtId="166" fontId="0" fillId="0" borderId="3" xfId="0" applyNumberFormat="1" applyFill="1" applyBorder="1" applyAlignment="1">
      <alignment horizontal="right" vertical="center" wrapText="1"/>
    </xf>
    <xf numFmtId="166" fontId="0" fillId="0" borderId="3" xfId="0" applyNumberFormat="1" applyFill="1" applyBorder="1"/>
    <xf numFmtId="0" fontId="18" fillId="0" borderId="3" xfId="0" applyFont="1" applyFill="1" applyBorder="1" applyAlignment="1">
      <alignment horizontal="left" vertical="justify" wrapText="1"/>
    </xf>
    <xf numFmtId="0" fontId="15" fillId="0" borderId="3" xfId="0" applyFont="1" applyFill="1" applyBorder="1" applyAlignment="1">
      <alignment horizontal="center" vertical="center"/>
    </xf>
    <xf numFmtId="0" fontId="20" fillId="0" borderId="3" xfId="0" applyFont="1" applyFill="1" applyBorder="1" applyAlignment="1">
      <alignment vertical="center"/>
    </xf>
    <xf numFmtId="14" fontId="22" fillId="0" borderId="3" xfId="0" applyNumberFormat="1" applyFont="1" applyFill="1" applyBorder="1" applyAlignment="1">
      <alignment horizontal="right" vertical="center"/>
    </xf>
    <xf numFmtId="49" fontId="22" fillId="0" borderId="3" xfId="0" applyNumberFormat="1" applyFont="1" applyFill="1" applyBorder="1" applyAlignment="1">
      <alignment horizontal="right" vertical="center" wrapText="1"/>
    </xf>
    <xf numFmtId="14" fontId="24" fillId="0" borderId="3" xfId="0" applyNumberFormat="1" applyFont="1" applyFill="1" applyBorder="1" applyAlignment="1">
      <alignment horizontal="right" vertical="center" wrapText="1"/>
    </xf>
    <xf numFmtId="4" fontId="18" fillId="0" borderId="11" xfId="0" applyNumberFormat="1" applyFont="1" applyFill="1" applyBorder="1" applyAlignment="1">
      <alignment horizontal="right" vertical="center" wrapText="1"/>
    </xf>
    <xf numFmtId="0" fontId="16" fillId="0" borderId="0" xfId="0" applyFont="1" applyFill="1"/>
    <xf numFmtId="0" fontId="22" fillId="0" borderId="3" xfId="0" applyFont="1" applyFill="1" applyBorder="1" applyAlignment="1">
      <alignment horizontal="right" vertical="center" wrapText="1"/>
    </xf>
    <xf numFmtId="0" fontId="27" fillId="0" borderId="3" xfId="0" applyFont="1" applyFill="1" applyBorder="1" applyAlignment="1">
      <alignment horizontal="center" vertical="center" wrapText="1"/>
    </xf>
    <xf numFmtId="0" fontId="58" fillId="0" borderId="3" xfId="0" applyNumberFormat="1" applyFont="1" applyFill="1" applyBorder="1" applyAlignment="1">
      <alignment horizontal="right" vertical="center" wrapText="1"/>
    </xf>
    <xf numFmtId="0" fontId="28" fillId="0" borderId="3" xfId="0" applyFont="1" applyFill="1" applyBorder="1" applyAlignment="1">
      <alignment horizontal="center" vertical="center" wrapText="1"/>
    </xf>
    <xf numFmtId="4" fontId="18" fillId="0" borderId="6" xfId="0" applyNumberFormat="1" applyFont="1" applyFill="1" applyBorder="1" applyAlignment="1">
      <alignment horizontal="right" vertical="center" wrapText="1"/>
    </xf>
    <xf numFmtId="4" fontId="18" fillId="0" borderId="10" xfId="0" applyNumberFormat="1" applyFont="1" applyFill="1" applyBorder="1" applyAlignment="1">
      <alignment horizontal="right" vertical="center" wrapText="1"/>
    </xf>
    <xf numFmtId="0" fontId="29" fillId="0" borderId="0" xfId="0" applyFont="1" applyFill="1" applyAlignment="1">
      <alignment horizontal="justify" vertical="center"/>
    </xf>
    <xf numFmtId="0" fontId="38" fillId="0" borderId="19" xfId="0" applyFont="1" applyFill="1" applyBorder="1" applyAlignment="1">
      <alignment horizontal="center" vertical="center" wrapText="1"/>
    </xf>
    <xf numFmtId="0" fontId="0" fillId="0" borderId="3" xfId="0" applyFill="1" applyBorder="1" applyAlignment="1">
      <alignment horizontal="right"/>
    </xf>
    <xf numFmtId="0" fontId="31" fillId="0" borderId="3" xfId="0" applyFont="1" applyFill="1" applyBorder="1" applyAlignment="1">
      <alignment vertical="center"/>
    </xf>
    <xf numFmtId="0" fontId="0" fillId="0" borderId="0" xfId="0" applyFill="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5" xfId="0" applyFont="1" applyFill="1" applyBorder="1" applyAlignment="1">
      <alignment horizontal="justify" vertical="top" wrapText="1"/>
    </xf>
    <xf numFmtId="0" fontId="32" fillId="0" borderId="0" xfId="0" applyFont="1" applyFill="1" applyAlignment="1">
      <alignment horizontal="center" vertical="center" wrapText="1"/>
    </xf>
    <xf numFmtId="0" fontId="31" fillId="0" borderId="18" xfId="0" applyFont="1" applyFill="1" applyBorder="1" applyAlignment="1">
      <alignment vertical="center" wrapText="1"/>
    </xf>
    <xf numFmtId="0" fontId="31" fillId="0" borderId="21" xfId="0" applyFont="1" applyFill="1" applyBorder="1" applyAlignment="1">
      <alignment vertical="center" wrapText="1"/>
    </xf>
    <xf numFmtId="4" fontId="42" fillId="0" borderId="3" xfId="0" applyNumberFormat="1" applyFont="1" applyFill="1" applyBorder="1" applyAlignment="1">
      <alignment horizontal="right" vertical="center"/>
    </xf>
    <xf numFmtId="4" fontId="42" fillId="0" borderId="3" xfId="0" applyNumberFormat="1" applyFont="1" applyFill="1" applyBorder="1" applyAlignment="1">
      <alignment horizontal="center" vertical="center"/>
    </xf>
    <xf numFmtId="4" fontId="42" fillId="0" borderId="0" xfId="0" applyNumberFormat="1" applyFont="1" applyFill="1" applyAlignment="1">
      <alignment horizontal="right" vertical="center"/>
    </xf>
    <xf numFmtId="0" fontId="43" fillId="0" borderId="3" xfId="0" applyFont="1" applyFill="1" applyBorder="1" applyAlignment="1">
      <alignment vertical="center"/>
    </xf>
    <xf numFmtId="14" fontId="22" fillId="0" borderId="3" xfId="0" applyNumberFormat="1" applyFont="1" applyFill="1" applyBorder="1" applyAlignment="1">
      <alignment horizontal="center" vertical="center" wrapText="1"/>
    </xf>
    <xf numFmtId="0" fontId="43" fillId="0" borderId="3" xfId="0" applyFont="1" applyFill="1" applyBorder="1" applyAlignment="1">
      <alignment vertical="center" wrapText="1"/>
    </xf>
    <xf numFmtId="0" fontId="0" fillId="0" borderId="3" xfId="0" applyFill="1" applyBorder="1"/>
    <xf numFmtId="0" fontId="0" fillId="0" borderId="3" xfId="0" applyFill="1" applyBorder="1" applyAlignment="1">
      <alignment wrapText="1"/>
    </xf>
    <xf numFmtId="4" fontId="21" fillId="0" borderId="1" xfId="0" applyNumberFormat="1" applyFont="1" applyFill="1" applyBorder="1" applyAlignment="1">
      <alignment vertical="center" wrapText="1"/>
    </xf>
    <xf numFmtId="166" fontId="0" fillId="0" borderId="18" xfId="0" applyNumberFormat="1" applyFill="1" applyBorder="1" applyAlignment="1">
      <alignment vertical="center"/>
    </xf>
    <xf numFmtId="0" fontId="31" fillId="0" borderId="15" xfId="0" applyFont="1" applyFill="1" applyBorder="1" applyAlignment="1">
      <alignment vertical="center" wrapText="1"/>
    </xf>
    <xf numFmtId="0" fontId="18" fillId="0" borderId="15" xfId="4" applyFont="1" applyFill="1" applyBorder="1" applyAlignment="1">
      <alignment horizontal="center" vertical="center" wrapText="1"/>
    </xf>
    <xf numFmtId="0" fontId="25" fillId="0" borderId="15"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20" fillId="0" borderId="3" xfId="4" applyFont="1" applyFill="1" applyBorder="1" applyAlignment="1">
      <alignment vertical="center" wrapText="1"/>
    </xf>
    <xf numFmtId="0" fontId="31" fillId="0" borderId="15" xfId="4" applyFont="1" applyFill="1" applyBorder="1" applyAlignment="1">
      <alignment vertical="center" wrapText="1"/>
    </xf>
    <xf numFmtId="0" fontId="34" fillId="0" borderId="3" xfId="4" applyFont="1" applyFill="1" applyBorder="1" applyAlignment="1">
      <alignment horizontal="left" vertical="center" wrapText="1"/>
    </xf>
    <xf numFmtId="0" fontId="21" fillId="0" borderId="3" xfId="4" applyFont="1" applyFill="1" applyBorder="1" applyAlignment="1">
      <alignment horizontal="justify" vertical="top" wrapText="1"/>
    </xf>
    <xf numFmtId="14" fontId="18" fillId="0" borderId="3" xfId="4" applyNumberFormat="1" applyFont="1" applyFill="1" applyBorder="1" applyAlignment="1">
      <alignment horizontal="center" vertical="center" wrapText="1"/>
    </xf>
    <xf numFmtId="165" fontId="18" fillId="0" borderId="3" xfId="4" applyNumberFormat="1" applyFont="1" applyFill="1" applyBorder="1" applyAlignment="1">
      <alignment horizontal="center" vertical="center" wrapText="1"/>
    </xf>
    <xf numFmtId="0" fontId="18" fillId="0" borderId="3"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30" fillId="0" borderId="15" xfId="0" applyFont="1" applyFill="1" applyBorder="1" applyAlignment="1">
      <alignment vertical="center" wrapText="1"/>
    </xf>
    <xf numFmtId="0" fontId="45" fillId="0" borderId="3" xfId="0" applyFont="1" applyFill="1" applyBorder="1" applyAlignment="1">
      <alignment horizontal="left" vertical="center" wrapText="1"/>
    </xf>
    <xf numFmtId="166" fontId="23" fillId="0" borderId="3" xfId="0" applyNumberFormat="1" applyFont="1" applyFill="1" applyBorder="1" applyAlignment="1">
      <alignment horizontal="center" vertical="center" wrapText="1"/>
    </xf>
    <xf numFmtId="0" fontId="14" fillId="0" borderId="0" xfId="0" applyFont="1" applyFill="1" applyAlignment="1">
      <alignment wrapText="1"/>
    </xf>
    <xf numFmtId="0" fontId="18" fillId="0" borderId="3" xfId="0" applyFont="1" applyFill="1" applyBorder="1" applyAlignment="1">
      <alignment horizontal="justify" wrapText="1"/>
    </xf>
    <xf numFmtId="0" fontId="43" fillId="0" borderId="15" xfId="0" applyFont="1" applyFill="1" applyBorder="1" applyAlignment="1">
      <alignment vertical="center" wrapText="1"/>
    </xf>
    <xf numFmtId="0" fontId="23" fillId="0" borderId="15" xfId="0" applyFont="1" applyFill="1" applyBorder="1" applyAlignment="1">
      <alignment vertical="center" wrapText="1"/>
    </xf>
    <xf numFmtId="0" fontId="50" fillId="0" borderId="3" xfId="0" applyFont="1" applyFill="1" applyBorder="1" applyAlignment="1">
      <alignment horizontal="left" wrapText="1"/>
    </xf>
    <xf numFmtId="0" fontId="34" fillId="0" borderId="15" xfId="0" applyFont="1" applyFill="1" applyBorder="1" applyAlignment="1">
      <alignment vertical="center" wrapText="1"/>
    </xf>
    <xf numFmtId="0" fontId="21" fillId="0" borderId="3" xfId="0" applyFont="1" applyFill="1" applyBorder="1" applyAlignment="1">
      <alignment horizontal="justify" wrapText="1"/>
    </xf>
    <xf numFmtId="0" fontId="0" fillId="0" borderId="3" xfId="0" applyFill="1" applyBorder="1" applyAlignment="1">
      <alignment horizontal="left" vertical="center" wrapText="1"/>
    </xf>
    <xf numFmtId="0" fontId="7" fillId="0" borderId="0" xfId="0" applyFont="1" applyFill="1" applyAlignment="1">
      <alignment horizontal="left" vertical="center" wrapText="1"/>
    </xf>
    <xf numFmtId="0" fontId="29" fillId="0" borderId="3" xfId="0" applyFont="1" applyFill="1" applyBorder="1" applyAlignment="1">
      <alignment horizontal="left" vertical="center" wrapText="1"/>
    </xf>
    <xf numFmtId="166" fontId="57" fillId="0" borderId="26" xfId="1" applyNumberFormat="1" applyFont="1" applyFill="1" applyBorder="1" applyAlignment="1">
      <alignment horizontal="right" vertical="center" wrapText="1"/>
    </xf>
    <xf numFmtId="0" fontId="6" fillId="0" borderId="3" xfId="0" applyFont="1" applyFill="1" applyBorder="1" applyAlignment="1">
      <alignment wrapText="1"/>
    </xf>
    <xf numFmtId="0" fontId="52" fillId="0" borderId="0" xfId="0" applyFont="1" applyFill="1" applyAlignment="1">
      <alignment wrapText="1"/>
    </xf>
    <xf numFmtId="0" fontId="52" fillId="0" borderId="0" xfId="0" applyFont="1" applyFill="1"/>
    <xf numFmtId="0" fontId="52" fillId="0" borderId="0" xfId="0" applyFont="1" applyFill="1" applyAlignment="1">
      <alignment vertical="center" wrapText="1"/>
    </xf>
    <xf numFmtId="0" fontId="5" fillId="0" borderId="15" xfId="0" applyFont="1" applyFill="1" applyBorder="1" applyAlignment="1">
      <alignment vertical="center" wrapText="1"/>
    </xf>
    <xf numFmtId="0" fontId="26" fillId="0" borderId="3" xfId="0" applyFont="1" applyFill="1" applyBorder="1" applyAlignment="1">
      <alignment horizontal="center" vertical="center"/>
    </xf>
    <xf numFmtId="0" fontId="0" fillId="0" borderId="3" xfId="0" applyFill="1" applyBorder="1" applyAlignment="1">
      <alignment horizontal="left" vertical="top" wrapText="1"/>
    </xf>
    <xf numFmtId="14" fontId="0" fillId="0" borderId="3" xfId="0" applyNumberFormat="1" applyFill="1" applyBorder="1" applyAlignment="1">
      <alignment horizontal="center" vertical="center"/>
    </xf>
    <xf numFmtId="0" fontId="53" fillId="0" borderId="15" xfId="0" applyFont="1" applyFill="1" applyBorder="1" applyAlignment="1">
      <alignment horizontal="center" vertical="center" wrapText="1"/>
    </xf>
    <xf numFmtId="14" fontId="22" fillId="0" borderId="0" xfId="0" applyNumberFormat="1" applyFont="1" applyFill="1" applyBorder="1" applyAlignment="1">
      <alignment horizontal="right" vertical="center" wrapText="1"/>
    </xf>
    <xf numFmtId="4" fontId="18" fillId="0" borderId="0" xfId="0" applyNumberFormat="1" applyFont="1" applyFill="1" applyBorder="1" applyAlignment="1">
      <alignment horizontal="right" vertical="center" wrapText="1"/>
    </xf>
    <xf numFmtId="0" fontId="26" fillId="0" borderId="0" xfId="0" applyFont="1" applyFill="1"/>
    <xf numFmtId="0" fontId="0" fillId="0" borderId="0" xfId="0" applyFill="1" applyAlignment="1">
      <alignment horizontal="left"/>
    </xf>
    <xf numFmtId="0" fontId="0" fillId="0" borderId="0" xfId="0" applyFill="1" applyAlignment="1">
      <alignment horizontal="center"/>
    </xf>
    <xf numFmtId="0" fontId="0" fillId="2" borderId="13" xfId="0" applyFill="1" applyBorder="1" applyAlignment="1">
      <alignment horizontal="center" vertical="center" wrapText="1"/>
    </xf>
    <xf numFmtId="4" fontId="15" fillId="2" borderId="1" xfId="0" applyNumberFormat="1" applyFont="1" applyFill="1" applyBorder="1" applyAlignment="1">
      <alignment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1" xfId="0" applyFont="1" applyFill="1" applyBorder="1" applyAlignment="1">
      <alignment vertical="center" wrapText="1"/>
    </xf>
    <xf numFmtId="0" fontId="15" fillId="2" borderId="3"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0" xfId="0" applyFont="1" applyFill="1" applyBorder="1" applyAlignment="1">
      <alignment horizontal="center" vertical="center" wrapText="1"/>
    </xf>
    <xf numFmtId="4" fontId="15" fillId="2" borderId="3" xfId="0" applyNumberFormat="1" applyFont="1" applyFill="1" applyBorder="1" applyAlignment="1">
      <alignment vertical="center" wrapText="1"/>
    </xf>
    <xf numFmtId="4" fontId="15" fillId="2" borderId="8" xfId="0" applyNumberFormat="1" applyFont="1" applyFill="1" applyBorder="1" applyAlignment="1">
      <alignment horizontal="center" vertical="center" wrapText="1"/>
    </xf>
    <xf numFmtId="4" fontId="15" fillId="2" borderId="12" xfId="0" applyNumberFormat="1"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4" fontId="15" fillId="2" borderId="9" xfId="0" applyNumberFormat="1" applyFont="1" applyFill="1" applyBorder="1" applyAlignment="1">
      <alignment horizontal="center" vertical="center" wrapText="1"/>
    </xf>
    <xf numFmtId="4" fontId="15" fillId="2" borderId="14" xfId="0" applyNumberFormat="1"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4" fontId="15" fillId="2" borderId="1" xfId="0" applyNumberFormat="1" applyFont="1" applyFill="1" applyBorder="1" applyAlignment="1">
      <alignment vertical="center" wrapText="1"/>
    </xf>
    <xf numFmtId="4" fontId="15" fillId="2" borderId="8" xfId="0" applyNumberFormat="1" applyFont="1" applyFill="1" applyBorder="1" applyAlignment="1">
      <alignment vertical="center" wrapText="1"/>
    </xf>
    <xf numFmtId="4" fontId="15" fillId="2" borderId="6" xfId="0" applyNumberFormat="1" applyFont="1" applyFill="1" applyBorder="1" applyAlignment="1">
      <alignment vertical="center" wrapText="1"/>
    </xf>
    <xf numFmtId="4" fontId="15" fillId="2" borderId="20" xfId="0" applyNumberFormat="1" applyFont="1" applyFill="1" applyBorder="1" applyAlignment="1">
      <alignment vertical="center" wrapText="1"/>
    </xf>
    <xf numFmtId="3" fontId="15" fillId="2" borderId="1" xfId="0" applyNumberFormat="1" applyFont="1" applyFill="1" applyBorder="1" applyAlignment="1">
      <alignment vertical="center" wrapText="1"/>
    </xf>
    <xf numFmtId="3" fontId="15" fillId="2" borderId="3" xfId="0" applyNumberFormat="1" applyFont="1" applyFill="1" applyBorder="1" applyAlignment="1">
      <alignment vertical="center" wrapText="1"/>
    </xf>
    <xf numFmtId="2" fontId="0" fillId="0" borderId="0" xfId="0" applyNumberFormat="1" applyFill="1"/>
    <xf numFmtId="170" fontId="0" fillId="0" borderId="0" xfId="0" applyNumberFormat="1" applyFill="1"/>
  </cellXfs>
  <cellStyles count="16">
    <cellStyle name="Comma" xfId="1" builtinId="3"/>
    <cellStyle name="Comma 2" xfId="2" xr:uid="{00000000-0005-0000-0000-000001000000}"/>
    <cellStyle name="Comma 2 2" xfId="6" xr:uid="{00000000-0005-0000-0000-000002000000}"/>
    <cellStyle name="Comma 2 3" xfId="8" xr:uid="{00000000-0005-0000-0000-000003000000}"/>
    <cellStyle name="Comma 3" xfId="5" xr:uid="{00000000-0005-0000-0000-000004000000}"/>
    <cellStyle name="Comma 3 2" xfId="9" xr:uid="{00000000-0005-0000-0000-000005000000}"/>
    <cellStyle name="Comma 4" xfId="7" xr:uid="{00000000-0005-0000-0000-000006000000}"/>
    <cellStyle name="Normal" xfId="0" builtinId="0"/>
    <cellStyle name="Normal 2" xfId="4" xr:uid="{00000000-0005-0000-0000-000008000000}"/>
    <cellStyle name="Normal 2 2" xfId="11" xr:uid="{00000000-0005-0000-0000-000009000000}"/>
    <cellStyle name="Normal 2 3" xfId="12" xr:uid="{00000000-0005-0000-0000-00000A000000}"/>
    <cellStyle name="Normal 2 4" xfId="10" xr:uid="{00000000-0005-0000-0000-00000B000000}"/>
    <cellStyle name="Normal 3" xfId="3" xr:uid="{00000000-0005-0000-0000-00000C000000}"/>
    <cellStyle name="Normal 3 2" xfId="13" xr:uid="{00000000-0005-0000-0000-00000D000000}"/>
    <cellStyle name="Normal 4" xfId="14" xr:uid="{00000000-0005-0000-0000-00000E000000}"/>
    <cellStyle name="Normal 5" xfId="15" xr:uid="{00000000-0005-0000-0000-00000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0"/>
  <sheetViews>
    <sheetView tabSelected="1" zoomScale="70" zoomScaleNormal="55" workbookViewId="0">
      <selection sqref="A1:A3"/>
    </sheetView>
  </sheetViews>
  <sheetFormatPr defaultColWidth="9.140625" defaultRowHeight="15" x14ac:dyDescent="0.25"/>
  <cols>
    <col min="1" max="1" width="11.7109375" style="4" customWidth="1"/>
    <col min="2" max="2" width="13.140625" style="4" bestFit="1" customWidth="1"/>
    <col min="3" max="3" width="11.28515625" style="261" bestFit="1" customWidth="1"/>
    <col min="4" max="4" width="11.42578125" style="4" customWidth="1"/>
    <col min="5" max="5" width="14.28515625" style="4" customWidth="1"/>
    <col min="6" max="6" width="18.5703125" style="4" customWidth="1"/>
    <col min="7" max="7" width="46.140625" style="262" customWidth="1"/>
    <col min="8" max="8" width="26" style="262" customWidth="1"/>
    <col min="9" max="9" width="23.85546875" style="263" customWidth="1"/>
    <col min="10" max="10" width="69.7109375" style="4" customWidth="1"/>
    <col min="11" max="11" width="20.5703125" style="263" customWidth="1"/>
    <col min="12" max="12" width="20" style="263" customWidth="1"/>
    <col min="13" max="13" width="24.28515625" style="263" customWidth="1"/>
    <col min="14" max="14" width="24.42578125" style="263" customWidth="1"/>
    <col min="15" max="15" width="31.85546875" style="263" customWidth="1"/>
    <col min="16" max="16" width="20.140625" style="263" customWidth="1"/>
    <col min="17" max="17" width="17" style="263" customWidth="1"/>
    <col min="18" max="18" width="29.140625" style="263" customWidth="1"/>
    <col min="19" max="21" width="21.85546875" style="4" customWidth="1"/>
    <col min="22" max="22" width="15.5703125" style="4" customWidth="1"/>
    <col min="23" max="23" width="24" style="4" customWidth="1"/>
    <col min="24" max="24" width="15" style="4" customWidth="1"/>
    <col min="25" max="26" width="19.42578125" style="4" customWidth="1"/>
    <col min="27" max="27" width="19.85546875" style="4" customWidth="1"/>
    <col min="28" max="28" width="19.5703125" style="4" customWidth="1"/>
    <col min="29" max="29" width="20" style="4" customWidth="1"/>
    <col min="30" max="30" width="13.42578125" style="4" customWidth="1"/>
    <col min="31" max="31" width="29" style="4" customWidth="1"/>
    <col min="32" max="32" width="16" style="4" customWidth="1"/>
    <col min="33" max="33" width="21.85546875" style="4" customWidth="1"/>
    <col min="34" max="34" width="27.7109375" style="4" bestFit="1" customWidth="1"/>
    <col min="35" max="35" width="25" style="154" customWidth="1"/>
    <col min="36" max="36" width="18.28515625" style="4" bestFit="1" customWidth="1"/>
    <col min="37" max="37" width="22.42578125" style="4" bestFit="1" customWidth="1"/>
    <col min="38" max="16384" width="9.140625" style="4"/>
  </cols>
  <sheetData>
    <row r="1" spans="1:37" ht="89.25" customHeight="1" x14ac:dyDescent="0.25">
      <c r="A1" s="266" t="s">
        <v>0</v>
      </c>
      <c r="B1" s="280" t="s">
        <v>435</v>
      </c>
      <c r="C1" s="275" t="s">
        <v>159</v>
      </c>
      <c r="D1" s="273" t="s">
        <v>160</v>
      </c>
      <c r="E1" s="273" t="s">
        <v>9</v>
      </c>
      <c r="F1" s="273" t="s">
        <v>164</v>
      </c>
      <c r="G1" s="269" t="s">
        <v>1</v>
      </c>
      <c r="H1" s="271" t="s">
        <v>15</v>
      </c>
      <c r="I1" s="277" t="s">
        <v>191</v>
      </c>
      <c r="J1" s="273" t="s">
        <v>17</v>
      </c>
      <c r="K1" s="273" t="s">
        <v>16</v>
      </c>
      <c r="L1" s="273" t="s">
        <v>18</v>
      </c>
      <c r="M1" s="273" t="s">
        <v>19</v>
      </c>
      <c r="N1" s="273" t="s">
        <v>2</v>
      </c>
      <c r="O1" s="273" t="s">
        <v>20</v>
      </c>
      <c r="P1" s="273" t="s">
        <v>3</v>
      </c>
      <c r="Q1" s="273" t="s">
        <v>4</v>
      </c>
      <c r="R1" s="273" t="s">
        <v>21</v>
      </c>
      <c r="S1" s="284" t="s">
        <v>10</v>
      </c>
      <c r="T1" s="285"/>
      <c r="U1" s="285"/>
      <c r="V1" s="285"/>
      <c r="W1" s="285"/>
      <c r="X1" s="285"/>
      <c r="Y1" s="285"/>
      <c r="Z1" s="286"/>
      <c r="AA1" s="286"/>
      <c r="AB1" s="287"/>
      <c r="AC1" s="264" t="s">
        <v>4</v>
      </c>
      <c r="AD1" s="264"/>
      <c r="AE1" s="292" t="s">
        <v>158</v>
      </c>
      <c r="AF1" s="265"/>
      <c r="AG1" s="292" t="s">
        <v>5</v>
      </c>
      <c r="AH1" s="296" t="s">
        <v>14</v>
      </c>
      <c r="AI1" s="296" t="s">
        <v>6</v>
      </c>
      <c r="AJ1" s="292" t="s">
        <v>23</v>
      </c>
      <c r="AK1" s="293"/>
    </row>
    <row r="2" spans="1:37" ht="15.75" customHeight="1" x14ac:dyDescent="0.25">
      <c r="A2" s="267"/>
      <c r="B2" s="281"/>
      <c r="C2" s="276"/>
      <c r="D2" s="274"/>
      <c r="E2" s="274"/>
      <c r="F2" s="274"/>
      <c r="G2" s="270"/>
      <c r="H2" s="272"/>
      <c r="I2" s="278"/>
      <c r="J2" s="274"/>
      <c r="K2" s="274"/>
      <c r="L2" s="274"/>
      <c r="M2" s="274"/>
      <c r="N2" s="274"/>
      <c r="O2" s="274"/>
      <c r="P2" s="274"/>
      <c r="Q2" s="274"/>
      <c r="R2" s="274"/>
      <c r="S2" s="288" t="s">
        <v>11</v>
      </c>
      <c r="T2" s="289"/>
      <c r="U2" s="289"/>
      <c r="V2" s="289"/>
      <c r="W2" s="290"/>
      <c r="X2" s="291"/>
      <c r="Y2" s="283" t="s">
        <v>13</v>
      </c>
      <c r="Z2" s="2"/>
      <c r="AA2" s="2"/>
      <c r="AB2" s="294" t="s">
        <v>22</v>
      </c>
      <c r="AC2" s="2"/>
      <c r="AD2" s="2"/>
      <c r="AE2" s="283"/>
      <c r="AF2" s="283" t="s">
        <v>7</v>
      </c>
      <c r="AG2" s="283"/>
      <c r="AH2" s="297"/>
      <c r="AI2" s="297"/>
      <c r="AJ2" s="283" t="s">
        <v>8</v>
      </c>
      <c r="AK2" s="283" t="s">
        <v>24</v>
      </c>
    </row>
    <row r="3" spans="1:37" ht="36.75" customHeight="1" thickBot="1" x14ac:dyDescent="0.3">
      <c r="A3" s="268"/>
      <c r="B3" s="282"/>
      <c r="C3" s="276"/>
      <c r="D3" s="274"/>
      <c r="E3" s="274"/>
      <c r="F3" s="274"/>
      <c r="G3" s="270"/>
      <c r="H3" s="272"/>
      <c r="I3" s="279"/>
      <c r="J3" s="274"/>
      <c r="K3" s="274"/>
      <c r="L3" s="274"/>
      <c r="M3" s="274"/>
      <c r="N3" s="274"/>
      <c r="O3" s="274"/>
      <c r="P3" s="274"/>
      <c r="Q3" s="274"/>
      <c r="R3" s="274"/>
      <c r="S3" s="2" t="s">
        <v>8</v>
      </c>
      <c r="T3" s="2" t="s">
        <v>184</v>
      </c>
      <c r="U3" s="2" t="s">
        <v>183</v>
      </c>
      <c r="V3" s="2" t="s">
        <v>12</v>
      </c>
      <c r="W3" s="2" t="s">
        <v>184</v>
      </c>
      <c r="X3" s="2" t="s">
        <v>183</v>
      </c>
      <c r="Y3" s="283"/>
      <c r="Z3" s="2" t="s">
        <v>184</v>
      </c>
      <c r="AA3" s="2" t="s">
        <v>183</v>
      </c>
      <c r="AB3" s="295"/>
      <c r="AC3" s="2" t="s">
        <v>184</v>
      </c>
      <c r="AD3" s="2" t="s">
        <v>183</v>
      </c>
      <c r="AE3" s="283"/>
      <c r="AF3" s="283"/>
      <c r="AG3" s="283"/>
      <c r="AH3" s="297"/>
      <c r="AI3" s="297"/>
      <c r="AJ3" s="283"/>
      <c r="AK3" s="283"/>
    </row>
    <row r="4" spans="1:37" ht="15.75" x14ac:dyDescent="0.25">
      <c r="A4" s="6">
        <v>0</v>
      </c>
      <c r="B4" s="7"/>
      <c r="C4" s="8">
        <v>1</v>
      </c>
      <c r="D4" s="9" t="s">
        <v>179</v>
      </c>
      <c r="E4" s="9">
        <v>2</v>
      </c>
      <c r="F4" s="9">
        <v>3</v>
      </c>
      <c r="G4" s="9">
        <v>4</v>
      </c>
      <c r="H4" s="9">
        <v>5</v>
      </c>
      <c r="I4" s="9">
        <v>6</v>
      </c>
      <c r="J4" s="9">
        <v>7</v>
      </c>
      <c r="K4" s="9">
        <v>8</v>
      </c>
      <c r="L4" s="9">
        <v>9</v>
      </c>
      <c r="M4" s="9">
        <v>10</v>
      </c>
      <c r="N4" s="9">
        <v>11</v>
      </c>
      <c r="O4" s="9">
        <v>12</v>
      </c>
      <c r="P4" s="9">
        <v>13</v>
      </c>
      <c r="Q4" s="9">
        <v>14</v>
      </c>
      <c r="R4" s="9">
        <v>15</v>
      </c>
      <c r="S4" s="10">
        <v>16</v>
      </c>
      <c r="T4" s="10"/>
      <c r="U4" s="10"/>
      <c r="V4" s="10">
        <v>17</v>
      </c>
      <c r="W4" s="10"/>
      <c r="X4" s="10"/>
      <c r="Y4" s="10">
        <v>18</v>
      </c>
      <c r="Z4" s="5"/>
      <c r="AA4" s="5"/>
      <c r="AB4" s="10">
        <v>19</v>
      </c>
      <c r="AC4" s="10"/>
      <c r="AD4" s="10"/>
      <c r="AE4" s="5" t="s">
        <v>180</v>
      </c>
      <c r="AF4" s="11">
        <v>20</v>
      </c>
      <c r="AG4" s="11">
        <v>21</v>
      </c>
      <c r="AH4" s="11">
        <v>22</v>
      </c>
      <c r="AI4" s="11">
        <v>23</v>
      </c>
      <c r="AJ4" s="11">
        <v>24</v>
      </c>
      <c r="AK4" s="11">
        <v>25</v>
      </c>
    </row>
    <row r="5" spans="1:37" ht="310.5" customHeight="1" x14ac:dyDescent="0.25">
      <c r="A5" s="12">
        <v>1</v>
      </c>
      <c r="B5" s="13">
        <v>110755</v>
      </c>
      <c r="C5" s="8">
        <v>121</v>
      </c>
      <c r="D5" s="14" t="s">
        <v>172</v>
      </c>
      <c r="E5" s="15" t="s">
        <v>968</v>
      </c>
      <c r="F5" s="16" t="s">
        <v>331</v>
      </c>
      <c r="G5" s="17" t="s">
        <v>255</v>
      </c>
      <c r="H5" s="17" t="s">
        <v>256</v>
      </c>
      <c r="I5" s="18" t="s">
        <v>185</v>
      </c>
      <c r="J5" s="19" t="s">
        <v>513</v>
      </c>
      <c r="K5" s="20">
        <v>43145</v>
      </c>
      <c r="L5" s="20">
        <v>43630</v>
      </c>
      <c r="M5" s="21">
        <f t="shared" ref="M5:M11" si="0">S5/AE5*100</f>
        <v>84.999999517641427</v>
      </c>
      <c r="N5" s="14">
        <v>7</v>
      </c>
      <c r="O5" s="14" t="s">
        <v>265</v>
      </c>
      <c r="P5" s="14" t="s">
        <v>259</v>
      </c>
      <c r="Q5" s="22" t="s">
        <v>212</v>
      </c>
      <c r="R5" s="18" t="s">
        <v>36</v>
      </c>
      <c r="S5" s="23">
        <f t="shared" ref="S5:S7" si="1">T5+U5</f>
        <v>352434.92</v>
      </c>
      <c r="T5" s="24">
        <v>352434.92</v>
      </c>
      <c r="U5" s="23">
        <v>0</v>
      </c>
      <c r="V5" s="25">
        <f t="shared" ref="V5:V12" si="2">W5+X5</f>
        <v>53844.59</v>
      </c>
      <c r="W5" s="24">
        <v>53844.59</v>
      </c>
      <c r="X5" s="25">
        <v>0</v>
      </c>
      <c r="Y5" s="25">
        <f t="shared" ref="Y5" si="3">Z5+AA5</f>
        <v>8349.81</v>
      </c>
      <c r="Z5" s="24">
        <v>8349.81</v>
      </c>
      <c r="AA5" s="25">
        <v>0</v>
      </c>
      <c r="AB5" s="26">
        <f>AC5+AD5</f>
        <v>0</v>
      </c>
      <c r="AC5" s="26"/>
      <c r="AD5" s="26"/>
      <c r="AE5" s="26">
        <f>S5+V5+Y5+AB5</f>
        <v>414629.32</v>
      </c>
      <c r="AF5" s="26">
        <v>0</v>
      </c>
      <c r="AG5" s="26">
        <f>AE5+AF5</f>
        <v>414629.32</v>
      </c>
      <c r="AH5" s="27" t="s">
        <v>585</v>
      </c>
      <c r="AI5" s="28" t="s">
        <v>185</v>
      </c>
      <c r="AJ5" s="1">
        <f>18251.2+30807.23+59702.3+126620.25</f>
        <v>235380.98</v>
      </c>
      <c r="AK5" s="29">
        <f>2788.4+4706.69+9121.25+19344.9</f>
        <v>35961.240000000005</v>
      </c>
    </row>
    <row r="6" spans="1:37" ht="123" customHeight="1" x14ac:dyDescent="0.25">
      <c r="A6" s="14">
        <v>2</v>
      </c>
      <c r="B6" s="14">
        <v>109854</v>
      </c>
      <c r="C6" s="8">
        <v>116</v>
      </c>
      <c r="D6" s="14" t="s">
        <v>173</v>
      </c>
      <c r="E6" s="15" t="s">
        <v>968</v>
      </c>
      <c r="F6" s="16" t="s">
        <v>331</v>
      </c>
      <c r="G6" s="30" t="s">
        <v>356</v>
      </c>
      <c r="H6" s="17" t="s">
        <v>357</v>
      </c>
      <c r="I6" s="18" t="s">
        <v>357</v>
      </c>
      <c r="J6" s="31" t="s">
        <v>360</v>
      </c>
      <c r="K6" s="20">
        <v>43186</v>
      </c>
      <c r="L6" s="20">
        <v>43551</v>
      </c>
      <c r="M6" s="21">
        <f t="shared" si="0"/>
        <v>85.000000944809514</v>
      </c>
      <c r="N6" s="14">
        <v>7</v>
      </c>
      <c r="O6" s="14" t="s">
        <v>265</v>
      </c>
      <c r="P6" s="14" t="s">
        <v>358</v>
      </c>
      <c r="Q6" s="22" t="s">
        <v>212</v>
      </c>
      <c r="R6" s="14" t="s">
        <v>36</v>
      </c>
      <c r="S6" s="25">
        <f t="shared" si="1"/>
        <v>359860.9</v>
      </c>
      <c r="T6" s="23">
        <v>359860.9</v>
      </c>
      <c r="U6" s="23">
        <v>0</v>
      </c>
      <c r="V6" s="25">
        <f t="shared" si="2"/>
        <v>55037.54</v>
      </c>
      <c r="W6" s="23">
        <v>55037.54</v>
      </c>
      <c r="X6" s="23">
        <v>0</v>
      </c>
      <c r="Y6" s="25">
        <f>Z6+AA6</f>
        <v>8467.32</v>
      </c>
      <c r="Z6" s="23">
        <v>8467.32</v>
      </c>
      <c r="AA6" s="23">
        <v>0</v>
      </c>
      <c r="AB6" s="26">
        <f t="shared" ref="AB6:AB12" si="4">AC6+AD6</f>
        <v>0</v>
      </c>
      <c r="AC6" s="23"/>
      <c r="AD6" s="23"/>
      <c r="AE6" s="23">
        <f>S6+V6+Y6+AB6</f>
        <v>423365.76</v>
      </c>
      <c r="AF6" s="23">
        <v>0</v>
      </c>
      <c r="AG6" s="26">
        <f t="shared" ref="AG6:AG69" si="5">AE6+AF6</f>
        <v>423365.76</v>
      </c>
      <c r="AH6" s="27" t="s">
        <v>1073</v>
      </c>
      <c r="AI6" s="28" t="s">
        <v>349</v>
      </c>
      <c r="AJ6" s="1">
        <f>21516.9+45941.89+93672.06+106670.77</f>
        <v>267801.62</v>
      </c>
      <c r="AK6" s="29">
        <f>3290.82+7026.4+14326.31+16314.36</f>
        <v>40957.89</v>
      </c>
    </row>
    <row r="7" spans="1:37" ht="393.75" x14ac:dyDescent="0.25">
      <c r="A7" s="12">
        <v>3</v>
      </c>
      <c r="B7" s="7">
        <v>119560</v>
      </c>
      <c r="C7" s="8">
        <v>471</v>
      </c>
      <c r="D7" s="14" t="s">
        <v>843</v>
      </c>
      <c r="E7" s="18" t="s">
        <v>1041</v>
      </c>
      <c r="F7" s="16" t="s">
        <v>542</v>
      </c>
      <c r="G7" s="15" t="s">
        <v>607</v>
      </c>
      <c r="H7" s="18" t="s">
        <v>606</v>
      </c>
      <c r="I7" s="18" t="s">
        <v>337</v>
      </c>
      <c r="J7" s="15" t="s">
        <v>608</v>
      </c>
      <c r="K7" s="32">
        <v>43265</v>
      </c>
      <c r="L7" s="32">
        <v>43752</v>
      </c>
      <c r="M7" s="21">
        <f t="shared" si="0"/>
        <v>84.216178284166972</v>
      </c>
      <c r="N7" s="14">
        <v>7</v>
      </c>
      <c r="O7" s="14" t="s">
        <v>265</v>
      </c>
      <c r="P7" s="14" t="s">
        <v>609</v>
      </c>
      <c r="Q7" s="22" t="s">
        <v>212</v>
      </c>
      <c r="R7" s="14" t="s">
        <v>36</v>
      </c>
      <c r="S7" s="25">
        <f t="shared" si="1"/>
        <v>336316.07</v>
      </c>
      <c r="T7" s="23">
        <v>336316.07</v>
      </c>
      <c r="U7" s="23">
        <v>0</v>
      </c>
      <c r="V7" s="25">
        <f t="shared" si="2"/>
        <v>55045.45</v>
      </c>
      <c r="W7" s="23">
        <v>55045.45</v>
      </c>
      <c r="X7" s="23">
        <v>0</v>
      </c>
      <c r="Y7" s="25">
        <f t="shared" ref="Y7:Y14" si="6">Z7+AA7</f>
        <v>7987.01</v>
      </c>
      <c r="Z7" s="23">
        <v>7987.01</v>
      </c>
      <c r="AA7" s="23">
        <v>0</v>
      </c>
      <c r="AB7" s="26">
        <f t="shared" si="4"/>
        <v>0</v>
      </c>
      <c r="AC7" s="23">
        <v>0</v>
      </c>
      <c r="AD7" s="23">
        <v>0</v>
      </c>
      <c r="AE7" s="23">
        <f t="shared" ref="AE7:AE12" si="7">S7+V7+Y7</f>
        <v>399348.53</v>
      </c>
      <c r="AF7" s="23"/>
      <c r="AG7" s="26">
        <f t="shared" si="5"/>
        <v>399348.53</v>
      </c>
      <c r="AH7" s="27" t="s">
        <v>585</v>
      </c>
      <c r="AI7" s="28" t="s">
        <v>349</v>
      </c>
      <c r="AJ7" s="1">
        <f>49080.06+14949.98+41134.39-2384.82+15898.81+15022.21+13804.48</f>
        <v>147505.10999999999</v>
      </c>
      <c r="AK7" s="29">
        <f>3856+2638.23+7747.66+2384.82+2297.51+2436.08</f>
        <v>21360.300000000003</v>
      </c>
    </row>
    <row r="8" spans="1:37" ht="189" x14ac:dyDescent="0.25">
      <c r="A8" s="12">
        <v>4</v>
      </c>
      <c r="B8" s="7">
        <v>117934</v>
      </c>
      <c r="C8" s="8">
        <v>417</v>
      </c>
      <c r="D8" s="9" t="s">
        <v>684</v>
      </c>
      <c r="E8" s="15" t="s">
        <v>704</v>
      </c>
      <c r="F8" s="16" t="s">
        <v>610</v>
      </c>
      <c r="G8" s="15" t="s">
        <v>659</v>
      </c>
      <c r="H8" s="18" t="s">
        <v>606</v>
      </c>
      <c r="I8" s="9" t="s">
        <v>185</v>
      </c>
      <c r="J8" s="15" t="s">
        <v>660</v>
      </c>
      <c r="K8" s="32">
        <v>43275</v>
      </c>
      <c r="L8" s="32">
        <v>43765</v>
      </c>
      <c r="M8" s="21">
        <f t="shared" si="0"/>
        <v>84.999998780098935</v>
      </c>
      <c r="N8" s="14">
        <v>7</v>
      </c>
      <c r="O8" s="14" t="s">
        <v>265</v>
      </c>
      <c r="P8" s="14" t="s">
        <v>609</v>
      </c>
      <c r="Q8" s="22" t="s">
        <v>212</v>
      </c>
      <c r="R8" s="14" t="s">
        <v>36</v>
      </c>
      <c r="S8" s="25">
        <f>T8+U8</f>
        <v>243872.23</v>
      </c>
      <c r="T8" s="23">
        <v>243872.23</v>
      </c>
      <c r="U8" s="23">
        <v>0</v>
      </c>
      <c r="V8" s="25">
        <f t="shared" si="2"/>
        <v>37298.080000000002</v>
      </c>
      <c r="W8" s="23">
        <v>37298.080000000002</v>
      </c>
      <c r="X8" s="23">
        <v>0</v>
      </c>
      <c r="Y8" s="25">
        <f t="shared" si="6"/>
        <v>5738.2</v>
      </c>
      <c r="Z8" s="23">
        <v>5738.2</v>
      </c>
      <c r="AA8" s="23">
        <v>0</v>
      </c>
      <c r="AB8" s="26">
        <f t="shared" si="4"/>
        <v>0</v>
      </c>
      <c r="AC8" s="33">
        <v>0</v>
      </c>
      <c r="AD8" s="33">
        <v>0</v>
      </c>
      <c r="AE8" s="23">
        <f t="shared" si="7"/>
        <v>286908.51</v>
      </c>
      <c r="AF8" s="23">
        <v>0</v>
      </c>
      <c r="AG8" s="26">
        <f t="shared" si="5"/>
        <v>286908.51</v>
      </c>
      <c r="AH8" s="27" t="s">
        <v>585</v>
      </c>
      <c r="AI8" s="34"/>
      <c r="AJ8" s="23">
        <f>25442.69+26921.69+6885.52+62783.93</f>
        <v>122033.82999999999</v>
      </c>
      <c r="AK8" s="23">
        <f>3248.16+4760.51+1053.08+9602.24</f>
        <v>18663.989999999998</v>
      </c>
    </row>
    <row r="9" spans="1:37" ht="230.25" customHeight="1" x14ac:dyDescent="0.25">
      <c r="A9" s="14">
        <v>5</v>
      </c>
      <c r="B9" s="35">
        <v>118740</v>
      </c>
      <c r="C9" s="18">
        <v>436</v>
      </c>
      <c r="D9" s="18" t="s">
        <v>684</v>
      </c>
      <c r="E9" s="15" t="s">
        <v>704</v>
      </c>
      <c r="F9" s="16" t="s">
        <v>610</v>
      </c>
      <c r="G9" s="36" t="s">
        <v>906</v>
      </c>
      <c r="H9" s="18" t="s">
        <v>256</v>
      </c>
      <c r="I9" s="9" t="s">
        <v>185</v>
      </c>
      <c r="J9" s="15" t="s">
        <v>907</v>
      </c>
      <c r="K9" s="32">
        <v>43321</v>
      </c>
      <c r="L9" s="32">
        <v>43808</v>
      </c>
      <c r="M9" s="21">
        <f t="shared" si="0"/>
        <v>85.000000362805537</v>
      </c>
      <c r="N9" s="14">
        <v>7</v>
      </c>
      <c r="O9" s="14" t="s">
        <v>265</v>
      </c>
      <c r="P9" s="14" t="s">
        <v>259</v>
      </c>
      <c r="Q9" s="22" t="s">
        <v>212</v>
      </c>
      <c r="R9" s="14" t="s">
        <v>36</v>
      </c>
      <c r="S9" s="25">
        <f t="shared" ref="S9:S11" si="8">T9+U9</f>
        <v>234285.28</v>
      </c>
      <c r="T9" s="23">
        <v>234285.28</v>
      </c>
      <c r="U9" s="23">
        <v>0</v>
      </c>
      <c r="V9" s="25">
        <f t="shared" si="2"/>
        <v>35831.870000000003</v>
      </c>
      <c r="W9" s="23">
        <v>35831.870000000003</v>
      </c>
      <c r="X9" s="23"/>
      <c r="Y9" s="25">
        <f t="shared" si="6"/>
        <v>5512.59</v>
      </c>
      <c r="Z9" s="23">
        <v>5512.59</v>
      </c>
      <c r="AA9" s="23">
        <v>0</v>
      </c>
      <c r="AB9" s="26">
        <f t="shared" si="4"/>
        <v>0</v>
      </c>
      <c r="AC9" s="33">
        <v>0</v>
      </c>
      <c r="AD9" s="33">
        <v>0</v>
      </c>
      <c r="AE9" s="23">
        <f t="shared" si="7"/>
        <v>275629.74000000005</v>
      </c>
      <c r="AF9" s="23"/>
      <c r="AG9" s="26">
        <f t="shared" si="5"/>
        <v>275629.74000000005</v>
      </c>
      <c r="AH9" s="27" t="s">
        <v>585</v>
      </c>
      <c r="AI9" s="34"/>
      <c r="AJ9" s="23">
        <f>11570.2+74831.96</f>
        <v>86402.16</v>
      </c>
      <c r="AK9" s="23">
        <f>1769.56+11444.89</f>
        <v>13214.449999999999</v>
      </c>
    </row>
    <row r="10" spans="1:37" ht="219.6" customHeight="1" x14ac:dyDescent="0.25">
      <c r="A10" s="12">
        <v>6</v>
      </c>
      <c r="B10" s="35">
        <v>119862</v>
      </c>
      <c r="C10" s="18">
        <v>483</v>
      </c>
      <c r="D10" s="18" t="s">
        <v>172</v>
      </c>
      <c r="E10" s="18" t="s">
        <v>1041</v>
      </c>
      <c r="F10" s="18" t="s">
        <v>542</v>
      </c>
      <c r="G10" s="36" t="s">
        <v>929</v>
      </c>
      <c r="H10" s="18" t="s">
        <v>930</v>
      </c>
      <c r="I10" s="9" t="s">
        <v>185</v>
      </c>
      <c r="J10" s="15" t="s">
        <v>931</v>
      </c>
      <c r="K10" s="32">
        <v>43325</v>
      </c>
      <c r="L10" s="32">
        <v>43629</v>
      </c>
      <c r="M10" s="21">
        <f t="shared" si="0"/>
        <v>84.999998288155666</v>
      </c>
      <c r="N10" s="14">
        <v>7</v>
      </c>
      <c r="O10" s="14" t="s">
        <v>932</v>
      </c>
      <c r="P10" s="14" t="s">
        <v>933</v>
      </c>
      <c r="Q10" s="22" t="s">
        <v>212</v>
      </c>
      <c r="R10" s="14" t="s">
        <v>36</v>
      </c>
      <c r="S10" s="25">
        <f t="shared" si="8"/>
        <v>223443.21</v>
      </c>
      <c r="T10" s="23">
        <v>223443.21</v>
      </c>
      <c r="U10" s="23">
        <v>0</v>
      </c>
      <c r="V10" s="25">
        <f t="shared" si="2"/>
        <v>34173.67</v>
      </c>
      <c r="W10" s="23">
        <v>34173.67</v>
      </c>
      <c r="X10" s="23">
        <v>0</v>
      </c>
      <c r="Y10" s="25">
        <f t="shared" si="6"/>
        <v>5257.4900000000007</v>
      </c>
      <c r="Z10" s="23">
        <v>5257.4900000000007</v>
      </c>
      <c r="AA10" s="23">
        <v>0</v>
      </c>
      <c r="AB10" s="26">
        <f t="shared" si="4"/>
        <v>0</v>
      </c>
      <c r="AC10" s="37">
        <v>0</v>
      </c>
      <c r="AD10" s="37">
        <v>0</v>
      </c>
      <c r="AE10" s="23">
        <f t="shared" si="7"/>
        <v>262874.37</v>
      </c>
      <c r="AF10" s="23"/>
      <c r="AG10" s="26">
        <f t="shared" si="5"/>
        <v>262874.37</v>
      </c>
      <c r="AH10" s="27" t="s">
        <v>871</v>
      </c>
      <c r="AI10" s="34"/>
      <c r="AJ10" s="38">
        <f>24006.26+36929.64+11537.62+59157.12</f>
        <v>131630.63999999998</v>
      </c>
      <c r="AK10" s="1">
        <f>3671.55+5648.06+1764.58+9047.56</f>
        <v>20131.75</v>
      </c>
    </row>
    <row r="11" spans="1:37" ht="219.6" customHeight="1" x14ac:dyDescent="0.25">
      <c r="A11" s="12">
        <v>7</v>
      </c>
      <c r="B11" s="35">
        <v>126492</v>
      </c>
      <c r="C11" s="18">
        <v>568</v>
      </c>
      <c r="D11" s="18" t="s">
        <v>177</v>
      </c>
      <c r="E11" s="18" t="s">
        <v>1041</v>
      </c>
      <c r="F11" s="18" t="s">
        <v>1135</v>
      </c>
      <c r="G11" s="36" t="s">
        <v>1218</v>
      </c>
      <c r="H11" s="18" t="s">
        <v>1319</v>
      </c>
      <c r="I11" s="9" t="s">
        <v>185</v>
      </c>
      <c r="J11" s="15" t="s">
        <v>1219</v>
      </c>
      <c r="K11" s="32">
        <v>43462</v>
      </c>
      <c r="L11" s="32">
        <v>44132</v>
      </c>
      <c r="M11" s="21">
        <f t="shared" si="0"/>
        <v>85.000000278232704</v>
      </c>
      <c r="N11" s="14">
        <v>7</v>
      </c>
      <c r="O11" s="14" t="s">
        <v>932</v>
      </c>
      <c r="P11" s="14" t="s">
        <v>358</v>
      </c>
      <c r="Q11" s="22" t="s">
        <v>212</v>
      </c>
      <c r="R11" s="14" t="s">
        <v>36</v>
      </c>
      <c r="S11" s="25">
        <f t="shared" si="8"/>
        <v>1221998.73</v>
      </c>
      <c r="T11" s="23">
        <v>1221998.73</v>
      </c>
      <c r="U11" s="23">
        <v>0</v>
      </c>
      <c r="V11" s="25">
        <f t="shared" si="2"/>
        <v>186893.92</v>
      </c>
      <c r="W11" s="23">
        <v>186893.92</v>
      </c>
      <c r="X11" s="23">
        <v>0</v>
      </c>
      <c r="Y11" s="25">
        <f t="shared" si="6"/>
        <v>28752.91</v>
      </c>
      <c r="Z11" s="23">
        <v>28752.91</v>
      </c>
      <c r="AA11" s="23">
        <v>0</v>
      </c>
      <c r="AB11" s="26">
        <f t="shared" si="4"/>
        <v>0</v>
      </c>
      <c r="AC11" s="37">
        <v>0</v>
      </c>
      <c r="AD11" s="37">
        <v>0</v>
      </c>
      <c r="AE11" s="23">
        <f t="shared" si="7"/>
        <v>1437645.5599999998</v>
      </c>
      <c r="AF11" s="23"/>
      <c r="AG11" s="26">
        <f t="shared" si="5"/>
        <v>1437645.5599999998</v>
      </c>
      <c r="AH11" s="27" t="s">
        <v>585</v>
      </c>
      <c r="AI11" s="34"/>
      <c r="AJ11" s="38">
        <v>30000</v>
      </c>
      <c r="AK11" s="1">
        <v>0</v>
      </c>
    </row>
    <row r="12" spans="1:37" ht="294.75" customHeight="1" x14ac:dyDescent="0.25">
      <c r="A12" s="14">
        <v>8</v>
      </c>
      <c r="B12" s="35">
        <v>126520</v>
      </c>
      <c r="C12" s="18">
        <v>550</v>
      </c>
      <c r="D12" s="18" t="s">
        <v>177</v>
      </c>
      <c r="E12" s="18" t="s">
        <v>1041</v>
      </c>
      <c r="F12" s="18" t="s">
        <v>1135</v>
      </c>
      <c r="G12" s="36" t="s">
        <v>1254</v>
      </c>
      <c r="H12" s="18" t="s">
        <v>1256</v>
      </c>
      <c r="I12" s="9" t="s">
        <v>185</v>
      </c>
      <c r="J12" s="39" t="s">
        <v>1255</v>
      </c>
      <c r="K12" s="32">
        <v>43504</v>
      </c>
      <c r="L12" s="32">
        <v>44294</v>
      </c>
      <c r="M12" s="21">
        <f t="shared" ref="M12" si="9">S12/AE12*100</f>
        <v>84.999999104679475</v>
      </c>
      <c r="N12" s="14">
        <v>7</v>
      </c>
      <c r="O12" s="14" t="s">
        <v>932</v>
      </c>
      <c r="P12" s="14" t="s">
        <v>358</v>
      </c>
      <c r="Q12" s="22" t="s">
        <v>212</v>
      </c>
      <c r="R12" s="14" t="s">
        <v>36</v>
      </c>
      <c r="S12" s="25">
        <f t="shared" ref="S12:S15" si="10">T12+U12</f>
        <v>2231044.54</v>
      </c>
      <c r="T12" s="23">
        <v>2231044.54</v>
      </c>
      <c r="U12" s="23">
        <v>0</v>
      </c>
      <c r="V12" s="25">
        <f t="shared" si="2"/>
        <v>341218.6</v>
      </c>
      <c r="W12" s="23">
        <v>341218.6</v>
      </c>
      <c r="X12" s="23">
        <v>0</v>
      </c>
      <c r="Y12" s="25">
        <f t="shared" si="6"/>
        <v>52495.17</v>
      </c>
      <c r="Z12" s="23">
        <v>52495.17</v>
      </c>
      <c r="AA12" s="23">
        <v>0</v>
      </c>
      <c r="AB12" s="26">
        <f t="shared" si="4"/>
        <v>0</v>
      </c>
      <c r="AC12" s="37">
        <v>0</v>
      </c>
      <c r="AD12" s="37">
        <v>0</v>
      </c>
      <c r="AE12" s="23">
        <f t="shared" si="7"/>
        <v>2624758.31</v>
      </c>
      <c r="AF12" s="23"/>
      <c r="AG12" s="26">
        <f t="shared" si="5"/>
        <v>2624758.31</v>
      </c>
      <c r="AH12" s="27" t="s">
        <v>585</v>
      </c>
      <c r="AI12" s="34" t="s">
        <v>1474</v>
      </c>
      <c r="AJ12" s="38">
        <v>0</v>
      </c>
      <c r="AK12" s="1">
        <v>0</v>
      </c>
    </row>
    <row r="13" spans="1:37" ht="294.75" customHeight="1" x14ac:dyDescent="0.25">
      <c r="A13" s="12">
        <v>9</v>
      </c>
      <c r="B13" s="35">
        <v>126539</v>
      </c>
      <c r="C13" s="18">
        <v>574</v>
      </c>
      <c r="D13" s="18" t="s">
        <v>174</v>
      </c>
      <c r="E13" s="18" t="s">
        <v>968</v>
      </c>
      <c r="F13" s="18" t="s">
        <v>1135</v>
      </c>
      <c r="G13" s="36" t="s">
        <v>1327</v>
      </c>
      <c r="H13" s="18" t="s">
        <v>256</v>
      </c>
      <c r="I13" s="9" t="s">
        <v>185</v>
      </c>
      <c r="J13" s="39" t="s">
        <v>1328</v>
      </c>
      <c r="K13" s="32">
        <v>43552</v>
      </c>
      <c r="L13" s="32">
        <v>44467</v>
      </c>
      <c r="M13" s="21">
        <f>S13/AE13*100</f>
        <v>85.000000056453686</v>
      </c>
      <c r="N13" s="14">
        <v>7</v>
      </c>
      <c r="O13" s="14" t="s">
        <v>265</v>
      </c>
      <c r="P13" s="14" t="s">
        <v>259</v>
      </c>
      <c r="Q13" s="22" t="s">
        <v>212</v>
      </c>
      <c r="R13" s="14" t="s">
        <v>36</v>
      </c>
      <c r="S13" s="25">
        <f t="shared" si="10"/>
        <v>3011318.02</v>
      </c>
      <c r="T13" s="23">
        <v>3011318.02</v>
      </c>
      <c r="U13" s="23">
        <v>0</v>
      </c>
      <c r="V13" s="25">
        <f t="shared" ref="V13:V15" si="11">W13+X13</f>
        <v>460554.52</v>
      </c>
      <c r="W13" s="23">
        <v>460554.52</v>
      </c>
      <c r="X13" s="23">
        <v>0</v>
      </c>
      <c r="Y13" s="25">
        <f t="shared" si="6"/>
        <v>70854.539999999994</v>
      </c>
      <c r="Z13" s="23">
        <v>70854.539999999994</v>
      </c>
      <c r="AA13" s="23">
        <v>0</v>
      </c>
      <c r="AB13" s="26">
        <f>AC13+AD13</f>
        <v>0</v>
      </c>
      <c r="AC13" s="37">
        <v>0</v>
      </c>
      <c r="AD13" s="37">
        <v>0</v>
      </c>
      <c r="AE13" s="23">
        <f>S13+V13+Y13+AB13</f>
        <v>3542727.08</v>
      </c>
      <c r="AF13" s="23">
        <v>65688</v>
      </c>
      <c r="AG13" s="26">
        <f t="shared" si="5"/>
        <v>3608415.08</v>
      </c>
      <c r="AH13" s="27" t="s">
        <v>585</v>
      </c>
      <c r="AI13" s="34" t="s">
        <v>185</v>
      </c>
      <c r="AJ13" s="38">
        <v>0</v>
      </c>
      <c r="AK13" s="1">
        <v>0</v>
      </c>
    </row>
    <row r="14" spans="1:37" ht="409.5" x14ac:dyDescent="0.25">
      <c r="A14" s="12">
        <v>10</v>
      </c>
      <c r="B14" s="35">
        <v>126063</v>
      </c>
      <c r="C14" s="18">
        <v>512</v>
      </c>
      <c r="D14" s="18" t="s">
        <v>171</v>
      </c>
      <c r="E14" s="18" t="s">
        <v>968</v>
      </c>
      <c r="F14" s="18" t="s">
        <v>1135</v>
      </c>
      <c r="G14" s="40" t="s">
        <v>1336</v>
      </c>
      <c r="H14" s="18" t="s">
        <v>606</v>
      </c>
      <c r="I14" s="18" t="s">
        <v>782</v>
      </c>
      <c r="J14" s="39" t="s">
        <v>1337</v>
      </c>
      <c r="K14" s="32">
        <v>43552</v>
      </c>
      <c r="L14" s="32">
        <v>44467</v>
      </c>
      <c r="M14" s="21">
        <f t="shared" ref="M14:M15" si="12">S14/AE14*100</f>
        <v>84.408145121705388</v>
      </c>
      <c r="N14" s="14">
        <v>7</v>
      </c>
      <c r="O14" s="14" t="s">
        <v>265</v>
      </c>
      <c r="P14" s="14" t="s">
        <v>609</v>
      </c>
      <c r="Q14" s="22" t="s">
        <v>212</v>
      </c>
      <c r="R14" s="14" t="s">
        <v>36</v>
      </c>
      <c r="S14" s="25">
        <f t="shared" si="10"/>
        <v>2846403.24</v>
      </c>
      <c r="T14" s="23">
        <v>2846403.24</v>
      </c>
      <c r="U14" s="23">
        <v>0</v>
      </c>
      <c r="V14" s="25">
        <f t="shared" si="11"/>
        <v>458343.2</v>
      </c>
      <c r="W14" s="23">
        <v>458343.2</v>
      </c>
      <c r="X14" s="23">
        <v>0</v>
      </c>
      <c r="Y14" s="25">
        <f t="shared" si="6"/>
        <v>43963.23</v>
      </c>
      <c r="Z14" s="23">
        <v>43963.23</v>
      </c>
      <c r="AA14" s="23">
        <v>0</v>
      </c>
      <c r="AB14" s="26">
        <f t="shared" ref="AB14:AB15" si="13">AC14+AD14</f>
        <v>23480.58</v>
      </c>
      <c r="AC14" s="37">
        <v>23480.58</v>
      </c>
      <c r="AD14" s="37">
        <v>0</v>
      </c>
      <c r="AE14" s="23">
        <f t="shared" ref="AE14" si="14">S14+V14+Y14+AB14</f>
        <v>3372190.2500000005</v>
      </c>
      <c r="AF14" s="23">
        <v>0</v>
      </c>
      <c r="AG14" s="26">
        <f t="shared" si="5"/>
        <v>3372190.2500000005</v>
      </c>
      <c r="AH14" s="27" t="s">
        <v>585</v>
      </c>
      <c r="AI14" s="34" t="s">
        <v>185</v>
      </c>
      <c r="AJ14" s="38">
        <v>337218</v>
      </c>
      <c r="AK14" s="1">
        <v>0</v>
      </c>
    </row>
    <row r="15" spans="1:37" ht="157.5" x14ac:dyDescent="0.25">
      <c r="A15" s="14">
        <v>11</v>
      </c>
      <c r="B15" s="35">
        <v>128599</v>
      </c>
      <c r="C15" s="18">
        <v>637</v>
      </c>
      <c r="D15" s="18" t="s">
        <v>174</v>
      </c>
      <c r="E15" s="15" t="s">
        <v>968</v>
      </c>
      <c r="F15" s="18" t="s">
        <v>1417</v>
      </c>
      <c r="G15" s="40" t="s">
        <v>1479</v>
      </c>
      <c r="H15" s="18" t="s">
        <v>1319</v>
      </c>
      <c r="I15" s="18" t="s">
        <v>185</v>
      </c>
      <c r="J15" s="39" t="s">
        <v>1480</v>
      </c>
      <c r="K15" s="32">
        <v>43634</v>
      </c>
      <c r="L15" s="32">
        <v>44365</v>
      </c>
      <c r="M15" s="21">
        <f t="shared" si="12"/>
        <v>85</v>
      </c>
      <c r="N15" s="14">
        <v>7</v>
      </c>
      <c r="O15" s="14" t="s">
        <v>932</v>
      </c>
      <c r="P15" s="14" t="s">
        <v>358</v>
      </c>
      <c r="Q15" s="22" t="s">
        <v>212</v>
      </c>
      <c r="R15" s="14" t="s">
        <v>36</v>
      </c>
      <c r="S15" s="25">
        <f t="shared" si="10"/>
        <v>848667.88</v>
      </c>
      <c r="T15" s="23">
        <v>848667.88</v>
      </c>
      <c r="U15" s="23">
        <v>0</v>
      </c>
      <c r="V15" s="25">
        <f t="shared" si="11"/>
        <v>129796.26</v>
      </c>
      <c r="W15" s="23">
        <v>129796.26</v>
      </c>
      <c r="X15" s="23">
        <v>0</v>
      </c>
      <c r="Y15" s="25">
        <f t="shared" ref="Y15" si="15">Z15+AA15</f>
        <v>19968.66</v>
      </c>
      <c r="Z15" s="23">
        <v>19968.66</v>
      </c>
      <c r="AA15" s="23">
        <v>0</v>
      </c>
      <c r="AB15" s="26">
        <f t="shared" si="13"/>
        <v>0</v>
      </c>
      <c r="AC15" s="37">
        <v>0</v>
      </c>
      <c r="AD15" s="37">
        <v>0</v>
      </c>
      <c r="AE15" s="23">
        <f t="shared" ref="AE15" si="16">S15+V15+Y15</f>
        <v>998432.8</v>
      </c>
      <c r="AF15" s="23"/>
      <c r="AG15" s="26">
        <f t="shared" si="5"/>
        <v>998432.8</v>
      </c>
      <c r="AH15" s="27" t="s">
        <v>585</v>
      </c>
      <c r="AI15" s="34"/>
      <c r="AJ15" s="38">
        <v>0</v>
      </c>
      <c r="AK15" s="1">
        <v>0</v>
      </c>
    </row>
    <row r="16" spans="1:37" ht="204.75" x14ac:dyDescent="0.25">
      <c r="A16" s="12">
        <v>12</v>
      </c>
      <c r="B16" s="13">
        <v>120637</v>
      </c>
      <c r="C16" s="8">
        <v>86</v>
      </c>
      <c r="D16" s="14" t="s">
        <v>171</v>
      </c>
      <c r="E16" s="15" t="s">
        <v>968</v>
      </c>
      <c r="F16" s="16" t="s">
        <v>331</v>
      </c>
      <c r="G16" s="17" t="s">
        <v>272</v>
      </c>
      <c r="H16" s="18" t="s">
        <v>273</v>
      </c>
      <c r="I16" s="14" t="s">
        <v>185</v>
      </c>
      <c r="J16" s="19" t="s">
        <v>1287</v>
      </c>
      <c r="K16" s="20">
        <v>43145</v>
      </c>
      <c r="L16" s="20">
        <v>43510</v>
      </c>
      <c r="M16" s="21">
        <f t="shared" ref="M16:M18" si="17">S16/AE16*100</f>
        <v>85.000001183738732</v>
      </c>
      <c r="N16" s="14">
        <v>5</v>
      </c>
      <c r="O16" s="14" t="s">
        <v>274</v>
      </c>
      <c r="P16" s="14" t="s">
        <v>274</v>
      </c>
      <c r="Q16" s="42" t="s">
        <v>212</v>
      </c>
      <c r="R16" s="14" t="s">
        <v>36</v>
      </c>
      <c r="S16" s="23">
        <f t="shared" ref="S16:S18" si="18">T16+U16</f>
        <v>359031.93</v>
      </c>
      <c r="T16" s="24">
        <v>359031.93</v>
      </c>
      <c r="U16" s="23">
        <v>0</v>
      </c>
      <c r="V16" s="23">
        <f t="shared" ref="V16:V18" si="19">W16+X16</f>
        <v>54910.76</v>
      </c>
      <c r="W16" s="23">
        <v>54910.76</v>
      </c>
      <c r="X16" s="23">
        <v>0</v>
      </c>
      <c r="Y16" s="23">
        <f t="shared" ref="Y16:Y18" si="20">Z16+AA16</f>
        <v>8447.81</v>
      </c>
      <c r="Z16" s="23">
        <v>8447.81</v>
      </c>
      <c r="AA16" s="23">
        <v>0</v>
      </c>
      <c r="AB16" s="23">
        <f>AC16+AD16</f>
        <v>0</v>
      </c>
      <c r="AC16" s="23"/>
      <c r="AD16" s="23"/>
      <c r="AE16" s="23">
        <f>S16+V16+Y16+AB16</f>
        <v>422390.5</v>
      </c>
      <c r="AF16" s="23">
        <v>0</v>
      </c>
      <c r="AG16" s="26">
        <f t="shared" si="5"/>
        <v>422390.5</v>
      </c>
      <c r="AH16" s="27" t="s">
        <v>1073</v>
      </c>
      <c r="AI16" s="28" t="s">
        <v>185</v>
      </c>
      <c r="AJ16" s="1">
        <f>50.58+71118.57+211342.81</f>
        <v>282511.96000000002</v>
      </c>
      <c r="AK16" s="29">
        <f>7.73+10876.95+32323.01</f>
        <v>43207.69</v>
      </c>
    </row>
    <row r="17" spans="1:37" ht="141.75" x14ac:dyDescent="0.25">
      <c r="A17" s="12">
        <v>13</v>
      </c>
      <c r="B17" s="13">
        <v>119520</v>
      </c>
      <c r="C17" s="13">
        <v>465</v>
      </c>
      <c r="D17" s="13" t="s">
        <v>684</v>
      </c>
      <c r="E17" s="18" t="s">
        <v>1041</v>
      </c>
      <c r="F17" s="15" t="s">
        <v>542</v>
      </c>
      <c r="G17" s="15" t="s">
        <v>757</v>
      </c>
      <c r="H17" s="18" t="s">
        <v>758</v>
      </c>
      <c r="I17" s="18" t="s">
        <v>759</v>
      </c>
      <c r="J17" s="15" t="s">
        <v>760</v>
      </c>
      <c r="K17" s="32">
        <v>43292</v>
      </c>
      <c r="L17" s="32">
        <v>43780</v>
      </c>
      <c r="M17" s="21">
        <f t="shared" si="17"/>
        <v>85.000001465751467</v>
      </c>
      <c r="N17" s="9">
        <v>5</v>
      </c>
      <c r="O17" s="14" t="s">
        <v>274</v>
      </c>
      <c r="P17" s="14" t="s">
        <v>274</v>
      </c>
      <c r="Q17" s="9" t="s">
        <v>212</v>
      </c>
      <c r="R17" s="14" t="s">
        <v>36</v>
      </c>
      <c r="S17" s="23">
        <f t="shared" si="18"/>
        <v>231962.93</v>
      </c>
      <c r="T17" s="29">
        <v>231962.93</v>
      </c>
      <c r="U17" s="43">
        <v>0</v>
      </c>
      <c r="V17" s="23">
        <f t="shared" si="19"/>
        <v>35476.67</v>
      </c>
      <c r="W17" s="29">
        <v>35476.67</v>
      </c>
      <c r="X17" s="43">
        <v>0</v>
      </c>
      <c r="Y17" s="23">
        <f t="shared" si="20"/>
        <v>5457.96</v>
      </c>
      <c r="Z17" s="29">
        <v>5457.96</v>
      </c>
      <c r="AA17" s="29">
        <v>0</v>
      </c>
      <c r="AB17" s="23">
        <f t="shared" ref="AB17:AB18" si="21">AC17+AD17</f>
        <v>0</v>
      </c>
      <c r="AC17" s="37">
        <v>0</v>
      </c>
      <c r="AD17" s="37">
        <v>0</v>
      </c>
      <c r="AE17" s="23">
        <f t="shared" ref="AE17:AE18" si="22">S17+V17+Y17+AB17</f>
        <v>272897.56</v>
      </c>
      <c r="AF17" s="34">
        <v>0</v>
      </c>
      <c r="AG17" s="26">
        <f t="shared" si="5"/>
        <v>272897.56</v>
      </c>
      <c r="AH17" s="27" t="s">
        <v>585</v>
      </c>
      <c r="AI17" s="34" t="s">
        <v>185</v>
      </c>
      <c r="AJ17" s="1">
        <v>24243.73</v>
      </c>
      <c r="AK17" s="29">
        <v>3707.87</v>
      </c>
    </row>
    <row r="18" spans="1:37" s="47" customFormat="1" ht="141.75" x14ac:dyDescent="0.25">
      <c r="A18" s="14">
        <v>14</v>
      </c>
      <c r="B18" s="35">
        <v>116692</v>
      </c>
      <c r="C18" s="18">
        <v>408</v>
      </c>
      <c r="D18" s="18" t="s">
        <v>843</v>
      </c>
      <c r="E18" s="15" t="s">
        <v>704</v>
      </c>
      <c r="F18" s="15" t="s">
        <v>610</v>
      </c>
      <c r="G18" s="15" t="s">
        <v>908</v>
      </c>
      <c r="H18" s="18" t="s">
        <v>758</v>
      </c>
      <c r="I18" s="18" t="s">
        <v>185</v>
      </c>
      <c r="J18" s="44" t="s">
        <v>909</v>
      </c>
      <c r="K18" s="32">
        <v>43321</v>
      </c>
      <c r="L18" s="32">
        <v>43720</v>
      </c>
      <c r="M18" s="45">
        <f t="shared" si="17"/>
        <v>85.000000534892237</v>
      </c>
      <c r="N18" s="18">
        <v>5</v>
      </c>
      <c r="O18" s="14" t="s">
        <v>274</v>
      </c>
      <c r="P18" s="14" t="s">
        <v>274</v>
      </c>
      <c r="Q18" s="9" t="s">
        <v>212</v>
      </c>
      <c r="R18" s="14" t="s">
        <v>36</v>
      </c>
      <c r="S18" s="26">
        <f t="shared" si="18"/>
        <v>317821.02</v>
      </c>
      <c r="T18" s="1">
        <v>317821.02</v>
      </c>
      <c r="U18" s="46">
        <v>0</v>
      </c>
      <c r="V18" s="26">
        <f t="shared" si="19"/>
        <v>48607.91</v>
      </c>
      <c r="W18" s="1">
        <v>48607.91</v>
      </c>
      <c r="X18" s="46">
        <v>0</v>
      </c>
      <c r="Y18" s="26">
        <f t="shared" si="20"/>
        <v>7478.15</v>
      </c>
      <c r="Z18" s="1">
        <v>7478.15</v>
      </c>
      <c r="AA18" s="1">
        <v>0</v>
      </c>
      <c r="AB18" s="26">
        <f t="shared" si="21"/>
        <v>0</v>
      </c>
      <c r="AC18" s="37">
        <v>0</v>
      </c>
      <c r="AD18" s="37">
        <v>0</v>
      </c>
      <c r="AE18" s="26">
        <f t="shared" si="22"/>
        <v>373907.08000000007</v>
      </c>
      <c r="AF18" s="27">
        <v>0</v>
      </c>
      <c r="AG18" s="26">
        <f t="shared" si="5"/>
        <v>373907.08000000007</v>
      </c>
      <c r="AH18" s="27" t="s">
        <v>585</v>
      </c>
      <c r="AI18" s="34" t="s">
        <v>185</v>
      </c>
      <c r="AJ18" s="1">
        <v>8730.06</v>
      </c>
      <c r="AK18" s="1">
        <v>1335.19</v>
      </c>
    </row>
    <row r="19" spans="1:37" s="47" customFormat="1" ht="409.5" x14ac:dyDescent="0.25">
      <c r="A19" s="12">
        <v>15</v>
      </c>
      <c r="B19" s="35">
        <v>126495</v>
      </c>
      <c r="C19" s="18">
        <v>558</v>
      </c>
      <c r="D19" s="18" t="s">
        <v>174</v>
      </c>
      <c r="E19" s="15" t="s">
        <v>968</v>
      </c>
      <c r="F19" s="15" t="s">
        <v>1135</v>
      </c>
      <c r="G19" s="15" t="s">
        <v>1371</v>
      </c>
      <c r="H19" s="18" t="s">
        <v>273</v>
      </c>
      <c r="I19" s="18" t="s">
        <v>185</v>
      </c>
      <c r="J19" s="44" t="s">
        <v>1372</v>
      </c>
      <c r="K19" s="32">
        <v>43570</v>
      </c>
      <c r="L19" s="32">
        <v>44423</v>
      </c>
      <c r="M19" s="45">
        <f t="shared" ref="M19" si="23">S19/AE19*100</f>
        <v>85</v>
      </c>
      <c r="N19" s="18">
        <v>5</v>
      </c>
      <c r="O19" s="14" t="s">
        <v>274</v>
      </c>
      <c r="P19" s="14" t="s">
        <v>274</v>
      </c>
      <c r="Q19" s="9" t="s">
        <v>212</v>
      </c>
      <c r="R19" s="14" t="s">
        <v>36</v>
      </c>
      <c r="S19" s="26">
        <f t="shared" ref="S19" si="24">T19+U19</f>
        <v>3025356.04</v>
      </c>
      <c r="T19" s="1">
        <v>3025356.04</v>
      </c>
      <c r="U19" s="46">
        <v>0</v>
      </c>
      <c r="V19" s="26">
        <f t="shared" ref="V19" si="25">W19+X19</f>
        <v>462701.51</v>
      </c>
      <c r="W19" s="1">
        <v>462701.51</v>
      </c>
      <c r="X19" s="46">
        <v>0</v>
      </c>
      <c r="Y19" s="26">
        <f t="shared" ref="Y19" si="26">Z19+AA19</f>
        <v>71184.850000000006</v>
      </c>
      <c r="Z19" s="1">
        <v>71184.850000000006</v>
      </c>
      <c r="AA19" s="1">
        <v>0</v>
      </c>
      <c r="AB19" s="26">
        <f>AC19+AD19</f>
        <v>0</v>
      </c>
      <c r="AC19" s="37"/>
      <c r="AD19" s="37"/>
      <c r="AE19" s="26">
        <f>S19+V19+Y19+AB19</f>
        <v>3559242.4</v>
      </c>
      <c r="AF19" s="27">
        <v>0</v>
      </c>
      <c r="AG19" s="26">
        <f t="shared" si="5"/>
        <v>3559242.4</v>
      </c>
      <c r="AH19" s="27" t="s">
        <v>871</v>
      </c>
      <c r="AI19" s="34"/>
      <c r="AJ19" s="1">
        <v>0</v>
      </c>
      <c r="AK19" s="1">
        <v>0</v>
      </c>
    </row>
    <row r="20" spans="1:37" ht="189" x14ac:dyDescent="0.25">
      <c r="A20" s="12">
        <v>16</v>
      </c>
      <c r="B20" s="13">
        <v>120652</v>
      </c>
      <c r="C20" s="8">
        <v>91</v>
      </c>
      <c r="D20" s="14" t="s">
        <v>173</v>
      </c>
      <c r="E20" s="15" t="s">
        <v>968</v>
      </c>
      <c r="F20" s="16" t="s">
        <v>331</v>
      </c>
      <c r="G20" s="17" t="s">
        <v>239</v>
      </c>
      <c r="H20" s="17" t="s">
        <v>244</v>
      </c>
      <c r="I20" s="14" t="s">
        <v>185</v>
      </c>
      <c r="J20" s="48" t="s">
        <v>245</v>
      </c>
      <c r="K20" s="20">
        <v>43145</v>
      </c>
      <c r="L20" s="20">
        <v>43510</v>
      </c>
      <c r="M20" s="21">
        <f t="shared" ref="M20:M27" si="27">S20/AE20*100</f>
        <v>84.999999389755786</v>
      </c>
      <c r="N20" s="14">
        <v>3</v>
      </c>
      <c r="O20" s="14" t="s">
        <v>241</v>
      </c>
      <c r="P20" s="14" t="s">
        <v>243</v>
      </c>
      <c r="Q20" s="42" t="s">
        <v>212</v>
      </c>
      <c r="R20" s="14" t="s">
        <v>36</v>
      </c>
      <c r="S20" s="23">
        <f t="shared" ref="S20" si="28">T20+U20</f>
        <v>348221.24</v>
      </c>
      <c r="T20" s="23">
        <v>348221.24</v>
      </c>
      <c r="U20" s="23">
        <v>0</v>
      </c>
      <c r="V20" s="23">
        <f t="shared" ref="V20:V27" si="29">W20+X20</f>
        <v>53257.37</v>
      </c>
      <c r="W20" s="23">
        <v>53257.37</v>
      </c>
      <c r="X20" s="23">
        <v>0</v>
      </c>
      <c r="Y20" s="23">
        <f t="shared" ref="Y20:Y27" si="30">Z20+AA20</f>
        <v>8193.44</v>
      </c>
      <c r="Z20" s="23">
        <v>8193.44</v>
      </c>
      <c r="AA20" s="23">
        <v>0</v>
      </c>
      <c r="AB20" s="23">
        <f>AC20+AD20</f>
        <v>0</v>
      </c>
      <c r="AC20" s="23"/>
      <c r="AD20" s="23"/>
      <c r="AE20" s="23">
        <f>S20+V20+Y20+AB20</f>
        <v>409672.05</v>
      </c>
      <c r="AF20" s="23">
        <v>0</v>
      </c>
      <c r="AG20" s="26">
        <f t="shared" si="5"/>
        <v>409672.05</v>
      </c>
      <c r="AH20" s="27" t="s">
        <v>1073</v>
      </c>
      <c r="AI20" s="28" t="s">
        <v>1126</v>
      </c>
      <c r="AJ20" s="1">
        <f>12919.73+21747.25+49513.87-529.62+197106.06+10487.81+43247.58</f>
        <v>334492.68000000005</v>
      </c>
      <c r="AK20" s="49">
        <f>12122.18+529.62+30287.56+1604.02+6614.33</f>
        <v>51157.71</v>
      </c>
    </row>
    <row r="21" spans="1:37" ht="173.25" x14ac:dyDescent="0.25">
      <c r="A21" s="14">
        <v>17</v>
      </c>
      <c r="B21" s="13">
        <v>118191</v>
      </c>
      <c r="C21" s="50">
        <v>423</v>
      </c>
      <c r="D21" s="14" t="s">
        <v>684</v>
      </c>
      <c r="E21" s="15" t="s">
        <v>704</v>
      </c>
      <c r="F21" s="16" t="s">
        <v>610</v>
      </c>
      <c r="G21" s="17" t="s">
        <v>698</v>
      </c>
      <c r="H21" s="15" t="s">
        <v>699</v>
      </c>
      <c r="I21" s="18"/>
      <c r="J21" s="19" t="s">
        <v>700</v>
      </c>
      <c r="K21" s="20">
        <v>43284</v>
      </c>
      <c r="L21" s="20">
        <v>43649</v>
      </c>
      <c r="M21" s="21">
        <f t="shared" si="27"/>
        <v>85.000001358659858</v>
      </c>
      <c r="N21" s="14">
        <v>3</v>
      </c>
      <c r="O21" s="14" t="s">
        <v>241</v>
      </c>
      <c r="P21" s="14" t="s">
        <v>243</v>
      </c>
      <c r="Q21" s="22" t="s">
        <v>212</v>
      </c>
      <c r="R21" s="18" t="s">
        <v>36</v>
      </c>
      <c r="S21" s="51">
        <v>250246.6</v>
      </c>
      <c r="T21" s="1">
        <v>250246.6</v>
      </c>
      <c r="U21" s="23">
        <v>0</v>
      </c>
      <c r="V21" s="51">
        <f t="shared" si="29"/>
        <v>38273</v>
      </c>
      <c r="W21" s="52">
        <v>38273</v>
      </c>
      <c r="X21" s="23">
        <v>0</v>
      </c>
      <c r="Y21" s="51">
        <v>5888.16</v>
      </c>
      <c r="Z21" s="23">
        <v>5888.16</v>
      </c>
      <c r="AA21" s="23">
        <v>0</v>
      </c>
      <c r="AB21" s="23">
        <f t="shared" ref="AB21:AB30" si="31">AC21+AD21</f>
        <v>0</v>
      </c>
      <c r="AC21" s="23">
        <v>0</v>
      </c>
      <c r="AD21" s="23">
        <v>0</v>
      </c>
      <c r="AE21" s="23">
        <f>S21+V21+Y21</f>
        <v>294407.75999999995</v>
      </c>
      <c r="AF21" s="23"/>
      <c r="AG21" s="26">
        <f t="shared" si="5"/>
        <v>294407.75999999995</v>
      </c>
      <c r="AH21" s="27" t="s">
        <v>585</v>
      </c>
      <c r="AI21" s="53" t="s">
        <v>185</v>
      </c>
      <c r="AJ21" s="54">
        <f>36499+66741.15+31009.7</f>
        <v>134249.85</v>
      </c>
      <c r="AK21" s="29">
        <f>5582.2+10207.47+4742.66</f>
        <v>20532.329999999998</v>
      </c>
    </row>
    <row r="22" spans="1:37" ht="157.5" x14ac:dyDescent="0.25">
      <c r="A22" s="12">
        <v>18</v>
      </c>
      <c r="B22" s="7">
        <v>118741</v>
      </c>
      <c r="C22" s="8">
        <v>459</v>
      </c>
      <c r="D22" s="9" t="s">
        <v>172</v>
      </c>
      <c r="E22" s="18" t="s">
        <v>1041</v>
      </c>
      <c r="F22" s="15" t="s">
        <v>542</v>
      </c>
      <c r="G22" s="15" t="s">
        <v>729</v>
      </c>
      <c r="H22" s="15" t="s">
        <v>730</v>
      </c>
      <c r="I22" s="9" t="s">
        <v>185</v>
      </c>
      <c r="J22" s="15" t="s">
        <v>731</v>
      </c>
      <c r="K22" s="20">
        <v>43290</v>
      </c>
      <c r="L22" s="32">
        <v>43778</v>
      </c>
      <c r="M22" s="21">
        <f t="shared" si="27"/>
        <v>85.00000356420064</v>
      </c>
      <c r="N22" s="14">
        <v>3</v>
      </c>
      <c r="O22" s="32" t="s">
        <v>241</v>
      </c>
      <c r="P22" s="32" t="s">
        <v>243</v>
      </c>
      <c r="Q22" s="32" t="s">
        <v>212</v>
      </c>
      <c r="R22" s="14" t="s">
        <v>36</v>
      </c>
      <c r="S22" s="25">
        <v>512737.71</v>
      </c>
      <c r="T22" s="23">
        <v>512737.71</v>
      </c>
      <c r="U22" s="23">
        <v>0</v>
      </c>
      <c r="V22" s="25">
        <v>78418.69</v>
      </c>
      <c r="W22" s="23">
        <v>78418.69</v>
      </c>
      <c r="X22" s="23">
        <v>0</v>
      </c>
      <c r="Y22" s="23">
        <v>12064.41</v>
      </c>
      <c r="Z22" s="23">
        <v>12064.41</v>
      </c>
      <c r="AA22" s="23">
        <v>0</v>
      </c>
      <c r="AB22" s="23">
        <f t="shared" si="31"/>
        <v>0</v>
      </c>
      <c r="AC22" s="23">
        <v>0</v>
      </c>
      <c r="AD22" s="23">
        <v>0</v>
      </c>
      <c r="AE22" s="23">
        <f>S22+V22+Y22</f>
        <v>603220.81000000006</v>
      </c>
      <c r="AF22" s="34"/>
      <c r="AG22" s="26">
        <f t="shared" si="5"/>
        <v>603220.81000000006</v>
      </c>
      <c r="AH22" s="27" t="s">
        <v>585</v>
      </c>
      <c r="AI22" s="34"/>
      <c r="AJ22" s="29">
        <f>37011.15+21320.94+41999.8</f>
        <v>100331.89</v>
      </c>
      <c r="AK22" s="29">
        <f>5660.53+3260.85+6423.49</f>
        <v>15344.869999999999</v>
      </c>
    </row>
    <row r="23" spans="1:37" ht="204.75" x14ac:dyDescent="0.25">
      <c r="A23" s="12">
        <v>19</v>
      </c>
      <c r="B23" s="7">
        <v>126349</v>
      </c>
      <c r="C23" s="8">
        <v>566</v>
      </c>
      <c r="D23" s="9" t="s">
        <v>175</v>
      </c>
      <c r="E23" s="18" t="s">
        <v>1041</v>
      </c>
      <c r="F23" s="15" t="s">
        <v>1135</v>
      </c>
      <c r="G23" s="15" t="s">
        <v>1235</v>
      </c>
      <c r="H23" s="15" t="s">
        <v>699</v>
      </c>
      <c r="I23" s="9" t="s">
        <v>185</v>
      </c>
      <c r="J23" s="15" t="s">
        <v>1236</v>
      </c>
      <c r="K23" s="20">
        <v>43482</v>
      </c>
      <c r="L23" s="32">
        <v>44212</v>
      </c>
      <c r="M23" s="21">
        <f t="shared" ref="M23" si="32">S23/AE23*100</f>
        <v>85.000000750761799</v>
      </c>
      <c r="N23" s="14">
        <v>3</v>
      </c>
      <c r="O23" s="32" t="s">
        <v>241</v>
      </c>
      <c r="P23" s="32" t="s">
        <v>243</v>
      </c>
      <c r="Q23" s="32" t="s">
        <v>212</v>
      </c>
      <c r="R23" s="14" t="s">
        <v>36</v>
      </c>
      <c r="S23" s="25">
        <f>T23+U23</f>
        <v>3396550.05</v>
      </c>
      <c r="T23" s="23">
        <v>3396550.05</v>
      </c>
      <c r="U23" s="23">
        <v>0</v>
      </c>
      <c r="V23" s="25">
        <f>W23+X23</f>
        <v>519472.32</v>
      </c>
      <c r="W23" s="23">
        <v>519472.32</v>
      </c>
      <c r="X23" s="23">
        <v>0</v>
      </c>
      <c r="Y23" s="23">
        <f>Z23+AA23</f>
        <v>79918.83</v>
      </c>
      <c r="Z23" s="23">
        <v>79918.83</v>
      </c>
      <c r="AA23" s="23">
        <v>0</v>
      </c>
      <c r="AB23" s="23">
        <f>AC23+AD23</f>
        <v>0</v>
      </c>
      <c r="AC23" s="23">
        <v>0</v>
      </c>
      <c r="AD23" s="23">
        <v>0</v>
      </c>
      <c r="AE23" s="23">
        <f>S23+V23+Y23+AB23</f>
        <v>3995941.1999999997</v>
      </c>
      <c r="AF23" s="34">
        <v>0</v>
      </c>
      <c r="AG23" s="26">
        <f t="shared" si="5"/>
        <v>3995941.1999999997</v>
      </c>
      <c r="AH23" s="27" t="s">
        <v>585</v>
      </c>
      <c r="AI23" s="34"/>
      <c r="AJ23" s="29">
        <v>5464.65</v>
      </c>
      <c r="AK23" s="29">
        <v>835.77</v>
      </c>
    </row>
    <row r="24" spans="1:37" ht="189" x14ac:dyDescent="0.25">
      <c r="A24" s="14">
        <v>20</v>
      </c>
      <c r="B24" s="7">
        <v>128987</v>
      </c>
      <c r="C24" s="8">
        <v>649</v>
      </c>
      <c r="D24" s="9" t="s">
        <v>163</v>
      </c>
      <c r="E24" s="15" t="s">
        <v>968</v>
      </c>
      <c r="F24" s="55" t="s">
        <v>1417</v>
      </c>
      <c r="G24" s="56" t="s">
        <v>1456</v>
      </c>
      <c r="H24" s="17" t="s">
        <v>730</v>
      </c>
      <c r="I24" s="9" t="s">
        <v>185</v>
      </c>
      <c r="J24" s="15" t="s">
        <v>1457</v>
      </c>
      <c r="K24" s="20">
        <v>43626</v>
      </c>
      <c r="L24" s="32">
        <v>44540</v>
      </c>
      <c r="M24" s="21">
        <f>S24/AE24*100</f>
        <v>85.000000101931988</v>
      </c>
      <c r="N24" s="14">
        <v>3</v>
      </c>
      <c r="O24" s="32" t="s">
        <v>241</v>
      </c>
      <c r="P24" s="32" t="s">
        <v>243</v>
      </c>
      <c r="Q24" s="32" t="s">
        <v>212</v>
      </c>
      <c r="R24" s="14" t="s">
        <v>36</v>
      </c>
      <c r="S24" s="25">
        <f>T24+U24</f>
        <v>2501668.17</v>
      </c>
      <c r="T24" s="23">
        <v>2501668.17</v>
      </c>
      <c r="U24" s="23">
        <v>0</v>
      </c>
      <c r="V24" s="25">
        <f>W24+X24</f>
        <v>382608.07</v>
      </c>
      <c r="W24" s="23">
        <v>382608.07</v>
      </c>
      <c r="X24" s="23">
        <v>0</v>
      </c>
      <c r="Y24" s="23">
        <f>Z24+AA24</f>
        <v>58862.78</v>
      </c>
      <c r="Z24" s="23">
        <v>58862.78</v>
      </c>
      <c r="AA24" s="23">
        <v>0</v>
      </c>
      <c r="AB24" s="23">
        <f>AC24+AD24</f>
        <v>0</v>
      </c>
      <c r="AC24" s="23">
        <v>0</v>
      </c>
      <c r="AD24" s="23">
        <v>0</v>
      </c>
      <c r="AE24" s="23">
        <f>S24+V24+Y24+AB24</f>
        <v>2943139.0199999996</v>
      </c>
      <c r="AF24" s="57">
        <v>0</v>
      </c>
      <c r="AG24" s="26">
        <f t="shared" si="5"/>
        <v>2943139.0199999996</v>
      </c>
      <c r="AH24" s="27" t="s">
        <v>585</v>
      </c>
      <c r="AI24" s="34" t="s">
        <v>185</v>
      </c>
      <c r="AJ24" s="29"/>
      <c r="AK24" s="29"/>
    </row>
    <row r="25" spans="1:37" ht="220.5" x14ac:dyDescent="0.25">
      <c r="A25" s="12">
        <v>21</v>
      </c>
      <c r="B25" s="7">
        <v>119613</v>
      </c>
      <c r="C25" s="8">
        <v>461</v>
      </c>
      <c r="D25" s="9" t="s">
        <v>684</v>
      </c>
      <c r="E25" s="18" t="s">
        <v>1041</v>
      </c>
      <c r="F25" s="15" t="s">
        <v>542</v>
      </c>
      <c r="G25" s="15" t="s">
        <v>899</v>
      </c>
      <c r="H25" s="18" t="s">
        <v>900</v>
      </c>
      <c r="I25" s="9" t="s">
        <v>185</v>
      </c>
      <c r="J25" s="15" t="s">
        <v>901</v>
      </c>
      <c r="K25" s="20">
        <v>43320</v>
      </c>
      <c r="L25" s="32">
        <v>43646</v>
      </c>
      <c r="M25" s="18">
        <f t="shared" si="27"/>
        <v>85.00000179686964</v>
      </c>
      <c r="N25" s="18">
        <v>1</v>
      </c>
      <c r="O25" s="18" t="s">
        <v>345</v>
      </c>
      <c r="P25" s="18" t="s">
        <v>345</v>
      </c>
      <c r="Q25" s="32" t="s">
        <v>212</v>
      </c>
      <c r="R25" s="14" t="s">
        <v>36</v>
      </c>
      <c r="S25" s="26">
        <f t="shared" ref="S25" si="33">T25+U25</f>
        <v>236522.45</v>
      </c>
      <c r="T25" s="23">
        <v>236522.45</v>
      </c>
      <c r="U25" s="26">
        <v>0</v>
      </c>
      <c r="V25" s="58">
        <f t="shared" ref="V25" si="34">W25+X25</f>
        <v>36174.019999999997</v>
      </c>
      <c r="W25" s="24">
        <v>36174.019999999997</v>
      </c>
      <c r="X25" s="58">
        <v>0</v>
      </c>
      <c r="Y25" s="59">
        <f t="shared" ref="Y25" si="35">Z25+AA25</f>
        <v>5565.23</v>
      </c>
      <c r="Z25" s="24">
        <v>5565.23</v>
      </c>
      <c r="AA25" s="59">
        <v>0</v>
      </c>
      <c r="AB25" s="26">
        <v>0</v>
      </c>
      <c r="AC25" s="26">
        <v>0</v>
      </c>
      <c r="AD25" s="26">
        <v>0</v>
      </c>
      <c r="AE25" s="26">
        <f>S25+V25+Y25+AB25</f>
        <v>278261.7</v>
      </c>
      <c r="AF25" s="26">
        <v>37449.300000000003</v>
      </c>
      <c r="AG25" s="26">
        <f t="shared" si="5"/>
        <v>315711</v>
      </c>
      <c r="AH25" s="27" t="s">
        <v>585</v>
      </c>
      <c r="AI25" s="53" t="s">
        <v>1432</v>
      </c>
      <c r="AJ25" s="1">
        <f>36606.19+59255.8+16345.84+70944.19</f>
        <v>183152.02000000002</v>
      </c>
      <c r="AK25" s="29">
        <f>5598.59+9062.65+2499.95+10850.29</f>
        <v>28011.48</v>
      </c>
    </row>
    <row r="26" spans="1:37" ht="409.5" x14ac:dyDescent="0.25">
      <c r="A26" s="12">
        <v>22</v>
      </c>
      <c r="B26" s="7">
        <v>118515</v>
      </c>
      <c r="C26" s="8">
        <v>429</v>
      </c>
      <c r="D26" s="9" t="s">
        <v>843</v>
      </c>
      <c r="E26" s="15" t="s">
        <v>704</v>
      </c>
      <c r="F26" s="15" t="s">
        <v>610</v>
      </c>
      <c r="G26" s="15" t="s">
        <v>949</v>
      </c>
      <c r="H26" s="18" t="s">
        <v>900</v>
      </c>
      <c r="I26" s="9" t="s">
        <v>185</v>
      </c>
      <c r="J26" s="15" t="s">
        <v>950</v>
      </c>
      <c r="K26" s="20">
        <v>43333</v>
      </c>
      <c r="L26" s="32">
        <v>43820</v>
      </c>
      <c r="M26" s="60">
        <f t="shared" si="27"/>
        <v>85</v>
      </c>
      <c r="N26" s="18">
        <v>1</v>
      </c>
      <c r="O26" s="18" t="s">
        <v>345</v>
      </c>
      <c r="P26" s="18" t="s">
        <v>345</v>
      </c>
      <c r="Q26" s="32" t="s">
        <v>212</v>
      </c>
      <c r="R26" s="14" t="s">
        <v>36</v>
      </c>
      <c r="S26" s="23">
        <f t="shared" ref="S26:S27" si="36">T26+U26</f>
        <v>339452.6</v>
      </c>
      <c r="T26" s="29">
        <v>339452.6</v>
      </c>
      <c r="U26" s="29">
        <v>0</v>
      </c>
      <c r="V26" s="23">
        <f t="shared" si="29"/>
        <v>51916.28</v>
      </c>
      <c r="W26" s="29">
        <v>51916.28</v>
      </c>
      <c r="X26" s="33">
        <v>0</v>
      </c>
      <c r="Y26" s="23">
        <f t="shared" si="30"/>
        <v>7987.12</v>
      </c>
      <c r="Z26" s="29">
        <v>7987.12</v>
      </c>
      <c r="AA26" s="29">
        <v>0</v>
      </c>
      <c r="AB26" s="23">
        <f t="shared" si="31"/>
        <v>0</v>
      </c>
      <c r="AC26" s="26">
        <v>0</v>
      </c>
      <c r="AD26" s="26">
        <v>0</v>
      </c>
      <c r="AE26" s="23">
        <f>S26+W26+Z26</f>
        <v>399356</v>
      </c>
      <c r="AF26" s="26">
        <v>58024.99</v>
      </c>
      <c r="AG26" s="26">
        <f t="shared" si="5"/>
        <v>457380.99</v>
      </c>
      <c r="AH26" s="27" t="s">
        <v>585</v>
      </c>
      <c r="AI26" s="53" t="s">
        <v>185</v>
      </c>
      <c r="AJ26" s="1">
        <f>17436.62+39132.39-4546.98+30717.43</f>
        <v>82739.459999999992</v>
      </c>
      <c r="AK26" s="1">
        <f>2549.38+4546.98+4697.96</f>
        <v>11794.32</v>
      </c>
    </row>
    <row r="27" spans="1:37" ht="220.5" x14ac:dyDescent="0.25">
      <c r="A27" s="14">
        <v>23</v>
      </c>
      <c r="B27" s="7">
        <v>126161</v>
      </c>
      <c r="C27" s="8">
        <v>571</v>
      </c>
      <c r="D27" s="9" t="s">
        <v>176</v>
      </c>
      <c r="E27" s="15" t="s">
        <v>968</v>
      </c>
      <c r="F27" s="15" t="s">
        <v>1135</v>
      </c>
      <c r="G27" s="15" t="s">
        <v>1168</v>
      </c>
      <c r="H27" s="18" t="s">
        <v>1167</v>
      </c>
      <c r="I27" s="9" t="s">
        <v>185</v>
      </c>
      <c r="J27" s="15" t="s">
        <v>1169</v>
      </c>
      <c r="K27" s="20">
        <v>43444</v>
      </c>
      <c r="L27" s="32">
        <v>44265</v>
      </c>
      <c r="M27" s="60">
        <f t="shared" si="27"/>
        <v>84.999999835393808</v>
      </c>
      <c r="N27" s="18">
        <v>1</v>
      </c>
      <c r="O27" s="18" t="s">
        <v>345</v>
      </c>
      <c r="P27" s="18" t="s">
        <v>345</v>
      </c>
      <c r="Q27" s="32" t="s">
        <v>212</v>
      </c>
      <c r="R27" s="14" t="s">
        <v>36</v>
      </c>
      <c r="S27" s="23">
        <f t="shared" si="36"/>
        <v>2323727.9300000002</v>
      </c>
      <c r="T27" s="29">
        <v>2323727.9300000002</v>
      </c>
      <c r="U27" s="29">
        <v>0</v>
      </c>
      <c r="V27" s="23">
        <f t="shared" si="29"/>
        <v>355393.68</v>
      </c>
      <c r="W27" s="29">
        <v>355393.68</v>
      </c>
      <c r="X27" s="33">
        <v>0</v>
      </c>
      <c r="Y27" s="23">
        <f t="shared" si="30"/>
        <v>54675.96</v>
      </c>
      <c r="Z27" s="29">
        <v>54675.96</v>
      </c>
      <c r="AA27" s="29">
        <v>0</v>
      </c>
      <c r="AB27" s="23">
        <f t="shared" si="31"/>
        <v>0</v>
      </c>
      <c r="AC27" s="26">
        <v>0</v>
      </c>
      <c r="AD27" s="26">
        <v>0</v>
      </c>
      <c r="AE27" s="23">
        <f t="shared" ref="AE27" si="37">S27+W27+Z27</f>
        <v>2733797.5700000003</v>
      </c>
      <c r="AF27" s="26">
        <v>80920</v>
      </c>
      <c r="AG27" s="26">
        <f t="shared" si="5"/>
        <v>2814717.5700000003</v>
      </c>
      <c r="AH27" s="27" t="s">
        <v>585</v>
      </c>
      <c r="AI27" s="53"/>
      <c r="AJ27" s="1">
        <v>43440.27</v>
      </c>
      <c r="AK27" s="1">
        <v>6643.81</v>
      </c>
    </row>
    <row r="28" spans="1:37" ht="236.25" x14ac:dyDescent="0.25">
      <c r="A28" s="12">
        <v>24</v>
      </c>
      <c r="B28" s="7">
        <v>128880</v>
      </c>
      <c r="C28" s="8">
        <v>652</v>
      </c>
      <c r="D28" s="9" t="s">
        <v>176</v>
      </c>
      <c r="E28" s="15" t="s">
        <v>968</v>
      </c>
      <c r="F28" s="15" t="s">
        <v>1417</v>
      </c>
      <c r="G28" s="15" t="s">
        <v>1514</v>
      </c>
      <c r="H28" s="18" t="s">
        <v>900</v>
      </c>
      <c r="I28" s="9" t="s">
        <v>185</v>
      </c>
      <c r="J28" s="15" t="s">
        <v>1515</v>
      </c>
      <c r="K28" s="20">
        <v>43643</v>
      </c>
      <c r="L28" s="32">
        <v>44374</v>
      </c>
      <c r="M28" s="60">
        <f>S28/AE28*100</f>
        <v>85</v>
      </c>
      <c r="N28" s="18">
        <v>1</v>
      </c>
      <c r="O28" s="18" t="s">
        <v>345</v>
      </c>
      <c r="P28" s="18" t="s">
        <v>345</v>
      </c>
      <c r="Q28" s="32" t="s">
        <v>212</v>
      </c>
      <c r="R28" s="14" t="s">
        <v>36</v>
      </c>
      <c r="S28" s="23">
        <f>T28+U28</f>
        <v>2545487.35</v>
      </c>
      <c r="T28" s="29">
        <v>2545487.35</v>
      </c>
      <c r="U28" s="29">
        <v>0</v>
      </c>
      <c r="V28" s="23">
        <f>W28+X28</f>
        <v>389309.83</v>
      </c>
      <c r="W28" s="29">
        <v>389309.83</v>
      </c>
      <c r="X28" s="29">
        <v>0</v>
      </c>
      <c r="Y28" s="23">
        <f>Z28+AA28</f>
        <v>59893.82</v>
      </c>
      <c r="Z28" s="29">
        <v>59893.82</v>
      </c>
      <c r="AA28" s="29">
        <v>0</v>
      </c>
      <c r="AB28" s="23">
        <f>AC28+AD28</f>
        <v>0</v>
      </c>
      <c r="AC28" s="61">
        <v>0</v>
      </c>
      <c r="AD28" s="61">
        <v>0</v>
      </c>
      <c r="AE28" s="23">
        <f>S28+W28+Z28</f>
        <v>2994691</v>
      </c>
      <c r="AF28" s="26">
        <v>0</v>
      </c>
      <c r="AG28" s="26">
        <f t="shared" si="5"/>
        <v>2994691</v>
      </c>
      <c r="AH28" s="27"/>
      <c r="AI28" s="53"/>
      <c r="AJ28" s="1"/>
      <c r="AK28" s="1"/>
    </row>
    <row r="29" spans="1:37" ht="186" customHeight="1" x14ac:dyDescent="0.25">
      <c r="A29" s="12">
        <v>25</v>
      </c>
      <c r="B29" s="13">
        <v>122823</v>
      </c>
      <c r="C29" s="8">
        <v>71</v>
      </c>
      <c r="D29" s="15" t="s">
        <v>684</v>
      </c>
      <c r="E29" s="15" t="s">
        <v>968</v>
      </c>
      <c r="F29" s="16" t="s">
        <v>331</v>
      </c>
      <c r="G29" s="62" t="s">
        <v>499</v>
      </c>
      <c r="H29" s="15" t="s">
        <v>497</v>
      </c>
      <c r="I29" s="18" t="s">
        <v>185</v>
      </c>
      <c r="J29" s="19" t="s">
        <v>498</v>
      </c>
      <c r="K29" s="20">
        <v>43244</v>
      </c>
      <c r="L29" s="32">
        <v>43732</v>
      </c>
      <c r="M29" s="63">
        <f t="shared" ref="M29:M30" si="38">S29/AE29*100</f>
        <v>85.000001791562255</v>
      </c>
      <c r="N29" s="18">
        <v>6</v>
      </c>
      <c r="O29" s="15" t="s">
        <v>495</v>
      </c>
      <c r="P29" s="15" t="s">
        <v>496</v>
      </c>
      <c r="Q29" s="62" t="s">
        <v>212</v>
      </c>
      <c r="R29" s="15" t="s">
        <v>36</v>
      </c>
      <c r="S29" s="26">
        <f t="shared" ref="S29" si="39">T29+U29</f>
        <v>355834.7</v>
      </c>
      <c r="T29" s="29">
        <v>355834.7</v>
      </c>
      <c r="U29" s="26">
        <v>0</v>
      </c>
      <c r="V29" s="58">
        <f t="shared" ref="V29" si="40">W29+X29</f>
        <v>54421.769999999982</v>
      </c>
      <c r="W29" s="1">
        <v>54421.769999999982</v>
      </c>
      <c r="X29" s="58">
        <v>0</v>
      </c>
      <c r="Y29" s="59">
        <f t="shared" ref="Y29" si="41">Z29+AA29</f>
        <v>8372.58</v>
      </c>
      <c r="Z29" s="24">
        <v>8372.58</v>
      </c>
      <c r="AA29" s="59">
        <v>0</v>
      </c>
      <c r="AB29" s="26">
        <v>0</v>
      </c>
      <c r="AC29" s="26"/>
      <c r="AD29" s="26"/>
      <c r="AE29" s="26">
        <f>S29+V29+Y29+AB29</f>
        <v>418629.05</v>
      </c>
      <c r="AF29" s="26">
        <v>0</v>
      </c>
      <c r="AG29" s="26">
        <f t="shared" si="5"/>
        <v>418629.05</v>
      </c>
      <c r="AH29" s="27" t="s">
        <v>585</v>
      </c>
      <c r="AI29" s="53" t="s">
        <v>185</v>
      </c>
      <c r="AJ29" s="1">
        <f>75266.37-5365.18+40445.22-5442.14+41025.35-5438.13+40995.18-5548.59</f>
        <v>175938.08</v>
      </c>
      <c r="AK29" s="29">
        <f>5108.77+5365.18+5442.14+5438.13+5548.59</f>
        <v>26902.81</v>
      </c>
    </row>
    <row r="30" spans="1:37" ht="204.75" x14ac:dyDescent="0.25">
      <c r="A30" s="14">
        <v>26</v>
      </c>
      <c r="B30" s="16">
        <v>119767</v>
      </c>
      <c r="C30" s="16">
        <v>475</v>
      </c>
      <c r="D30" s="16" t="s">
        <v>1074</v>
      </c>
      <c r="E30" s="18" t="s">
        <v>1041</v>
      </c>
      <c r="F30" s="15" t="s">
        <v>542</v>
      </c>
      <c r="G30" s="62" t="s">
        <v>832</v>
      </c>
      <c r="H30" s="62" t="s">
        <v>833</v>
      </c>
      <c r="I30" s="18" t="s">
        <v>185</v>
      </c>
      <c r="J30" s="19" t="s">
        <v>834</v>
      </c>
      <c r="K30" s="20">
        <v>43306</v>
      </c>
      <c r="L30" s="32">
        <v>43794</v>
      </c>
      <c r="M30" s="63">
        <f t="shared" si="38"/>
        <v>85.000000000000014</v>
      </c>
      <c r="N30" s="14">
        <v>6</v>
      </c>
      <c r="O30" s="32" t="s">
        <v>495</v>
      </c>
      <c r="P30" s="32" t="s">
        <v>835</v>
      </c>
      <c r="Q30" s="32" t="s">
        <v>212</v>
      </c>
      <c r="R30" s="14" t="s">
        <v>36</v>
      </c>
      <c r="S30" s="23">
        <v>518392.9</v>
      </c>
      <c r="T30" s="23">
        <v>518392.9</v>
      </c>
      <c r="U30" s="26">
        <v>0</v>
      </c>
      <c r="V30" s="23">
        <v>79283.62</v>
      </c>
      <c r="W30" s="1">
        <v>79283.62</v>
      </c>
      <c r="X30" s="58">
        <v>0</v>
      </c>
      <c r="Y30" s="23">
        <v>12197.48</v>
      </c>
      <c r="Z30" s="64">
        <v>12197.48</v>
      </c>
      <c r="AA30" s="59">
        <v>0</v>
      </c>
      <c r="AB30" s="23">
        <f t="shared" si="31"/>
        <v>0</v>
      </c>
      <c r="AC30" s="26">
        <v>0</v>
      </c>
      <c r="AD30" s="26">
        <v>0</v>
      </c>
      <c r="AE30" s="23">
        <f>S30+V30+Y30+AB30</f>
        <v>609874</v>
      </c>
      <c r="AF30" s="26">
        <v>0</v>
      </c>
      <c r="AG30" s="26">
        <f t="shared" si="5"/>
        <v>609874</v>
      </c>
      <c r="AH30" s="27" t="s">
        <v>585</v>
      </c>
      <c r="AI30" s="53" t="s">
        <v>185</v>
      </c>
      <c r="AJ30" s="1">
        <f>60000+22596.2</f>
        <v>82596.2</v>
      </c>
      <c r="AK30" s="29">
        <v>12632.36</v>
      </c>
    </row>
    <row r="31" spans="1:37" s="66" customFormat="1" ht="189" x14ac:dyDescent="0.25">
      <c r="A31" s="12">
        <v>27</v>
      </c>
      <c r="B31" s="13">
        <v>120599</v>
      </c>
      <c r="C31" s="8">
        <v>75</v>
      </c>
      <c r="D31" s="15" t="s">
        <v>684</v>
      </c>
      <c r="E31" s="15" t="s">
        <v>968</v>
      </c>
      <c r="F31" s="16" t="s">
        <v>331</v>
      </c>
      <c r="G31" s="62" t="s">
        <v>246</v>
      </c>
      <c r="H31" s="15" t="s">
        <v>247</v>
      </c>
      <c r="I31" s="18" t="s">
        <v>185</v>
      </c>
      <c r="J31" s="65" t="s">
        <v>836</v>
      </c>
      <c r="K31" s="20">
        <v>43145</v>
      </c>
      <c r="L31" s="32">
        <v>43813</v>
      </c>
      <c r="M31" s="63">
        <f t="shared" ref="M31:M33" si="42">S31/AE31*100</f>
        <v>84.999998786570643</v>
      </c>
      <c r="N31" s="18">
        <v>6</v>
      </c>
      <c r="O31" s="15" t="s">
        <v>262</v>
      </c>
      <c r="P31" s="15" t="s">
        <v>248</v>
      </c>
      <c r="Q31" s="62" t="s">
        <v>212</v>
      </c>
      <c r="R31" s="15" t="s">
        <v>36</v>
      </c>
      <c r="S31" s="26">
        <f t="shared" ref="S31:S33" si="43">T31+U31</f>
        <v>350247</v>
      </c>
      <c r="T31" s="23">
        <v>350247</v>
      </c>
      <c r="U31" s="26">
        <v>0</v>
      </c>
      <c r="V31" s="58">
        <f t="shared" ref="V31:V33" si="44">W31+X31</f>
        <v>53567.19</v>
      </c>
      <c r="W31" s="1">
        <v>53567.19</v>
      </c>
      <c r="X31" s="58">
        <v>0</v>
      </c>
      <c r="Y31" s="59">
        <f t="shared" ref="Y31:Y33" si="45">Z31+AA31</f>
        <v>8241.11</v>
      </c>
      <c r="Z31" s="24">
        <v>8241.11</v>
      </c>
      <c r="AA31" s="59">
        <v>0</v>
      </c>
      <c r="AB31" s="26">
        <v>0</v>
      </c>
      <c r="AC31" s="26"/>
      <c r="AD31" s="26"/>
      <c r="AE31" s="26">
        <f>S31+V31+Y31+AB31</f>
        <v>412055.3</v>
      </c>
      <c r="AF31" s="26">
        <v>0</v>
      </c>
      <c r="AG31" s="26">
        <f t="shared" si="5"/>
        <v>412055.3</v>
      </c>
      <c r="AH31" s="27" t="s">
        <v>585</v>
      </c>
      <c r="AI31" s="53" t="s">
        <v>1473</v>
      </c>
      <c r="AJ31" s="1">
        <v>99944.26</v>
      </c>
      <c r="AK31" s="29">
        <v>15285.57</v>
      </c>
    </row>
    <row r="32" spans="1:37" ht="291" customHeight="1" x14ac:dyDescent="0.25">
      <c r="A32" s="12">
        <v>28</v>
      </c>
      <c r="B32" s="7">
        <v>119593</v>
      </c>
      <c r="C32" s="8">
        <v>467</v>
      </c>
      <c r="D32" s="9" t="s">
        <v>684</v>
      </c>
      <c r="E32" s="18" t="s">
        <v>1041</v>
      </c>
      <c r="F32" s="15" t="s">
        <v>542</v>
      </c>
      <c r="G32" s="15" t="s">
        <v>773</v>
      </c>
      <c r="H32" s="18" t="s">
        <v>774</v>
      </c>
      <c r="I32" s="9" t="s">
        <v>337</v>
      </c>
      <c r="J32" s="15" t="s">
        <v>775</v>
      </c>
      <c r="K32" s="20">
        <v>43293</v>
      </c>
      <c r="L32" s="32">
        <v>43781</v>
      </c>
      <c r="M32" s="18">
        <f t="shared" si="42"/>
        <v>84.262029230668674</v>
      </c>
      <c r="N32" s="18">
        <v>1</v>
      </c>
      <c r="O32" s="18" t="s">
        <v>550</v>
      </c>
      <c r="P32" s="18" t="s">
        <v>776</v>
      </c>
      <c r="Q32" s="18" t="s">
        <v>212</v>
      </c>
      <c r="R32" s="18" t="s">
        <v>36</v>
      </c>
      <c r="S32" s="25">
        <f t="shared" ref="S32" si="46">T32+U32</f>
        <v>349239.24</v>
      </c>
      <c r="T32" s="29">
        <v>349239.24</v>
      </c>
      <c r="U32" s="26">
        <v>0</v>
      </c>
      <c r="V32" s="25">
        <f t="shared" ref="V32" si="47">W32+X32</f>
        <v>56939.5</v>
      </c>
      <c r="W32" s="29">
        <v>56939.5</v>
      </c>
      <c r="X32" s="26">
        <v>0</v>
      </c>
      <c r="Y32" s="25">
        <f t="shared" ref="Y32" si="48">Z32+AA32</f>
        <v>4690.93</v>
      </c>
      <c r="Z32" s="29">
        <v>4690.93</v>
      </c>
      <c r="AA32" s="29">
        <v>0</v>
      </c>
      <c r="AB32" s="23">
        <f t="shared" ref="AB32" si="49">AC32+AD32</f>
        <v>3598.44</v>
      </c>
      <c r="AC32" s="26">
        <v>3598.44</v>
      </c>
      <c r="AD32" s="26">
        <v>0</v>
      </c>
      <c r="AE32" s="23">
        <f t="shared" ref="AE32" si="50">S32+V32+Y32+AB32</f>
        <v>414468.11</v>
      </c>
      <c r="AF32" s="34"/>
      <c r="AG32" s="26">
        <f t="shared" si="5"/>
        <v>414468.11</v>
      </c>
      <c r="AH32" s="27" t="s">
        <v>585</v>
      </c>
      <c r="AI32" s="34"/>
      <c r="AJ32" s="38">
        <f>35492.2+30895.14+16961.29+15519.4+23454.6+5703.34</f>
        <v>128025.97</v>
      </c>
      <c r="AK32" s="38">
        <f>4135.85+8894.04+3988.86</f>
        <v>17018.75</v>
      </c>
    </row>
    <row r="33" spans="1:37" ht="215.25" customHeight="1" x14ac:dyDescent="0.25">
      <c r="A33" s="14">
        <v>29</v>
      </c>
      <c r="B33" s="13">
        <v>118690</v>
      </c>
      <c r="C33" s="18">
        <v>433</v>
      </c>
      <c r="D33" s="14" t="s">
        <v>684</v>
      </c>
      <c r="E33" s="15" t="s">
        <v>704</v>
      </c>
      <c r="F33" s="15" t="s">
        <v>610</v>
      </c>
      <c r="G33" s="15" t="s">
        <v>958</v>
      </c>
      <c r="H33" s="18" t="s">
        <v>774</v>
      </c>
      <c r="I33" s="18" t="s">
        <v>967</v>
      </c>
      <c r="J33" s="15" t="s">
        <v>959</v>
      </c>
      <c r="K33" s="20">
        <v>43333</v>
      </c>
      <c r="L33" s="32">
        <v>43790</v>
      </c>
      <c r="M33" s="18">
        <f t="shared" si="42"/>
        <v>84.169367233766351</v>
      </c>
      <c r="N33" s="18">
        <v>1</v>
      </c>
      <c r="O33" s="18" t="s">
        <v>776</v>
      </c>
      <c r="P33" s="18" t="s">
        <v>776</v>
      </c>
      <c r="Q33" s="18" t="s">
        <v>212</v>
      </c>
      <c r="R33" s="18" t="s">
        <v>960</v>
      </c>
      <c r="S33" s="26">
        <f t="shared" si="43"/>
        <v>242198.44</v>
      </c>
      <c r="T33" s="29">
        <v>242198.44</v>
      </c>
      <c r="U33" s="37">
        <v>0</v>
      </c>
      <c r="V33" s="58">
        <f t="shared" si="44"/>
        <v>39797.81</v>
      </c>
      <c r="W33" s="29">
        <v>39797.81</v>
      </c>
      <c r="X33" s="37">
        <v>0</v>
      </c>
      <c r="Y33" s="59">
        <f t="shared" si="45"/>
        <v>5755.04</v>
      </c>
      <c r="Z33" s="29">
        <v>5755.04</v>
      </c>
      <c r="AA33" s="1">
        <v>0</v>
      </c>
      <c r="AB33" s="26">
        <v>0</v>
      </c>
      <c r="AC33" s="37">
        <v>0</v>
      </c>
      <c r="AD33" s="37">
        <v>0</v>
      </c>
      <c r="AE33" s="26">
        <f t="shared" ref="AE33" si="51">S33+V33+Y33</f>
        <v>287751.28999999998</v>
      </c>
      <c r="AF33" s="34"/>
      <c r="AG33" s="26">
        <f t="shared" si="5"/>
        <v>287751.28999999998</v>
      </c>
      <c r="AH33" s="27" t="s">
        <v>585</v>
      </c>
      <c r="AI33" s="34"/>
      <c r="AJ33" s="38">
        <f>28775.11+11891.84+28775.11+36393.98</f>
        <v>105836.04000000001</v>
      </c>
      <c r="AK33" s="1">
        <f>6600.82+5824.77</f>
        <v>12425.59</v>
      </c>
    </row>
    <row r="34" spans="1:37" ht="204.75" x14ac:dyDescent="0.25">
      <c r="A34" s="12">
        <v>30</v>
      </c>
      <c r="B34" s="7">
        <v>126412</v>
      </c>
      <c r="C34" s="8">
        <v>553</v>
      </c>
      <c r="D34" s="9" t="s">
        <v>1074</v>
      </c>
      <c r="E34" s="18" t="s">
        <v>1041</v>
      </c>
      <c r="F34" s="17" t="s">
        <v>1135</v>
      </c>
      <c r="G34" s="15" t="s">
        <v>1355</v>
      </c>
      <c r="H34" s="18" t="s">
        <v>1356</v>
      </c>
      <c r="I34" s="9" t="s">
        <v>353</v>
      </c>
      <c r="J34" s="15" t="s">
        <v>1357</v>
      </c>
      <c r="K34" s="20">
        <v>43564</v>
      </c>
      <c r="L34" s="32">
        <v>44295</v>
      </c>
      <c r="M34" s="18">
        <f>S34/AE34*100</f>
        <v>85.000000068999867</v>
      </c>
      <c r="N34" s="9">
        <v>1</v>
      </c>
      <c r="O34" s="18" t="s">
        <v>776</v>
      </c>
      <c r="P34" s="18" t="s">
        <v>776</v>
      </c>
      <c r="Q34" s="18" t="s">
        <v>212</v>
      </c>
      <c r="R34" s="18" t="s">
        <v>36</v>
      </c>
      <c r="S34" s="26">
        <f>T34+U34</f>
        <v>2463772.67</v>
      </c>
      <c r="T34" s="29">
        <v>2463772.67</v>
      </c>
      <c r="U34" s="37">
        <v>0</v>
      </c>
      <c r="V34" s="58">
        <f>W34+X34</f>
        <v>376812.28</v>
      </c>
      <c r="W34" s="29">
        <v>376812.28</v>
      </c>
      <c r="X34" s="37">
        <v>0</v>
      </c>
      <c r="Y34" s="59">
        <f>Z34+AA34</f>
        <v>57971.13</v>
      </c>
      <c r="Z34" s="29">
        <v>57971.13</v>
      </c>
      <c r="AA34" s="1">
        <v>0</v>
      </c>
      <c r="AB34" s="26">
        <v>0</v>
      </c>
      <c r="AC34" s="37">
        <v>0</v>
      </c>
      <c r="AD34" s="37">
        <v>0</v>
      </c>
      <c r="AE34" s="26">
        <f>S34+V34+Y34</f>
        <v>2898556.08</v>
      </c>
      <c r="AF34" s="34"/>
      <c r="AG34" s="26">
        <f t="shared" si="5"/>
        <v>2898556.08</v>
      </c>
      <c r="AH34" s="27" t="s">
        <v>585</v>
      </c>
      <c r="AI34" s="34"/>
      <c r="AJ34" s="38">
        <v>0</v>
      </c>
      <c r="AK34" s="38">
        <v>0</v>
      </c>
    </row>
    <row r="35" spans="1:37" ht="239.25" customHeight="1" x14ac:dyDescent="0.25">
      <c r="A35" s="12">
        <v>31</v>
      </c>
      <c r="B35" s="13">
        <v>128790</v>
      </c>
      <c r="C35" s="67">
        <v>644</v>
      </c>
      <c r="D35" s="13" t="s">
        <v>177</v>
      </c>
      <c r="E35" s="15" t="s">
        <v>968</v>
      </c>
      <c r="F35" s="16" t="s">
        <v>1417</v>
      </c>
      <c r="G35" s="68" t="s">
        <v>1466</v>
      </c>
      <c r="H35" s="30" t="s">
        <v>1464</v>
      </c>
      <c r="I35" s="9" t="s">
        <v>185</v>
      </c>
      <c r="J35" s="19" t="s">
        <v>1471</v>
      </c>
      <c r="K35" s="20">
        <v>43629</v>
      </c>
      <c r="L35" s="20">
        <v>44482</v>
      </c>
      <c r="M35" s="21">
        <f>S35/AE35*100</f>
        <v>85.000000118502641</v>
      </c>
      <c r="N35" s="69">
        <v>1</v>
      </c>
      <c r="O35" s="14" t="s">
        <v>1468</v>
      </c>
      <c r="P35" s="14" t="s">
        <v>1469</v>
      </c>
      <c r="Q35" s="70" t="s">
        <v>212</v>
      </c>
      <c r="R35" s="14" t="s">
        <v>36</v>
      </c>
      <c r="S35" s="26">
        <f>T35+U35</f>
        <v>2510492.42</v>
      </c>
      <c r="T35" s="29">
        <v>2510492.42</v>
      </c>
      <c r="U35" s="37">
        <v>0</v>
      </c>
      <c r="V35" s="58">
        <f>W35+X35</f>
        <v>383957.66</v>
      </c>
      <c r="W35" s="29">
        <v>383957.66</v>
      </c>
      <c r="X35" s="37">
        <v>0</v>
      </c>
      <c r="Y35" s="59">
        <f>Z35+AA35</f>
        <v>59070.41</v>
      </c>
      <c r="Z35" s="29">
        <v>59070.41</v>
      </c>
      <c r="AA35" s="1">
        <v>0</v>
      </c>
      <c r="AB35" s="26">
        <v>0</v>
      </c>
      <c r="AC35" s="37">
        <v>0</v>
      </c>
      <c r="AD35" s="37">
        <v>0</v>
      </c>
      <c r="AE35" s="26">
        <f>S35+V35+Y35</f>
        <v>2953520.49</v>
      </c>
      <c r="AF35" s="37"/>
      <c r="AG35" s="26">
        <f t="shared" si="5"/>
        <v>2953520.49</v>
      </c>
      <c r="AH35" s="27" t="s">
        <v>585</v>
      </c>
      <c r="AI35" s="28"/>
      <c r="AJ35" s="29">
        <v>0</v>
      </c>
      <c r="AK35" s="29">
        <v>0</v>
      </c>
    </row>
    <row r="36" spans="1:37" ht="283.5" x14ac:dyDescent="0.25">
      <c r="A36" s="14">
        <v>32</v>
      </c>
      <c r="B36" s="14">
        <v>120555</v>
      </c>
      <c r="C36" s="8">
        <v>93</v>
      </c>
      <c r="D36" s="14" t="s">
        <v>171</v>
      </c>
      <c r="E36" s="15" t="s">
        <v>968</v>
      </c>
      <c r="F36" s="16" t="s">
        <v>331</v>
      </c>
      <c r="G36" s="71" t="s">
        <v>404</v>
      </c>
      <c r="H36" s="18" t="s">
        <v>403</v>
      </c>
      <c r="I36" s="72" t="s">
        <v>405</v>
      </c>
      <c r="J36" s="19" t="s">
        <v>406</v>
      </c>
      <c r="K36" s="20">
        <v>43208</v>
      </c>
      <c r="L36" s="32">
        <v>43817</v>
      </c>
      <c r="M36" s="21">
        <f t="shared" ref="M36:M38" si="52">S36/AE36*100</f>
        <v>84.163174801247621</v>
      </c>
      <c r="N36" s="14">
        <v>2</v>
      </c>
      <c r="O36" s="14" t="s">
        <v>427</v>
      </c>
      <c r="P36" s="14" t="s">
        <v>407</v>
      </c>
      <c r="Q36" s="22" t="s">
        <v>212</v>
      </c>
      <c r="R36" s="14" t="s">
        <v>36</v>
      </c>
      <c r="S36" s="25">
        <f t="shared" ref="S36:S38" si="53">T36+U36</f>
        <v>356789.37</v>
      </c>
      <c r="T36" s="23">
        <v>356789.37</v>
      </c>
      <c r="U36" s="23">
        <v>0</v>
      </c>
      <c r="V36" s="25">
        <f t="shared" ref="V36:V38" si="54">W36+X36</f>
        <v>58657.86</v>
      </c>
      <c r="W36" s="23">
        <v>58657.86</v>
      </c>
      <c r="X36" s="23">
        <v>0</v>
      </c>
      <c r="Y36" s="25">
        <f t="shared" ref="Y36:Y38" si="55">Z36+AA36</f>
        <v>8478.52</v>
      </c>
      <c r="Z36" s="23">
        <v>8478.52</v>
      </c>
      <c r="AA36" s="23">
        <v>0</v>
      </c>
      <c r="AB36" s="23">
        <f t="shared" ref="AB36:AB38" si="56">AC36+AD36</f>
        <v>0</v>
      </c>
      <c r="AC36" s="23"/>
      <c r="AD36" s="23"/>
      <c r="AE36" s="23">
        <f t="shared" ref="AE36:AE38" si="57">S36+V36+Y36+AB36</f>
        <v>423925.75</v>
      </c>
      <c r="AF36" s="23">
        <v>0</v>
      </c>
      <c r="AG36" s="26">
        <f t="shared" si="5"/>
        <v>423925.75</v>
      </c>
      <c r="AH36" s="27" t="s">
        <v>585</v>
      </c>
      <c r="AI36" s="28" t="s">
        <v>185</v>
      </c>
      <c r="AJ36" s="1">
        <f>20867.74+18218.8+30425.63+3648.09+28050.24+50726.48+20867.74</f>
        <v>172804.72</v>
      </c>
      <c r="AK36" s="29">
        <f>6395.02+3754.28+1987.29+1098.5+11377.64</f>
        <v>24612.73</v>
      </c>
    </row>
    <row r="37" spans="1:37" ht="204.75" x14ac:dyDescent="0.25">
      <c r="A37" s="12">
        <v>33</v>
      </c>
      <c r="B37" s="14">
        <v>119189</v>
      </c>
      <c r="C37" s="8">
        <v>466</v>
      </c>
      <c r="D37" s="14" t="s">
        <v>684</v>
      </c>
      <c r="E37" s="18" t="s">
        <v>1041</v>
      </c>
      <c r="F37" s="18" t="s">
        <v>542</v>
      </c>
      <c r="G37" s="18" t="s">
        <v>685</v>
      </c>
      <c r="H37" s="18" t="s">
        <v>795</v>
      </c>
      <c r="I37" s="18" t="s">
        <v>185</v>
      </c>
      <c r="J37" s="19" t="s">
        <v>794</v>
      </c>
      <c r="K37" s="20">
        <v>43278</v>
      </c>
      <c r="L37" s="32">
        <v>43765</v>
      </c>
      <c r="M37" s="21">
        <f t="shared" si="52"/>
        <v>85.000000991333039</v>
      </c>
      <c r="N37" s="14">
        <v>2</v>
      </c>
      <c r="O37" s="14" t="s">
        <v>427</v>
      </c>
      <c r="P37" s="14" t="s">
        <v>407</v>
      </c>
      <c r="Q37" s="22" t="s">
        <v>212</v>
      </c>
      <c r="R37" s="14" t="s">
        <v>36</v>
      </c>
      <c r="S37" s="25">
        <f t="shared" si="53"/>
        <v>514458.8</v>
      </c>
      <c r="T37" s="23">
        <v>514458.8</v>
      </c>
      <c r="U37" s="23">
        <v>0</v>
      </c>
      <c r="V37" s="25">
        <f t="shared" si="54"/>
        <v>78681.929999999978</v>
      </c>
      <c r="W37" s="23">
        <v>78681.929999999978</v>
      </c>
      <c r="X37" s="23">
        <v>0</v>
      </c>
      <c r="Y37" s="25">
        <f t="shared" si="55"/>
        <v>12104.91</v>
      </c>
      <c r="Z37" s="23">
        <v>12104.91</v>
      </c>
      <c r="AA37" s="23">
        <v>0</v>
      </c>
      <c r="AB37" s="23">
        <f t="shared" si="56"/>
        <v>0</v>
      </c>
      <c r="AC37" s="23">
        <v>0</v>
      </c>
      <c r="AD37" s="23">
        <v>0</v>
      </c>
      <c r="AE37" s="23">
        <f t="shared" si="57"/>
        <v>605245.64</v>
      </c>
      <c r="AF37" s="23"/>
      <c r="AG37" s="26">
        <f t="shared" si="5"/>
        <v>605245.64</v>
      </c>
      <c r="AH37" s="27" t="s">
        <v>585</v>
      </c>
      <c r="AI37" s="28" t="s">
        <v>185</v>
      </c>
      <c r="AJ37" s="1">
        <v>44348.46</v>
      </c>
      <c r="AK37" s="29">
        <v>6782.71</v>
      </c>
    </row>
    <row r="38" spans="1:37" ht="151.5" customHeight="1" x14ac:dyDescent="0.25">
      <c r="A38" s="12">
        <v>34</v>
      </c>
      <c r="B38" s="14">
        <v>125782</v>
      </c>
      <c r="C38" s="8">
        <v>520</v>
      </c>
      <c r="D38" s="9" t="s">
        <v>1074</v>
      </c>
      <c r="E38" s="15" t="s">
        <v>968</v>
      </c>
      <c r="F38" s="17" t="s">
        <v>1135</v>
      </c>
      <c r="G38" s="18" t="s">
        <v>1176</v>
      </c>
      <c r="H38" s="18" t="s">
        <v>795</v>
      </c>
      <c r="I38" s="18" t="s">
        <v>185</v>
      </c>
      <c r="J38" s="19" t="s">
        <v>1177</v>
      </c>
      <c r="K38" s="20">
        <v>43445</v>
      </c>
      <c r="L38" s="32">
        <v>43872</v>
      </c>
      <c r="M38" s="21">
        <f t="shared" si="52"/>
        <v>84.999999737203865</v>
      </c>
      <c r="N38" s="14">
        <v>2</v>
      </c>
      <c r="O38" s="14" t="s">
        <v>427</v>
      </c>
      <c r="P38" s="14" t="s">
        <v>407</v>
      </c>
      <c r="Q38" s="22" t="s">
        <v>212</v>
      </c>
      <c r="R38" s="14" t="s">
        <v>36</v>
      </c>
      <c r="S38" s="25">
        <f t="shared" si="53"/>
        <v>1132056.27</v>
      </c>
      <c r="T38" s="23">
        <v>1132056.27</v>
      </c>
      <c r="U38" s="23">
        <v>0</v>
      </c>
      <c r="V38" s="25">
        <f t="shared" si="54"/>
        <v>173138.02</v>
      </c>
      <c r="W38" s="23">
        <v>173138.02</v>
      </c>
      <c r="X38" s="23">
        <v>0</v>
      </c>
      <c r="Y38" s="25">
        <f t="shared" si="55"/>
        <v>26636.62</v>
      </c>
      <c r="Z38" s="23">
        <v>26636.62</v>
      </c>
      <c r="AA38" s="1">
        <v>0</v>
      </c>
      <c r="AB38" s="23">
        <f t="shared" si="56"/>
        <v>0</v>
      </c>
      <c r="AC38" s="26">
        <v>0</v>
      </c>
      <c r="AD38" s="26">
        <v>0</v>
      </c>
      <c r="AE38" s="23">
        <f t="shared" si="57"/>
        <v>1331830.9100000001</v>
      </c>
      <c r="AF38" s="34"/>
      <c r="AG38" s="26">
        <f t="shared" si="5"/>
        <v>1331830.9100000001</v>
      </c>
      <c r="AH38" s="27" t="s">
        <v>585</v>
      </c>
      <c r="AI38" s="34"/>
      <c r="AJ38" s="38">
        <v>0</v>
      </c>
      <c r="AK38" s="1">
        <v>0</v>
      </c>
    </row>
    <row r="39" spans="1:37" ht="409.5" x14ac:dyDescent="0.25">
      <c r="A39" s="14">
        <v>35</v>
      </c>
      <c r="B39" s="13">
        <v>111300</v>
      </c>
      <c r="C39" s="8">
        <v>123</v>
      </c>
      <c r="D39" s="14" t="s">
        <v>172</v>
      </c>
      <c r="E39" s="15" t="s">
        <v>968</v>
      </c>
      <c r="F39" s="16" t="s">
        <v>331</v>
      </c>
      <c r="G39" s="17" t="s">
        <v>267</v>
      </c>
      <c r="H39" s="17" t="s">
        <v>268</v>
      </c>
      <c r="I39" s="18" t="s">
        <v>185</v>
      </c>
      <c r="J39" s="73" t="s">
        <v>269</v>
      </c>
      <c r="K39" s="20">
        <v>43145</v>
      </c>
      <c r="L39" s="32">
        <v>43630</v>
      </c>
      <c r="M39" s="21">
        <f t="shared" ref="M39:M42" si="58">S39/AE39*100</f>
        <v>84.999999881712782</v>
      </c>
      <c r="N39" s="14">
        <v>7</v>
      </c>
      <c r="O39" s="14" t="s">
        <v>270</v>
      </c>
      <c r="P39" s="14" t="s">
        <v>271</v>
      </c>
      <c r="Q39" s="22" t="s">
        <v>212</v>
      </c>
      <c r="R39" s="18" t="s">
        <v>36</v>
      </c>
      <c r="S39" s="25">
        <f>T39+U39</f>
        <v>359294.94</v>
      </c>
      <c r="T39" s="24">
        <v>359294.94</v>
      </c>
      <c r="U39" s="25">
        <v>0</v>
      </c>
      <c r="V39" s="25">
        <f t="shared" ref="V39:V103" si="59">W39+X39</f>
        <v>54950.99</v>
      </c>
      <c r="W39" s="24">
        <v>54950.99</v>
      </c>
      <c r="X39" s="25">
        <v>0</v>
      </c>
      <c r="Y39" s="25">
        <v>8454</v>
      </c>
      <c r="Z39" s="23">
        <v>8454</v>
      </c>
      <c r="AA39" s="23">
        <v>0</v>
      </c>
      <c r="AB39" s="23">
        <f t="shared" ref="AB39:AB102" si="60">AC39+AD39</f>
        <v>0</v>
      </c>
      <c r="AC39" s="74">
        <v>0</v>
      </c>
      <c r="AD39" s="74">
        <v>0</v>
      </c>
      <c r="AE39" s="23">
        <v>422699.93</v>
      </c>
      <c r="AF39" s="23">
        <v>0</v>
      </c>
      <c r="AG39" s="26">
        <f t="shared" si="5"/>
        <v>422699.93</v>
      </c>
      <c r="AH39" s="27" t="s">
        <v>585</v>
      </c>
      <c r="AI39" s="28" t="s">
        <v>185</v>
      </c>
      <c r="AJ39" s="1">
        <f>93322.21+32434.3+9922.9+28858.69</f>
        <v>164538.1</v>
      </c>
      <c r="AK39" s="29">
        <f>14272.81+4960.54+1517.62+4413.68</f>
        <v>25164.649999999998</v>
      </c>
    </row>
    <row r="40" spans="1:37" ht="166.5" customHeight="1" x14ac:dyDescent="0.25">
      <c r="A40" s="12">
        <v>36</v>
      </c>
      <c r="B40" s="13">
        <v>110505</v>
      </c>
      <c r="C40" s="8">
        <v>125</v>
      </c>
      <c r="D40" s="14" t="s">
        <v>843</v>
      </c>
      <c r="E40" s="15" t="s">
        <v>968</v>
      </c>
      <c r="F40" s="16" t="s">
        <v>331</v>
      </c>
      <c r="G40" s="17" t="s">
        <v>313</v>
      </c>
      <c r="H40" s="17" t="s">
        <v>314</v>
      </c>
      <c r="I40" s="14" t="s">
        <v>185</v>
      </c>
      <c r="J40" s="19" t="s">
        <v>317</v>
      </c>
      <c r="K40" s="20">
        <v>43173</v>
      </c>
      <c r="L40" s="32">
        <v>43660</v>
      </c>
      <c r="M40" s="21">
        <f t="shared" si="58"/>
        <v>84.99999981945335</v>
      </c>
      <c r="N40" s="14">
        <v>7</v>
      </c>
      <c r="O40" s="14" t="s">
        <v>270</v>
      </c>
      <c r="P40" s="14" t="s">
        <v>315</v>
      </c>
      <c r="Q40" s="22" t="s">
        <v>212</v>
      </c>
      <c r="R40" s="14" t="s">
        <v>36</v>
      </c>
      <c r="S40" s="25">
        <f>T40+U40</f>
        <v>470792.44</v>
      </c>
      <c r="T40" s="23">
        <v>470792.44</v>
      </c>
      <c r="U40" s="23">
        <v>0</v>
      </c>
      <c r="V40" s="25">
        <f t="shared" si="59"/>
        <v>72003.55</v>
      </c>
      <c r="W40" s="23">
        <v>72003.55</v>
      </c>
      <c r="X40" s="23">
        <v>0</v>
      </c>
      <c r="Y40" s="25">
        <f>Z40+AA40</f>
        <v>11077.47</v>
      </c>
      <c r="Z40" s="23">
        <v>11077.47</v>
      </c>
      <c r="AA40" s="23">
        <v>0</v>
      </c>
      <c r="AB40" s="23">
        <f t="shared" si="60"/>
        <v>0</v>
      </c>
      <c r="AC40" s="74">
        <v>0</v>
      </c>
      <c r="AD40" s="74">
        <v>0</v>
      </c>
      <c r="AE40" s="23">
        <f>S40+V40+Y40+AB40</f>
        <v>553873.46</v>
      </c>
      <c r="AF40" s="23">
        <v>0</v>
      </c>
      <c r="AG40" s="26">
        <f t="shared" si="5"/>
        <v>553873.46</v>
      </c>
      <c r="AH40" s="27" t="s">
        <v>585</v>
      </c>
      <c r="AI40" s="28" t="s">
        <v>185</v>
      </c>
      <c r="AJ40" s="1">
        <f>176594.42+66632.22</f>
        <v>243226.64</v>
      </c>
      <c r="AK40" s="29">
        <f>27008.56+10190.81</f>
        <v>37199.370000000003</v>
      </c>
    </row>
    <row r="41" spans="1:37" ht="318.75" customHeight="1" x14ac:dyDescent="0.25">
      <c r="A41" s="12">
        <v>37</v>
      </c>
      <c r="B41" s="13">
        <v>119450</v>
      </c>
      <c r="C41" s="8">
        <v>485</v>
      </c>
      <c r="D41" s="14" t="s">
        <v>843</v>
      </c>
      <c r="E41" s="18" t="s">
        <v>1041</v>
      </c>
      <c r="F41" s="16" t="s">
        <v>542</v>
      </c>
      <c r="G41" s="17" t="s">
        <v>800</v>
      </c>
      <c r="H41" s="17" t="s">
        <v>314</v>
      </c>
      <c r="I41" s="14" t="s">
        <v>185</v>
      </c>
      <c r="J41" s="19" t="s">
        <v>801</v>
      </c>
      <c r="K41" s="20">
        <v>43298</v>
      </c>
      <c r="L41" s="32">
        <v>43786</v>
      </c>
      <c r="M41" s="21">
        <f t="shared" si="58"/>
        <v>85.000002578269815</v>
      </c>
      <c r="N41" s="14">
        <v>7</v>
      </c>
      <c r="O41" s="14" t="s">
        <v>270</v>
      </c>
      <c r="P41" s="14" t="s">
        <v>315</v>
      </c>
      <c r="Q41" s="22" t="s">
        <v>212</v>
      </c>
      <c r="R41" s="14" t="s">
        <v>36</v>
      </c>
      <c r="S41" s="25">
        <f t="shared" ref="S41:S42" si="61">T41+U41</f>
        <v>329678.46000000002</v>
      </c>
      <c r="T41" s="23">
        <v>329678.46000000002</v>
      </c>
      <c r="U41" s="23">
        <v>0</v>
      </c>
      <c r="V41" s="25">
        <f t="shared" si="59"/>
        <v>50421.4</v>
      </c>
      <c r="W41" s="23">
        <v>50421.4</v>
      </c>
      <c r="X41" s="23">
        <v>0</v>
      </c>
      <c r="Y41" s="25">
        <f t="shared" ref="Y41:Y42" si="62">Z41+AA41</f>
        <v>7757.14</v>
      </c>
      <c r="Z41" s="23">
        <v>7757.14</v>
      </c>
      <c r="AA41" s="23">
        <v>0</v>
      </c>
      <c r="AB41" s="23">
        <f t="shared" si="60"/>
        <v>0</v>
      </c>
      <c r="AC41" s="74">
        <v>0</v>
      </c>
      <c r="AD41" s="74">
        <v>0</v>
      </c>
      <c r="AE41" s="23">
        <f t="shared" ref="AE41:AE42" si="63">S41+V41+Y41+AB41</f>
        <v>387857.00000000006</v>
      </c>
      <c r="AF41" s="23">
        <v>0</v>
      </c>
      <c r="AG41" s="26">
        <f t="shared" si="5"/>
        <v>387857.00000000006</v>
      </c>
      <c r="AH41" s="27" t="s">
        <v>585</v>
      </c>
      <c r="AI41" s="28" t="s">
        <v>185</v>
      </c>
      <c r="AJ41" s="1">
        <f>84630.18+30084.9</f>
        <v>114715.07999999999</v>
      </c>
      <c r="AK41" s="29">
        <f>12943.44+4601.22</f>
        <v>17544.66</v>
      </c>
    </row>
    <row r="42" spans="1:37" s="76" customFormat="1" ht="409.5" x14ac:dyDescent="0.25">
      <c r="A42" s="14">
        <v>38</v>
      </c>
      <c r="B42" s="35">
        <v>118753</v>
      </c>
      <c r="C42" s="18">
        <v>438</v>
      </c>
      <c r="D42" s="18" t="s">
        <v>843</v>
      </c>
      <c r="E42" s="15" t="s">
        <v>704</v>
      </c>
      <c r="F42" s="75" t="s">
        <v>610</v>
      </c>
      <c r="G42" s="15" t="s">
        <v>1016</v>
      </c>
      <c r="H42" s="15" t="s">
        <v>314</v>
      </c>
      <c r="I42" s="18" t="s">
        <v>185</v>
      </c>
      <c r="J42" s="15" t="s">
        <v>1018</v>
      </c>
      <c r="K42" s="32">
        <v>43348</v>
      </c>
      <c r="L42" s="32">
        <v>43651</v>
      </c>
      <c r="M42" s="45">
        <f t="shared" si="58"/>
        <v>85.000001668065067</v>
      </c>
      <c r="N42" s="14">
        <v>7</v>
      </c>
      <c r="O42" s="14" t="s">
        <v>270</v>
      </c>
      <c r="P42" s="18" t="s">
        <v>1017</v>
      </c>
      <c r="Q42" s="22" t="s">
        <v>212</v>
      </c>
      <c r="R42" s="14" t="s">
        <v>36</v>
      </c>
      <c r="S42" s="25">
        <f t="shared" si="61"/>
        <v>254786.23</v>
      </c>
      <c r="T42" s="1">
        <v>254786.23</v>
      </c>
      <c r="U42" s="23">
        <v>0</v>
      </c>
      <c r="V42" s="25">
        <f t="shared" si="59"/>
        <v>38967.300000000003</v>
      </c>
      <c r="W42" s="1">
        <v>38967.300000000003</v>
      </c>
      <c r="X42" s="23">
        <v>0</v>
      </c>
      <c r="Y42" s="25">
        <f t="shared" si="62"/>
        <v>5994.97</v>
      </c>
      <c r="Z42" s="1">
        <v>5994.97</v>
      </c>
      <c r="AA42" s="1">
        <v>0</v>
      </c>
      <c r="AB42" s="26">
        <f t="shared" si="60"/>
        <v>0</v>
      </c>
      <c r="AC42" s="46">
        <v>0</v>
      </c>
      <c r="AD42" s="46">
        <v>0</v>
      </c>
      <c r="AE42" s="26">
        <f t="shared" si="63"/>
        <v>299748.5</v>
      </c>
      <c r="AF42" s="27">
        <v>0</v>
      </c>
      <c r="AG42" s="26">
        <f t="shared" si="5"/>
        <v>299748.5</v>
      </c>
      <c r="AH42" s="27" t="s">
        <v>585</v>
      </c>
      <c r="AI42" s="28" t="s">
        <v>185</v>
      </c>
      <c r="AJ42" s="1">
        <f>56093.22+21812.7</f>
        <v>77905.919999999998</v>
      </c>
      <c r="AK42" s="29">
        <f>8578.96+3336.06</f>
        <v>11915.019999999999</v>
      </c>
    </row>
    <row r="43" spans="1:37" s="76" customFormat="1" ht="189" x14ac:dyDescent="0.25">
      <c r="A43" s="12">
        <v>39</v>
      </c>
      <c r="B43" s="35">
        <v>126380</v>
      </c>
      <c r="C43" s="18">
        <v>567</v>
      </c>
      <c r="D43" s="18" t="s">
        <v>177</v>
      </c>
      <c r="E43" s="15" t="s">
        <v>968</v>
      </c>
      <c r="F43" s="41" t="s">
        <v>1135</v>
      </c>
      <c r="G43" s="77" t="s">
        <v>1164</v>
      </c>
      <c r="H43" s="17" t="s">
        <v>1166</v>
      </c>
      <c r="I43" s="18" t="s">
        <v>185</v>
      </c>
      <c r="J43" s="15" t="s">
        <v>1165</v>
      </c>
      <c r="K43" s="32">
        <v>43440</v>
      </c>
      <c r="L43" s="32">
        <v>43896</v>
      </c>
      <c r="M43" s="45">
        <f>S43/AE43*100</f>
        <v>85.00000001812522</v>
      </c>
      <c r="N43" s="14">
        <v>8</v>
      </c>
      <c r="O43" s="14" t="s">
        <v>270</v>
      </c>
      <c r="P43" s="18" t="s">
        <v>315</v>
      </c>
      <c r="Q43" s="22" t="s">
        <v>212</v>
      </c>
      <c r="R43" s="14" t="s">
        <v>36</v>
      </c>
      <c r="S43" s="25">
        <f>T43+U43</f>
        <v>2344798.5</v>
      </c>
      <c r="T43" s="1">
        <v>2344798.5</v>
      </c>
      <c r="U43" s="23">
        <v>0</v>
      </c>
      <c r="V43" s="25">
        <f>W43+X43</f>
        <v>358616.24</v>
      </c>
      <c r="W43" s="1">
        <v>358616.24</v>
      </c>
      <c r="X43" s="23">
        <v>0</v>
      </c>
      <c r="Y43" s="25">
        <f>Z43+AA43</f>
        <v>55171.73</v>
      </c>
      <c r="Z43" s="1">
        <v>55171.73</v>
      </c>
      <c r="AA43" s="1">
        <v>0</v>
      </c>
      <c r="AB43" s="26">
        <f>AC43+AD43</f>
        <v>0</v>
      </c>
      <c r="AC43" s="46">
        <v>0</v>
      </c>
      <c r="AD43" s="46">
        <v>0</v>
      </c>
      <c r="AE43" s="26">
        <f>S43+V43+Y43</f>
        <v>2758586.47</v>
      </c>
      <c r="AF43" s="27">
        <v>78540</v>
      </c>
      <c r="AG43" s="26">
        <f t="shared" si="5"/>
        <v>2837126.47</v>
      </c>
      <c r="AH43" s="27" t="s">
        <v>585</v>
      </c>
      <c r="AI43" s="28"/>
      <c r="AJ43" s="1">
        <v>0</v>
      </c>
      <c r="AK43" s="29">
        <v>0</v>
      </c>
    </row>
    <row r="44" spans="1:37" s="76" customFormat="1" ht="299.25" x14ac:dyDescent="0.25">
      <c r="A44" s="12">
        <v>40</v>
      </c>
      <c r="B44" s="35">
        <v>126524</v>
      </c>
      <c r="C44" s="18">
        <v>552</v>
      </c>
      <c r="D44" s="18" t="s">
        <v>177</v>
      </c>
      <c r="E44" s="15" t="s">
        <v>968</v>
      </c>
      <c r="F44" s="41" t="s">
        <v>1135</v>
      </c>
      <c r="G44" s="15" t="s">
        <v>1232</v>
      </c>
      <c r="H44" s="15" t="s">
        <v>1233</v>
      </c>
      <c r="I44" s="18" t="s">
        <v>185</v>
      </c>
      <c r="J44" s="15" t="s">
        <v>1234</v>
      </c>
      <c r="K44" s="32">
        <v>43480</v>
      </c>
      <c r="L44" s="32">
        <v>44027</v>
      </c>
      <c r="M44" s="45">
        <f t="shared" ref="M44:M45" si="64">S44/AE44*100</f>
        <v>84.99999981002415</v>
      </c>
      <c r="N44" s="14">
        <v>8</v>
      </c>
      <c r="O44" s="14" t="s">
        <v>270</v>
      </c>
      <c r="P44" s="18" t="s">
        <v>315</v>
      </c>
      <c r="Q44" s="22" t="s">
        <v>212</v>
      </c>
      <c r="R44" s="14" t="s">
        <v>36</v>
      </c>
      <c r="S44" s="25">
        <f t="shared" ref="S44:S45" si="65">T44+U44</f>
        <v>2460839.27</v>
      </c>
      <c r="T44" s="1">
        <v>2460839.27</v>
      </c>
      <c r="U44" s="23">
        <v>0</v>
      </c>
      <c r="V44" s="25">
        <f t="shared" ref="V44:V45" si="66">W44+X44</f>
        <v>376363.66</v>
      </c>
      <c r="W44" s="1">
        <v>376363.66</v>
      </c>
      <c r="X44" s="23"/>
      <c r="Y44" s="25">
        <f t="shared" ref="Y44:Y45" si="67">Z44+AA44</f>
        <v>57902.1</v>
      </c>
      <c r="Z44" s="1">
        <v>57902.1</v>
      </c>
      <c r="AA44" s="1">
        <v>0</v>
      </c>
      <c r="AB44" s="26">
        <f t="shared" ref="AB44:AB45" si="68">AC44+AD44</f>
        <v>0</v>
      </c>
      <c r="AC44" s="46">
        <v>0</v>
      </c>
      <c r="AD44" s="46">
        <v>0</v>
      </c>
      <c r="AE44" s="26">
        <f t="shared" ref="AE44:AE45" si="69">S44+V44+Y44</f>
        <v>2895105.0300000003</v>
      </c>
      <c r="AF44" s="27"/>
      <c r="AG44" s="26">
        <f t="shared" si="5"/>
        <v>2895105.0300000003</v>
      </c>
      <c r="AH44" s="27"/>
      <c r="AI44" s="28"/>
      <c r="AJ44" s="1">
        <v>0</v>
      </c>
      <c r="AK44" s="29">
        <v>0</v>
      </c>
    </row>
    <row r="45" spans="1:37" s="76" customFormat="1" ht="242.25" customHeight="1" x14ac:dyDescent="0.25">
      <c r="A45" s="14">
        <v>41</v>
      </c>
      <c r="B45" s="35">
        <v>126332</v>
      </c>
      <c r="C45" s="18">
        <v>565</v>
      </c>
      <c r="D45" s="18" t="s">
        <v>175</v>
      </c>
      <c r="E45" s="15" t="s">
        <v>968</v>
      </c>
      <c r="F45" s="41" t="s">
        <v>1135</v>
      </c>
      <c r="G45" s="15" t="s">
        <v>1399</v>
      </c>
      <c r="H45" s="15" t="s">
        <v>1400</v>
      </c>
      <c r="I45" s="18" t="s">
        <v>185</v>
      </c>
      <c r="J45" s="39" t="s">
        <v>1401</v>
      </c>
      <c r="K45" s="32">
        <v>43601</v>
      </c>
      <c r="L45" s="32">
        <v>44516</v>
      </c>
      <c r="M45" s="45">
        <f t="shared" si="64"/>
        <v>85.000000553635857</v>
      </c>
      <c r="N45" s="14">
        <v>8</v>
      </c>
      <c r="O45" s="14" t="s">
        <v>270</v>
      </c>
      <c r="P45" s="18" t="s">
        <v>315</v>
      </c>
      <c r="Q45" s="22" t="s">
        <v>212</v>
      </c>
      <c r="R45" s="14" t="s">
        <v>36</v>
      </c>
      <c r="S45" s="25">
        <f t="shared" si="65"/>
        <v>1919131.5</v>
      </c>
      <c r="T45" s="1">
        <v>1919131.5</v>
      </c>
      <c r="U45" s="23">
        <v>0</v>
      </c>
      <c r="V45" s="25">
        <f t="shared" si="66"/>
        <v>293514.21000000002</v>
      </c>
      <c r="W45" s="1">
        <v>293514.21000000002</v>
      </c>
      <c r="X45" s="23">
        <v>0</v>
      </c>
      <c r="Y45" s="25">
        <f t="shared" si="67"/>
        <v>45156.04</v>
      </c>
      <c r="Z45" s="1">
        <v>45156.04</v>
      </c>
      <c r="AA45" s="1">
        <v>0</v>
      </c>
      <c r="AB45" s="26">
        <f t="shared" si="68"/>
        <v>0</v>
      </c>
      <c r="AC45" s="46">
        <v>0</v>
      </c>
      <c r="AD45" s="46">
        <v>0</v>
      </c>
      <c r="AE45" s="26">
        <f t="shared" si="69"/>
        <v>2257801.75</v>
      </c>
      <c r="AF45" s="27"/>
      <c r="AG45" s="26">
        <f t="shared" si="5"/>
        <v>2257801.75</v>
      </c>
      <c r="AH45" s="27" t="s">
        <v>585</v>
      </c>
      <c r="AI45" s="28"/>
      <c r="AJ45" s="1"/>
      <c r="AK45" s="29"/>
    </row>
    <row r="46" spans="1:37" ht="346.5" x14ac:dyDescent="0.25">
      <c r="A46" s="12">
        <v>42</v>
      </c>
      <c r="B46" s="13">
        <v>120503</v>
      </c>
      <c r="C46" s="8">
        <v>80</v>
      </c>
      <c r="D46" s="14" t="s">
        <v>168</v>
      </c>
      <c r="E46" s="15" t="s">
        <v>968</v>
      </c>
      <c r="F46" s="16" t="s">
        <v>330</v>
      </c>
      <c r="G46" s="78" t="s">
        <v>311</v>
      </c>
      <c r="H46" s="17" t="s">
        <v>310</v>
      </c>
      <c r="I46" s="18" t="s">
        <v>185</v>
      </c>
      <c r="J46" s="19" t="s">
        <v>316</v>
      </c>
      <c r="K46" s="20">
        <v>43173</v>
      </c>
      <c r="L46" s="32">
        <v>43599</v>
      </c>
      <c r="M46" s="21">
        <f t="shared" ref="M46" si="70">S46/AE46*100</f>
        <v>79.999997969650394</v>
      </c>
      <c r="N46" s="14">
        <v>8</v>
      </c>
      <c r="O46" s="14" t="s">
        <v>312</v>
      </c>
      <c r="P46" s="14" t="s">
        <v>156</v>
      </c>
      <c r="Q46" s="22" t="s">
        <v>212</v>
      </c>
      <c r="R46" s="14" t="s">
        <v>36</v>
      </c>
      <c r="S46" s="25">
        <f t="shared" ref="S46:S49" si="71">T46+U46</f>
        <v>315216.64000000001</v>
      </c>
      <c r="T46" s="23">
        <v>0</v>
      </c>
      <c r="U46" s="23">
        <v>315216.64000000001</v>
      </c>
      <c r="V46" s="25">
        <f>W46+X46</f>
        <v>70923.75</v>
      </c>
      <c r="W46" s="23">
        <v>0</v>
      </c>
      <c r="X46" s="23">
        <v>70923.75</v>
      </c>
      <c r="Y46" s="25">
        <f t="shared" ref="Y46:Y49" si="72">Z46+AA46</f>
        <v>7880.42</v>
      </c>
      <c r="Z46" s="23">
        <v>0</v>
      </c>
      <c r="AA46" s="23">
        <v>7880.42</v>
      </c>
      <c r="AB46" s="23">
        <f t="shared" si="60"/>
        <v>0</v>
      </c>
      <c r="AC46" s="74">
        <v>0</v>
      </c>
      <c r="AD46" s="74">
        <v>0</v>
      </c>
      <c r="AE46" s="23">
        <f>S46+V46+Y46+AB46</f>
        <v>394020.81</v>
      </c>
      <c r="AF46" s="23">
        <v>0</v>
      </c>
      <c r="AG46" s="26">
        <f t="shared" si="5"/>
        <v>394020.81</v>
      </c>
      <c r="AH46" s="27" t="s">
        <v>1073</v>
      </c>
      <c r="AI46" s="28" t="s">
        <v>185</v>
      </c>
      <c r="AJ46" s="29">
        <f>156760.98+76482.15</f>
        <v>233243.13</v>
      </c>
      <c r="AK46" s="29">
        <f>35271.23+17208.49</f>
        <v>52479.72</v>
      </c>
    </row>
    <row r="47" spans="1:37" ht="390" x14ac:dyDescent="0.25">
      <c r="A47" s="12">
        <v>43</v>
      </c>
      <c r="B47" s="7">
        <v>120710</v>
      </c>
      <c r="C47" s="8">
        <v>103</v>
      </c>
      <c r="D47" s="9" t="s">
        <v>168</v>
      </c>
      <c r="E47" s="15" t="s">
        <v>968</v>
      </c>
      <c r="F47" s="79" t="s">
        <v>330</v>
      </c>
      <c r="G47" s="69" t="s">
        <v>450</v>
      </c>
      <c r="H47" s="17" t="s">
        <v>451</v>
      </c>
      <c r="I47" s="9" t="s">
        <v>185</v>
      </c>
      <c r="J47" s="80" t="s">
        <v>452</v>
      </c>
      <c r="K47" s="20">
        <v>43227</v>
      </c>
      <c r="L47" s="32">
        <v>43715</v>
      </c>
      <c r="M47" s="21">
        <f>S47/AE47*100</f>
        <v>79.999999056893557</v>
      </c>
      <c r="N47" s="14">
        <v>8</v>
      </c>
      <c r="O47" s="14" t="s">
        <v>312</v>
      </c>
      <c r="P47" s="14" t="s">
        <v>156</v>
      </c>
      <c r="Q47" s="14" t="s">
        <v>212</v>
      </c>
      <c r="R47" s="14" t="s">
        <v>36</v>
      </c>
      <c r="S47" s="25">
        <f t="shared" si="71"/>
        <v>339304.22</v>
      </c>
      <c r="T47" s="81">
        <v>0</v>
      </c>
      <c r="U47" s="82">
        <v>339304.22</v>
      </c>
      <c r="V47" s="83">
        <f t="shared" si="59"/>
        <v>76343.45</v>
      </c>
      <c r="W47" s="81">
        <v>0</v>
      </c>
      <c r="X47" s="82">
        <v>76343.45</v>
      </c>
      <c r="Y47" s="83">
        <f t="shared" si="72"/>
        <v>8482.61</v>
      </c>
      <c r="Z47" s="84">
        <v>0</v>
      </c>
      <c r="AA47" s="23">
        <v>8482.61</v>
      </c>
      <c r="AB47" s="23">
        <f t="shared" si="60"/>
        <v>0</v>
      </c>
      <c r="AC47" s="29">
        <v>0</v>
      </c>
      <c r="AD47" s="29">
        <v>0</v>
      </c>
      <c r="AE47" s="23">
        <f t="shared" ref="AE47:AE49" si="73">S47+V47+Y47+AB47</f>
        <v>424130.27999999997</v>
      </c>
      <c r="AF47" s="34">
        <v>0</v>
      </c>
      <c r="AG47" s="26">
        <f t="shared" si="5"/>
        <v>424130.27999999997</v>
      </c>
      <c r="AH47" s="27" t="s">
        <v>585</v>
      </c>
      <c r="AI47" s="85" t="s">
        <v>185</v>
      </c>
      <c r="AJ47" s="29">
        <v>52550.400000000001</v>
      </c>
      <c r="AK47" s="29">
        <v>11823.84</v>
      </c>
    </row>
    <row r="48" spans="1:37" ht="270" x14ac:dyDescent="0.25">
      <c r="A48" s="14">
        <v>44</v>
      </c>
      <c r="B48" s="7">
        <v>117665</v>
      </c>
      <c r="C48" s="8">
        <v>413</v>
      </c>
      <c r="D48" s="9" t="s">
        <v>684</v>
      </c>
      <c r="E48" s="15" t="s">
        <v>704</v>
      </c>
      <c r="F48" s="15" t="s">
        <v>611</v>
      </c>
      <c r="G48" s="69" t="s">
        <v>755</v>
      </c>
      <c r="H48" s="17" t="s">
        <v>310</v>
      </c>
      <c r="I48" s="9" t="s">
        <v>185</v>
      </c>
      <c r="J48" s="80" t="s">
        <v>756</v>
      </c>
      <c r="K48" s="20">
        <v>43290</v>
      </c>
      <c r="L48" s="32">
        <v>43625</v>
      </c>
      <c r="M48" s="21">
        <f>S48/AE48*100</f>
        <v>80</v>
      </c>
      <c r="N48" s="14">
        <v>8</v>
      </c>
      <c r="O48" s="14" t="s">
        <v>312</v>
      </c>
      <c r="P48" s="14" t="s">
        <v>312</v>
      </c>
      <c r="Q48" s="14" t="s">
        <v>212</v>
      </c>
      <c r="R48" s="14" t="s">
        <v>36</v>
      </c>
      <c r="S48" s="25">
        <f t="shared" si="71"/>
        <v>224534.64</v>
      </c>
      <c r="T48" s="81">
        <v>0</v>
      </c>
      <c r="U48" s="23">
        <v>224534.64</v>
      </c>
      <c r="V48" s="83">
        <f t="shared" si="59"/>
        <v>50520.29</v>
      </c>
      <c r="W48" s="81">
        <v>0</v>
      </c>
      <c r="X48" s="23">
        <v>50520.29</v>
      </c>
      <c r="Y48" s="83">
        <f t="shared" si="72"/>
        <v>5613.37</v>
      </c>
      <c r="Z48" s="84">
        <v>0</v>
      </c>
      <c r="AA48" s="23">
        <v>5613.37</v>
      </c>
      <c r="AB48" s="23">
        <f t="shared" si="60"/>
        <v>0</v>
      </c>
      <c r="AC48" s="29">
        <v>0</v>
      </c>
      <c r="AD48" s="29">
        <v>0</v>
      </c>
      <c r="AE48" s="23">
        <f t="shared" si="73"/>
        <v>280668.3</v>
      </c>
      <c r="AF48" s="34">
        <v>0</v>
      </c>
      <c r="AG48" s="26">
        <f t="shared" si="5"/>
        <v>280668.3</v>
      </c>
      <c r="AH48" s="27" t="s">
        <v>585</v>
      </c>
      <c r="AI48" s="86" t="s">
        <v>1374</v>
      </c>
      <c r="AJ48" s="54">
        <v>12137.6</v>
      </c>
      <c r="AK48" s="29">
        <v>2730.96</v>
      </c>
    </row>
    <row r="49" spans="1:37" ht="60" customHeight="1" x14ac:dyDescent="0.25">
      <c r="A49" s="12">
        <v>45</v>
      </c>
      <c r="B49" s="7">
        <v>117676</v>
      </c>
      <c r="C49" s="8">
        <v>414</v>
      </c>
      <c r="D49" s="9" t="s">
        <v>684</v>
      </c>
      <c r="E49" s="15" t="s">
        <v>704</v>
      </c>
      <c r="F49" s="16" t="s">
        <v>611</v>
      </c>
      <c r="G49" s="69" t="s">
        <v>1019</v>
      </c>
      <c r="H49" s="17" t="s">
        <v>1020</v>
      </c>
      <c r="I49" s="9" t="s">
        <v>185</v>
      </c>
      <c r="J49" s="80" t="s">
        <v>1021</v>
      </c>
      <c r="K49" s="20">
        <v>43348</v>
      </c>
      <c r="L49" s="32">
        <v>43713</v>
      </c>
      <c r="M49" s="21">
        <f t="shared" ref="M49:M50" si="74">S49/AE49*100</f>
        <v>80.000002000969275</v>
      </c>
      <c r="N49" s="14">
        <v>8</v>
      </c>
      <c r="O49" s="14" t="s">
        <v>312</v>
      </c>
      <c r="P49" s="14" t="s">
        <v>156</v>
      </c>
      <c r="Q49" s="14" t="s">
        <v>212</v>
      </c>
      <c r="R49" s="14" t="s">
        <v>36</v>
      </c>
      <c r="S49" s="25">
        <f t="shared" si="71"/>
        <v>239883.75</v>
      </c>
      <c r="T49" s="84">
        <v>0</v>
      </c>
      <c r="U49" s="23">
        <v>239883.75</v>
      </c>
      <c r="V49" s="83">
        <f t="shared" si="59"/>
        <v>53973.85</v>
      </c>
      <c r="W49" s="84">
        <v>0</v>
      </c>
      <c r="X49" s="23">
        <v>53973.85</v>
      </c>
      <c r="Y49" s="83">
        <f t="shared" si="72"/>
        <v>5997.08</v>
      </c>
      <c r="Z49" s="84">
        <v>0</v>
      </c>
      <c r="AA49" s="23">
        <v>5997.08</v>
      </c>
      <c r="AB49" s="23">
        <f t="shared" si="60"/>
        <v>0</v>
      </c>
      <c r="AC49" s="33">
        <v>0</v>
      </c>
      <c r="AD49" s="33">
        <v>0</v>
      </c>
      <c r="AE49" s="23">
        <f t="shared" si="73"/>
        <v>299854.68</v>
      </c>
      <c r="AF49" s="34">
        <v>0</v>
      </c>
      <c r="AG49" s="26">
        <f t="shared" si="5"/>
        <v>299854.68</v>
      </c>
      <c r="AH49" s="27" t="s">
        <v>585</v>
      </c>
      <c r="AI49" s="34"/>
      <c r="AJ49" s="54">
        <f>39088.01+17899.2</f>
        <v>56987.210000000006</v>
      </c>
      <c r="AK49" s="54">
        <f>8794.8+4027.32</f>
        <v>12822.119999999999</v>
      </c>
    </row>
    <row r="50" spans="1:37" ht="120" customHeight="1" x14ac:dyDescent="0.25">
      <c r="A50" s="12">
        <v>46</v>
      </c>
      <c r="B50" s="7">
        <v>126477</v>
      </c>
      <c r="C50" s="8">
        <v>507</v>
      </c>
      <c r="D50" s="9" t="s">
        <v>843</v>
      </c>
      <c r="E50" s="15" t="s">
        <v>968</v>
      </c>
      <c r="F50" s="16" t="s">
        <v>1142</v>
      </c>
      <c r="G50" s="69" t="s">
        <v>1143</v>
      </c>
      <c r="H50" s="17" t="s">
        <v>1144</v>
      </c>
      <c r="I50" s="9" t="s">
        <v>422</v>
      </c>
      <c r="J50" s="80" t="s">
        <v>1145</v>
      </c>
      <c r="K50" s="20">
        <v>43433</v>
      </c>
      <c r="L50" s="32">
        <v>43980</v>
      </c>
      <c r="M50" s="21">
        <f t="shared" si="74"/>
        <v>79.999999536713688</v>
      </c>
      <c r="N50" s="14">
        <v>8</v>
      </c>
      <c r="O50" s="14" t="s">
        <v>312</v>
      </c>
      <c r="P50" s="14" t="s">
        <v>312</v>
      </c>
      <c r="Q50" s="14" t="s">
        <v>212</v>
      </c>
      <c r="R50" s="14" t="s">
        <v>36</v>
      </c>
      <c r="S50" s="25">
        <f>T50+U50</f>
        <v>3108229.07</v>
      </c>
      <c r="T50" s="84">
        <v>0</v>
      </c>
      <c r="U50" s="23">
        <v>3108229.07</v>
      </c>
      <c r="V50" s="83">
        <f>W50+X50</f>
        <v>699351.56</v>
      </c>
      <c r="W50" s="84">
        <v>0</v>
      </c>
      <c r="X50" s="23">
        <v>699351.56</v>
      </c>
      <c r="Y50" s="83">
        <f>Z50+AA50</f>
        <v>77705.73</v>
      </c>
      <c r="Z50" s="84">
        <v>0</v>
      </c>
      <c r="AA50" s="23">
        <v>77705.73</v>
      </c>
      <c r="AB50" s="23">
        <f>AC50+AD50</f>
        <v>0</v>
      </c>
      <c r="AC50" s="33"/>
      <c r="AD50" s="33"/>
      <c r="AE50" s="23">
        <f>S50+V50+Y50+AB50</f>
        <v>3885286.36</v>
      </c>
      <c r="AF50" s="34"/>
      <c r="AG50" s="26">
        <f t="shared" si="5"/>
        <v>3885286.36</v>
      </c>
      <c r="AH50" s="27" t="s">
        <v>585</v>
      </c>
      <c r="AI50" s="34" t="s">
        <v>185</v>
      </c>
      <c r="AJ50" s="54">
        <v>31416</v>
      </c>
      <c r="AK50" s="54">
        <v>7068.6</v>
      </c>
    </row>
    <row r="51" spans="1:37" ht="141.75" x14ac:dyDescent="0.25">
      <c r="A51" s="14">
        <v>47</v>
      </c>
      <c r="B51" s="7">
        <v>126372</v>
      </c>
      <c r="C51" s="8">
        <v>510</v>
      </c>
      <c r="D51" s="9" t="s">
        <v>843</v>
      </c>
      <c r="E51" s="15" t="s">
        <v>968</v>
      </c>
      <c r="F51" s="16" t="s">
        <v>1142</v>
      </c>
      <c r="G51" s="69" t="s">
        <v>1173</v>
      </c>
      <c r="H51" s="17" t="s">
        <v>1174</v>
      </c>
      <c r="I51" s="9" t="s">
        <v>422</v>
      </c>
      <c r="J51" s="80" t="s">
        <v>1175</v>
      </c>
      <c r="K51" s="20">
        <v>43445</v>
      </c>
      <c r="L51" s="32">
        <v>44358</v>
      </c>
      <c r="M51" s="21">
        <f>S51/AE51*100</f>
        <v>80</v>
      </c>
      <c r="N51" s="14">
        <v>8</v>
      </c>
      <c r="O51" s="14" t="s">
        <v>312</v>
      </c>
      <c r="P51" s="14" t="s">
        <v>312</v>
      </c>
      <c r="Q51" s="14" t="s">
        <v>212</v>
      </c>
      <c r="R51" s="14" t="s">
        <v>36</v>
      </c>
      <c r="S51" s="25">
        <f t="shared" ref="S51:S55" si="75">T51+U51</f>
        <v>2932376.8</v>
      </c>
      <c r="T51" s="84">
        <v>0</v>
      </c>
      <c r="U51" s="23">
        <v>2932376.8</v>
      </c>
      <c r="V51" s="83">
        <f>W51+X51</f>
        <v>659784.78</v>
      </c>
      <c r="W51" s="84">
        <v>0</v>
      </c>
      <c r="X51" s="23">
        <v>659784.78</v>
      </c>
      <c r="Y51" s="83">
        <f>Z51+AA51</f>
        <v>73309.42</v>
      </c>
      <c r="Z51" s="84">
        <v>0</v>
      </c>
      <c r="AA51" s="23">
        <v>73309.42</v>
      </c>
      <c r="AB51" s="23">
        <f>AC51+AD51</f>
        <v>0</v>
      </c>
      <c r="AC51" s="29">
        <v>0</v>
      </c>
      <c r="AD51" s="29">
        <v>0</v>
      </c>
      <c r="AE51" s="23">
        <f>S51+V51+Y51+AB51</f>
        <v>3665471</v>
      </c>
      <c r="AF51" s="37">
        <v>127687</v>
      </c>
      <c r="AG51" s="26">
        <f t="shared" si="5"/>
        <v>3793158</v>
      </c>
      <c r="AH51" s="27" t="s">
        <v>585</v>
      </c>
      <c r="AI51" s="34" t="s">
        <v>185</v>
      </c>
      <c r="AJ51" s="54">
        <v>34729.599999999999</v>
      </c>
      <c r="AK51" s="54">
        <v>7814.16</v>
      </c>
    </row>
    <row r="52" spans="1:37" ht="141.75" x14ac:dyDescent="0.25">
      <c r="A52" s="12">
        <v>48</v>
      </c>
      <c r="B52" s="7">
        <v>128825</v>
      </c>
      <c r="C52" s="8">
        <v>661</v>
      </c>
      <c r="D52" s="9" t="s">
        <v>646</v>
      </c>
      <c r="E52" s="15" t="s">
        <v>968</v>
      </c>
      <c r="F52" s="16" t="s">
        <v>1488</v>
      </c>
      <c r="G52" s="87" t="s">
        <v>1489</v>
      </c>
      <c r="H52" s="88" t="s">
        <v>1492</v>
      </c>
      <c r="I52" s="9" t="s">
        <v>1221</v>
      </c>
      <c r="J52" s="80" t="s">
        <v>1495</v>
      </c>
      <c r="K52" s="20">
        <v>43635</v>
      </c>
      <c r="L52" s="32">
        <v>44427</v>
      </c>
      <c r="M52" s="21">
        <f t="shared" ref="M52:M55" si="76">S52/AE52*100</f>
        <v>79.493002830992353</v>
      </c>
      <c r="N52" s="14">
        <v>8</v>
      </c>
      <c r="O52" s="14" t="s">
        <v>312</v>
      </c>
      <c r="P52" s="14" t="s">
        <v>312</v>
      </c>
      <c r="Q52" s="14" t="s">
        <v>212</v>
      </c>
      <c r="R52" s="14" t="s">
        <v>36</v>
      </c>
      <c r="S52" s="25">
        <f t="shared" si="75"/>
        <v>3436600.48</v>
      </c>
      <c r="T52" s="84">
        <v>0</v>
      </c>
      <c r="U52" s="23">
        <v>3436600.48</v>
      </c>
      <c r="V52" s="83">
        <f t="shared" ref="V52:V55" si="77">W52+X52</f>
        <v>800084.95</v>
      </c>
      <c r="W52" s="84">
        <v>0</v>
      </c>
      <c r="X52" s="23">
        <v>800084.95</v>
      </c>
      <c r="Y52" s="83">
        <f t="shared" ref="Y52:Y55" si="78">Z52+AA52</f>
        <v>59065.17</v>
      </c>
      <c r="Z52" s="84">
        <v>0</v>
      </c>
      <c r="AA52" s="23">
        <v>59065.17</v>
      </c>
      <c r="AB52" s="23">
        <f t="shared" ref="AB52:AB55" si="79">AC52+AD52</f>
        <v>27397.8</v>
      </c>
      <c r="AC52" s="29">
        <v>0</v>
      </c>
      <c r="AD52" s="29">
        <v>27397.8</v>
      </c>
      <c r="AE52" s="23">
        <f t="shared" ref="AE52:AE55" si="80">S52+V52+Y52+AB52</f>
        <v>4323148.3999999994</v>
      </c>
      <c r="AF52" s="37">
        <v>29750</v>
      </c>
      <c r="AG52" s="26">
        <f t="shared" si="5"/>
        <v>4352898.3999999994</v>
      </c>
      <c r="AH52" s="27" t="s">
        <v>585</v>
      </c>
      <c r="AI52" s="34" t="s">
        <v>185</v>
      </c>
      <c r="AJ52" s="54"/>
      <c r="AK52" s="54"/>
    </row>
    <row r="53" spans="1:37" ht="255" x14ac:dyDescent="0.25">
      <c r="A53" s="12">
        <v>49</v>
      </c>
      <c r="B53" s="7">
        <v>129668</v>
      </c>
      <c r="C53" s="8">
        <v>673</v>
      </c>
      <c r="D53" s="9" t="s">
        <v>646</v>
      </c>
      <c r="E53" s="15" t="s">
        <v>968</v>
      </c>
      <c r="F53" s="16" t="s">
        <v>1488</v>
      </c>
      <c r="G53" s="87" t="s">
        <v>1490</v>
      </c>
      <c r="H53" s="88" t="s">
        <v>1493</v>
      </c>
      <c r="I53" s="9" t="s">
        <v>185</v>
      </c>
      <c r="J53" s="80" t="s">
        <v>1496</v>
      </c>
      <c r="K53" s="20">
        <v>43635</v>
      </c>
      <c r="L53" s="32">
        <v>44549</v>
      </c>
      <c r="M53" s="21">
        <f t="shared" si="76"/>
        <v>80.000000100149578</v>
      </c>
      <c r="N53" s="14">
        <v>8</v>
      </c>
      <c r="O53" s="14" t="s">
        <v>312</v>
      </c>
      <c r="P53" s="14" t="s">
        <v>312</v>
      </c>
      <c r="Q53" s="14" t="s">
        <v>212</v>
      </c>
      <c r="R53" s="14" t="s">
        <v>36</v>
      </c>
      <c r="S53" s="25">
        <f t="shared" si="75"/>
        <v>3195221.02</v>
      </c>
      <c r="T53" s="84">
        <v>0</v>
      </c>
      <c r="U53" s="23">
        <v>3195221.02</v>
      </c>
      <c r="V53" s="83">
        <f t="shared" si="77"/>
        <v>718924.72</v>
      </c>
      <c r="W53" s="84">
        <v>0</v>
      </c>
      <c r="X53" s="23">
        <v>718924.72</v>
      </c>
      <c r="Y53" s="83">
        <f t="shared" si="78"/>
        <v>79880.53</v>
      </c>
      <c r="Z53" s="84">
        <v>0</v>
      </c>
      <c r="AA53" s="23">
        <v>79880.53</v>
      </c>
      <c r="AB53" s="23">
        <f t="shared" si="79"/>
        <v>0</v>
      </c>
      <c r="AC53" s="29">
        <v>0</v>
      </c>
      <c r="AD53" s="29"/>
      <c r="AE53" s="23">
        <f t="shared" si="80"/>
        <v>3994026.27</v>
      </c>
      <c r="AF53" s="37">
        <v>0</v>
      </c>
      <c r="AG53" s="26">
        <f t="shared" si="5"/>
        <v>3994026.27</v>
      </c>
      <c r="AH53" s="27" t="s">
        <v>585</v>
      </c>
      <c r="AI53" s="34" t="s">
        <v>185</v>
      </c>
      <c r="AJ53" s="54"/>
      <c r="AK53" s="54"/>
    </row>
    <row r="54" spans="1:37" ht="195.75" customHeight="1" x14ac:dyDescent="0.25">
      <c r="A54" s="14">
        <v>50</v>
      </c>
      <c r="B54" s="7">
        <v>128335</v>
      </c>
      <c r="C54" s="8">
        <v>634</v>
      </c>
      <c r="D54" s="9" t="s">
        <v>646</v>
      </c>
      <c r="E54" s="15" t="s">
        <v>968</v>
      </c>
      <c r="F54" s="16" t="s">
        <v>1488</v>
      </c>
      <c r="G54" s="87" t="s">
        <v>1525</v>
      </c>
      <c r="H54" s="88" t="s">
        <v>1524</v>
      </c>
      <c r="I54" s="9" t="s">
        <v>1526</v>
      </c>
      <c r="J54" s="80" t="s">
        <v>1527</v>
      </c>
      <c r="K54" s="20">
        <v>43647</v>
      </c>
      <c r="L54" s="32">
        <v>44562</v>
      </c>
      <c r="M54" s="21">
        <f t="shared" si="76"/>
        <v>79.99999994861092</v>
      </c>
      <c r="N54" s="14">
        <v>8</v>
      </c>
      <c r="O54" s="14" t="s">
        <v>312</v>
      </c>
      <c r="P54" s="14" t="s">
        <v>312</v>
      </c>
      <c r="Q54" s="14" t="s">
        <v>212</v>
      </c>
      <c r="R54" s="14" t="s">
        <v>36</v>
      </c>
      <c r="S54" s="25">
        <f t="shared" si="75"/>
        <v>3113501.31</v>
      </c>
      <c r="T54" s="84">
        <v>0</v>
      </c>
      <c r="U54" s="23">
        <v>3113501.31</v>
      </c>
      <c r="V54" s="83">
        <f t="shared" si="77"/>
        <v>700537.78</v>
      </c>
      <c r="W54" s="84">
        <v>0</v>
      </c>
      <c r="X54" s="23">
        <v>700537.78</v>
      </c>
      <c r="Y54" s="83">
        <f t="shared" si="78"/>
        <v>77837.55</v>
      </c>
      <c r="Z54" s="84">
        <v>0</v>
      </c>
      <c r="AA54" s="23">
        <v>77837.55</v>
      </c>
      <c r="AB54" s="23">
        <v>0</v>
      </c>
      <c r="AC54" s="29">
        <v>0</v>
      </c>
      <c r="AD54" s="29"/>
      <c r="AE54" s="23">
        <f t="shared" si="80"/>
        <v>3891876.6399999997</v>
      </c>
      <c r="AF54" s="37">
        <v>0</v>
      </c>
      <c r="AG54" s="26">
        <f t="shared" si="5"/>
        <v>3891876.6399999997</v>
      </c>
      <c r="AH54" s="27" t="s">
        <v>585</v>
      </c>
      <c r="AI54" s="34" t="s">
        <v>185</v>
      </c>
      <c r="AJ54" s="54"/>
      <c r="AK54" s="54"/>
    </row>
    <row r="55" spans="1:37" ht="96.75" customHeight="1" x14ac:dyDescent="0.25">
      <c r="A55" s="12">
        <v>51</v>
      </c>
      <c r="B55" s="7">
        <v>129694</v>
      </c>
      <c r="C55" s="8">
        <v>694</v>
      </c>
      <c r="D55" s="9" t="s">
        <v>646</v>
      </c>
      <c r="E55" s="15" t="s">
        <v>968</v>
      </c>
      <c r="F55" s="16" t="s">
        <v>1488</v>
      </c>
      <c r="G55" s="87" t="s">
        <v>1491</v>
      </c>
      <c r="H55" s="88" t="s">
        <v>1494</v>
      </c>
      <c r="I55" s="9" t="s">
        <v>1221</v>
      </c>
      <c r="J55" s="15" t="s">
        <v>1497</v>
      </c>
      <c r="K55" s="20">
        <v>43635</v>
      </c>
      <c r="L55" s="32">
        <v>44458</v>
      </c>
      <c r="M55" s="21">
        <f t="shared" si="76"/>
        <v>79.559234452662935</v>
      </c>
      <c r="N55" s="14">
        <v>8</v>
      </c>
      <c r="O55" s="14" t="s">
        <v>312</v>
      </c>
      <c r="P55" s="14" t="s">
        <v>312</v>
      </c>
      <c r="Q55" s="14" t="s">
        <v>212</v>
      </c>
      <c r="R55" s="14" t="s">
        <v>36</v>
      </c>
      <c r="S55" s="25">
        <f t="shared" si="75"/>
        <v>3495320.83</v>
      </c>
      <c r="T55" s="84">
        <v>0</v>
      </c>
      <c r="U55" s="23">
        <v>3495320.83</v>
      </c>
      <c r="V55" s="83">
        <f t="shared" si="77"/>
        <v>810168.58</v>
      </c>
      <c r="W55" s="84">
        <v>0</v>
      </c>
      <c r="X55" s="23">
        <v>810168.58</v>
      </c>
      <c r="Y55" s="83">
        <f t="shared" si="78"/>
        <v>63661.63</v>
      </c>
      <c r="Z55" s="84">
        <v>0</v>
      </c>
      <c r="AA55" s="23">
        <v>63661.63</v>
      </c>
      <c r="AB55" s="23">
        <f t="shared" si="79"/>
        <v>24205.5</v>
      </c>
      <c r="AC55" s="29">
        <v>0</v>
      </c>
      <c r="AD55" s="29">
        <v>24205.5</v>
      </c>
      <c r="AE55" s="23">
        <f t="shared" si="80"/>
        <v>4393356.54</v>
      </c>
      <c r="AF55" s="37">
        <v>0</v>
      </c>
      <c r="AG55" s="26">
        <f t="shared" si="5"/>
        <v>4393356.54</v>
      </c>
      <c r="AH55" s="27" t="s">
        <v>585</v>
      </c>
      <c r="AI55" s="34" t="s">
        <v>185</v>
      </c>
      <c r="AJ55" s="54"/>
      <c r="AK55" s="54"/>
    </row>
    <row r="56" spans="1:37" ht="409.5" x14ac:dyDescent="0.25">
      <c r="A56" s="12">
        <v>52</v>
      </c>
      <c r="B56" s="7">
        <v>118335</v>
      </c>
      <c r="C56" s="7">
        <v>427</v>
      </c>
      <c r="D56" s="7" t="s">
        <v>684</v>
      </c>
      <c r="E56" s="15" t="s">
        <v>704</v>
      </c>
      <c r="F56" s="16" t="s">
        <v>610</v>
      </c>
      <c r="G56" s="71" t="s">
        <v>690</v>
      </c>
      <c r="H56" s="17" t="s">
        <v>691</v>
      </c>
      <c r="I56" s="9" t="s">
        <v>185</v>
      </c>
      <c r="J56" s="80" t="s">
        <v>697</v>
      </c>
      <c r="K56" s="20">
        <v>43284</v>
      </c>
      <c r="L56" s="32">
        <v>43711</v>
      </c>
      <c r="M56" s="21">
        <f t="shared" ref="M56:M66" si="81">S56/AE56*100</f>
        <v>85.000001775483071</v>
      </c>
      <c r="N56" s="14">
        <v>2</v>
      </c>
      <c r="O56" s="14" t="s">
        <v>692</v>
      </c>
      <c r="P56" s="14" t="s">
        <v>692</v>
      </c>
      <c r="Q56" s="14" t="s">
        <v>212</v>
      </c>
      <c r="R56" s="14" t="s">
        <v>36</v>
      </c>
      <c r="S56" s="25">
        <v>239371.48</v>
      </c>
      <c r="T56" s="23">
        <v>239371.48</v>
      </c>
      <c r="U56" s="29">
        <v>0</v>
      </c>
      <c r="V56" s="25">
        <v>36609.75</v>
      </c>
      <c r="W56" s="23">
        <v>36609.75</v>
      </c>
      <c r="X56" s="33">
        <v>0</v>
      </c>
      <c r="Y56" s="25">
        <v>5632.27</v>
      </c>
      <c r="Z56" s="23">
        <v>5632.27</v>
      </c>
      <c r="AA56" s="29">
        <v>0</v>
      </c>
      <c r="AB56" s="23">
        <f t="shared" si="60"/>
        <v>0</v>
      </c>
      <c r="AC56" s="29">
        <v>0</v>
      </c>
      <c r="AD56" s="29">
        <v>0</v>
      </c>
      <c r="AE56" s="23">
        <f t="shared" ref="AE56:AE59" si="82">S56+V56+Y56+AB56</f>
        <v>281613.5</v>
      </c>
      <c r="AF56" s="34">
        <v>0</v>
      </c>
      <c r="AG56" s="26">
        <f t="shared" si="5"/>
        <v>281613.5</v>
      </c>
      <c r="AH56" s="27" t="s">
        <v>585</v>
      </c>
      <c r="AI56" s="34" t="s">
        <v>1377</v>
      </c>
      <c r="AJ56" s="54">
        <v>13721.01</v>
      </c>
      <c r="AK56" s="54">
        <v>2098.5</v>
      </c>
    </row>
    <row r="57" spans="1:37" ht="409.5" x14ac:dyDescent="0.25">
      <c r="A57" s="14">
        <v>53</v>
      </c>
      <c r="B57" s="7">
        <v>118396</v>
      </c>
      <c r="C57" s="7">
        <v>428</v>
      </c>
      <c r="D57" s="7" t="s">
        <v>1320</v>
      </c>
      <c r="E57" s="15" t="s">
        <v>704</v>
      </c>
      <c r="F57" s="16" t="s">
        <v>610</v>
      </c>
      <c r="G57" s="89" t="s">
        <v>859</v>
      </c>
      <c r="H57" s="17" t="s">
        <v>860</v>
      </c>
      <c r="I57" s="14" t="s">
        <v>807</v>
      </c>
      <c r="J57" s="90" t="s">
        <v>861</v>
      </c>
      <c r="K57" s="20">
        <v>43312</v>
      </c>
      <c r="L57" s="32">
        <v>43799</v>
      </c>
      <c r="M57" s="21">
        <f t="shared" si="81"/>
        <v>84.20987828497924</v>
      </c>
      <c r="N57" s="91">
        <v>2</v>
      </c>
      <c r="O57" s="14" t="s">
        <v>692</v>
      </c>
      <c r="P57" s="14" t="s">
        <v>692</v>
      </c>
      <c r="Q57" s="14" t="s">
        <v>212</v>
      </c>
      <c r="R57" s="14" t="s">
        <v>36</v>
      </c>
      <c r="S57" s="29">
        <f>T57</f>
        <v>326851.75</v>
      </c>
      <c r="T57" s="29">
        <v>326851.75</v>
      </c>
      <c r="U57" s="29">
        <v>0</v>
      </c>
      <c r="V57" s="25">
        <f t="shared" si="59"/>
        <v>53524.9</v>
      </c>
      <c r="W57" s="29">
        <v>53524.9</v>
      </c>
      <c r="X57" s="29">
        <v>0</v>
      </c>
      <c r="Y57" s="29">
        <f>Z57+AA57</f>
        <v>7762.79</v>
      </c>
      <c r="Z57" s="29">
        <v>7762.79</v>
      </c>
      <c r="AA57" s="29">
        <v>0</v>
      </c>
      <c r="AB57" s="23">
        <f t="shared" si="60"/>
        <v>0</v>
      </c>
      <c r="AC57" s="29">
        <v>0</v>
      </c>
      <c r="AD57" s="29">
        <v>0</v>
      </c>
      <c r="AE57" s="23">
        <f t="shared" si="82"/>
        <v>388139.44</v>
      </c>
      <c r="AF57" s="34">
        <v>0</v>
      </c>
      <c r="AG57" s="26">
        <f t="shared" si="5"/>
        <v>388139.44</v>
      </c>
      <c r="AH57" s="27" t="s">
        <v>585</v>
      </c>
      <c r="AI57" s="34"/>
      <c r="AJ57" s="54">
        <f>38178.44+14834.2+3.22+14453.49+13750.33</f>
        <v>81219.680000000008</v>
      </c>
      <c r="AK57" s="54">
        <f>3425.9+2621.59-3.22+2550.61+2426.53</f>
        <v>11021.41</v>
      </c>
    </row>
    <row r="58" spans="1:37" ht="330.75" x14ac:dyDescent="0.25">
      <c r="A58" s="12">
        <v>54</v>
      </c>
      <c r="B58" s="13">
        <v>119892</v>
      </c>
      <c r="C58" s="67">
        <v>480</v>
      </c>
      <c r="D58" s="13" t="s">
        <v>168</v>
      </c>
      <c r="E58" s="18" t="s">
        <v>1041</v>
      </c>
      <c r="F58" s="16" t="s">
        <v>542</v>
      </c>
      <c r="G58" s="92" t="s">
        <v>1098</v>
      </c>
      <c r="H58" s="30" t="s">
        <v>1099</v>
      </c>
      <c r="I58" s="18" t="s">
        <v>422</v>
      </c>
      <c r="J58" s="19" t="s">
        <v>1100</v>
      </c>
      <c r="K58" s="93">
        <v>43389</v>
      </c>
      <c r="L58" s="32">
        <v>43661</v>
      </c>
      <c r="M58" s="21">
        <f t="shared" si="81"/>
        <v>85.000001891187381</v>
      </c>
      <c r="N58" s="13">
        <v>2</v>
      </c>
      <c r="O58" s="18" t="s">
        <v>692</v>
      </c>
      <c r="P58" s="14" t="s">
        <v>1101</v>
      </c>
      <c r="Q58" s="92" t="s">
        <v>212</v>
      </c>
      <c r="R58" s="94" t="s">
        <v>546</v>
      </c>
      <c r="S58" s="95">
        <f>T58+U58</f>
        <v>337089.82</v>
      </c>
      <c r="T58" s="29">
        <v>337089.82</v>
      </c>
      <c r="U58" s="29">
        <v>0</v>
      </c>
      <c r="V58" s="25">
        <f t="shared" si="59"/>
        <v>51554.91</v>
      </c>
      <c r="W58" s="23">
        <v>51554.91</v>
      </c>
      <c r="X58" s="13">
        <v>0</v>
      </c>
      <c r="Y58" s="96">
        <f>Z58+AA58</f>
        <v>7931.52</v>
      </c>
      <c r="Z58" s="97">
        <v>7931.52</v>
      </c>
      <c r="AA58" s="29">
        <v>0</v>
      </c>
      <c r="AB58" s="94">
        <v>0</v>
      </c>
      <c r="AC58" s="18">
        <v>0</v>
      </c>
      <c r="AD58" s="29">
        <v>0</v>
      </c>
      <c r="AE58" s="23">
        <f t="shared" si="82"/>
        <v>396576.25</v>
      </c>
      <c r="AF58" s="13">
        <v>0</v>
      </c>
      <c r="AG58" s="26">
        <f t="shared" si="5"/>
        <v>396576.25</v>
      </c>
      <c r="AH58" s="13" t="s">
        <v>585</v>
      </c>
      <c r="AI58" s="34"/>
      <c r="AJ58" s="38">
        <v>0</v>
      </c>
      <c r="AK58" s="1">
        <v>0</v>
      </c>
    </row>
    <row r="59" spans="1:37" ht="252" x14ac:dyDescent="0.25">
      <c r="A59" s="12">
        <v>55</v>
      </c>
      <c r="B59" s="13">
        <v>126446</v>
      </c>
      <c r="C59" s="67">
        <v>543</v>
      </c>
      <c r="D59" s="13" t="s">
        <v>174</v>
      </c>
      <c r="E59" s="18" t="s">
        <v>968</v>
      </c>
      <c r="F59" s="16" t="s">
        <v>1135</v>
      </c>
      <c r="G59" s="15" t="s">
        <v>1138</v>
      </c>
      <c r="H59" s="30" t="s">
        <v>1099</v>
      </c>
      <c r="I59" s="18" t="s">
        <v>422</v>
      </c>
      <c r="J59" s="19" t="s">
        <v>1139</v>
      </c>
      <c r="K59" s="98">
        <v>43430</v>
      </c>
      <c r="L59" s="32">
        <v>44253</v>
      </c>
      <c r="M59" s="21">
        <f t="shared" si="81"/>
        <v>85.000000017455704</v>
      </c>
      <c r="N59" s="13">
        <v>2</v>
      </c>
      <c r="O59" s="18" t="s">
        <v>692</v>
      </c>
      <c r="P59" s="14" t="s">
        <v>1101</v>
      </c>
      <c r="Q59" s="92" t="s">
        <v>212</v>
      </c>
      <c r="R59" s="94" t="s">
        <v>546</v>
      </c>
      <c r="S59" s="95">
        <f t="shared" ref="S59" si="83">T59+U59</f>
        <v>2434734.11</v>
      </c>
      <c r="T59" s="29">
        <v>2434734.11</v>
      </c>
      <c r="U59" s="29">
        <v>0</v>
      </c>
      <c r="V59" s="25">
        <f t="shared" si="59"/>
        <v>372371.1</v>
      </c>
      <c r="W59" s="23">
        <v>372371.1</v>
      </c>
      <c r="X59" s="13">
        <v>0</v>
      </c>
      <c r="Y59" s="96">
        <f t="shared" ref="Y59" si="84">Z59+AA59</f>
        <v>57287.86</v>
      </c>
      <c r="Z59" s="97">
        <v>57287.86</v>
      </c>
      <c r="AA59" s="29">
        <v>0</v>
      </c>
      <c r="AB59" s="23">
        <f t="shared" si="60"/>
        <v>0</v>
      </c>
      <c r="AC59" s="29">
        <v>0</v>
      </c>
      <c r="AD59" s="29">
        <v>0</v>
      </c>
      <c r="AE59" s="23">
        <f t="shared" si="82"/>
        <v>2864393.07</v>
      </c>
      <c r="AF59" s="13"/>
      <c r="AG59" s="26">
        <f t="shared" si="5"/>
        <v>2864393.07</v>
      </c>
      <c r="AH59" s="13" t="s">
        <v>585</v>
      </c>
      <c r="AI59" s="34"/>
      <c r="AJ59" s="38">
        <v>0</v>
      </c>
      <c r="AK59" s="1">
        <v>0</v>
      </c>
    </row>
    <row r="60" spans="1:37" ht="346.5" x14ac:dyDescent="0.25">
      <c r="A60" s="14">
        <v>56</v>
      </c>
      <c r="B60" s="13">
        <v>120730</v>
      </c>
      <c r="C60" s="8">
        <v>92</v>
      </c>
      <c r="D60" s="14" t="s">
        <v>175</v>
      </c>
      <c r="E60" s="15" t="s">
        <v>968</v>
      </c>
      <c r="F60" s="16" t="s">
        <v>331</v>
      </c>
      <c r="G60" s="17" t="s">
        <v>238</v>
      </c>
      <c r="H60" s="17" t="s">
        <v>237</v>
      </c>
      <c r="I60" s="18" t="s">
        <v>185</v>
      </c>
      <c r="J60" s="19" t="s">
        <v>240</v>
      </c>
      <c r="K60" s="20">
        <v>43145</v>
      </c>
      <c r="L60" s="20">
        <v>43630</v>
      </c>
      <c r="M60" s="21">
        <f>S60/AE60*100</f>
        <v>85.000000355065879</v>
      </c>
      <c r="N60" s="14">
        <v>2</v>
      </c>
      <c r="O60" s="14" t="s">
        <v>692</v>
      </c>
      <c r="P60" s="14" t="s">
        <v>1312</v>
      </c>
      <c r="Q60" s="22" t="s">
        <v>212</v>
      </c>
      <c r="R60" s="18" t="s">
        <v>36</v>
      </c>
      <c r="S60" s="23">
        <f>T60+U60</f>
        <v>359088.29</v>
      </c>
      <c r="T60" s="23">
        <v>359088.29</v>
      </c>
      <c r="U60" s="23">
        <v>0</v>
      </c>
      <c r="V60" s="23">
        <f>W60+X60</f>
        <v>54919.39</v>
      </c>
      <c r="W60" s="23">
        <v>54919.39</v>
      </c>
      <c r="X60" s="23">
        <v>0</v>
      </c>
      <c r="Y60" s="23">
        <f>Z60+AA60</f>
        <v>8449.1299999999992</v>
      </c>
      <c r="Z60" s="23">
        <v>8449.1299999999992</v>
      </c>
      <c r="AA60" s="23">
        <v>0</v>
      </c>
      <c r="AB60" s="23">
        <f>AC60+AD60</f>
        <v>0</v>
      </c>
      <c r="AC60" s="23"/>
      <c r="AD60" s="23"/>
      <c r="AE60" s="23">
        <f>S60+V60+Y60+AB60</f>
        <v>422456.81</v>
      </c>
      <c r="AF60" s="23">
        <v>66435.22</v>
      </c>
      <c r="AG60" s="26">
        <f t="shared" si="5"/>
        <v>488892.03</v>
      </c>
      <c r="AH60" s="27" t="s">
        <v>585</v>
      </c>
      <c r="AI60" s="28" t="s">
        <v>185</v>
      </c>
      <c r="AJ60" s="1">
        <f>61496.4+125218.28+42840+78452.67</f>
        <v>308007.34999999998</v>
      </c>
      <c r="AK60" s="29">
        <f>9405.33+19151.03+6552+11998.64</f>
        <v>47107</v>
      </c>
    </row>
    <row r="61" spans="1:37" ht="409.5" x14ac:dyDescent="0.25">
      <c r="A61" s="12">
        <v>57</v>
      </c>
      <c r="B61" s="13">
        <v>118879</v>
      </c>
      <c r="C61" s="18">
        <v>452</v>
      </c>
      <c r="D61" s="14" t="s">
        <v>684</v>
      </c>
      <c r="E61" s="15" t="s">
        <v>704</v>
      </c>
      <c r="F61" s="16" t="s">
        <v>610</v>
      </c>
      <c r="G61" s="15" t="s">
        <v>802</v>
      </c>
      <c r="H61" s="18" t="s">
        <v>803</v>
      </c>
      <c r="I61" s="18" t="s">
        <v>185</v>
      </c>
      <c r="J61" s="15" t="s">
        <v>804</v>
      </c>
      <c r="K61" s="20">
        <v>43293</v>
      </c>
      <c r="L61" s="32">
        <v>43780</v>
      </c>
      <c r="M61" s="21">
        <f t="shared" si="81"/>
        <v>85.000000000000014</v>
      </c>
      <c r="N61" s="18">
        <v>3</v>
      </c>
      <c r="O61" s="18" t="s">
        <v>428</v>
      </c>
      <c r="P61" s="18" t="s">
        <v>428</v>
      </c>
      <c r="Q61" s="18" t="s">
        <v>212</v>
      </c>
      <c r="R61" s="14" t="s">
        <v>36</v>
      </c>
      <c r="S61" s="1">
        <v>338205.65</v>
      </c>
      <c r="T61" s="1">
        <v>338205.65</v>
      </c>
      <c r="U61" s="29">
        <v>0</v>
      </c>
      <c r="V61" s="25">
        <v>51725.57</v>
      </c>
      <c r="W61" s="1">
        <v>51725.57</v>
      </c>
      <c r="X61" s="29">
        <v>0</v>
      </c>
      <c r="Y61" s="46">
        <v>7957.78</v>
      </c>
      <c r="Z61" s="1">
        <v>7957.78</v>
      </c>
      <c r="AA61" s="1">
        <v>0</v>
      </c>
      <c r="AB61" s="23">
        <v>0</v>
      </c>
      <c r="AC61" s="29">
        <v>0</v>
      </c>
      <c r="AD61" s="29">
        <v>0</v>
      </c>
      <c r="AE61" s="29">
        <v>397889</v>
      </c>
      <c r="AF61" s="99">
        <v>0</v>
      </c>
      <c r="AG61" s="26">
        <f t="shared" si="5"/>
        <v>397889</v>
      </c>
      <c r="AH61" s="27" t="s">
        <v>585</v>
      </c>
      <c r="AI61" s="86" t="s">
        <v>1378</v>
      </c>
      <c r="AJ61" s="54">
        <f>67994.82+55632.47</f>
        <v>123627.29000000001</v>
      </c>
      <c r="AK61" s="54">
        <f>10399.21+8508.49</f>
        <v>18907.699999999997</v>
      </c>
    </row>
    <row r="62" spans="1:37" ht="283.5" x14ac:dyDescent="0.25">
      <c r="A62" s="12">
        <v>58</v>
      </c>
      <c r="B62" s="7">
        <v>118774</v>
      </c>
      <c r="C62" s="8">
        <v>442</v>
      </c>
      <c r="D62" s="9" t="s">
        <v>175</v>
      </c>
      <c r="E62" s="15" t="s">
        <v>704</v>
      </c>
      <c r="F62" s="16" t="s">
        <v>610</v>
      </c>
      <c r="G62" s="15" t="s">
        <v>978</v>
      </c>
      <c r="H62" s="18" t="s">
        <v>979</v>
      </c>
      <c r="I62" s="9"/>
      <c r="J62" s="15" t="s">
        <v>1081</v>
      </c>
      <c r="K62" s="20">
        <v>43341</v>
      </c>
      <c r="L62" s="32">
        <v>43798</v>
      </c>
      <c r="M62" s="21">
        <v>85</v>
      </c>
      <c r="N62" s="9">
        <v>3</v>
      </c>
      <c r="O62" s="18" t="s">
        <v>428</v>
      </c>
      <c r="P62" s="18" t="s">
        <v>428</v>
      </c>
      <c r="Q62" s="18" t="s">
        <v>212</v>
      </c>
      <c r="R62" s="14" t="s">
        <v>36</v>
      </c>
      <c r="S62" s="29">
        <f>T62+U62</f>
        <v>220497.36</v>
      </c>
      <c r="T62" s="29">
        <v>220497.36</v>
      </c>
      <c r="U62" s="29">
        <v>0</v>
      </c>
      <c r="V62" s="25">
        <v>33723.14</v>
      </c>
      <c r="W62" s="100">
        <v>33723.14</v>
      </c>
      <c r="X62" s="29">
        <v>0</v>
      </c>
      <c r="Y62" s="29">
        <v>5188.17</v>
      </c>
      <c r="Z62" s="29">
        <v>5188.17</v>
      </c>
      <c r="AA62" s="1">
        <v>0</v>
      </c>
      <c r="AB62" s="23">
        <f t="shared" si="60"/>
        <v>0</v>
      </c>
      <c r="AC62" s="29">
        <v>0</v>
      </c>
      <c r="AD62" s="29">
        <v>0</v>
      </c>
      <c r="AE62" s="23">
        <f t="shared" ref="AE62:AE66" si="85">S62+V62+Y62+AB62</f>
        <v>259408.67</v>
      </c>
      <c r="AF62" s="34"/>
      <c r="AG62" s="26">
        <f t="shared" si="5"/>
        <v>259408.67</v>
      </c>
      <c r="AH62" s="27" t="s">
        <v>585</v>
      </c>
      <c r="AI62" s="86" t="s">
        <v>185</v>
      </c>
      <c r="AJ62" s="54">
        <v>51023.72</v>
      </c>
      <c r="AK62" s="54">
        <v>7803.63</v>
      </c>
    </row>
    <row r="63" spans="1:37" ht="112.5" customHeight="1" x14ac:dyDescent="0.25">
      <c r="A63" s="14">
        <v>59</v>
      </c>
      <c r="B63" s="7">
        <v>119901</v>
      </c>
      <c r="C63" s="8">
        <v>486</v>
      </c>
      <c r="D63" s="9" t="s">
        <v>168</v>
      </c>
      <c r="E63" s="9" t="s">
        <v>1041</v>
      </c>
      <c r="F63" s="41" t="s">
        <v>542</v>
      </c>
      <c r="G63" s="41" t="s">
        <v>1111</v>
      </c>
      <c r="H63" s="18" t="s">
        <v>803</v>
      </c>
      <c r="I63" s="9" t="s">
        <v>422</v>
      </c>
      <c r="J63" s="19" t="s">
        <v>1112</v>
      </c>
      <c r="K63" s="32">
        <v>43377</v>
      </c>
      <c r="L63" s="32">
        <v>43864</v>
      </c>
      <c r="M63" s="21">
        <f t="shared" si="81"/>
        <v>85.000004041383775</v>
      </c>
      <c r="N63" s="9">
        <v>3</v>
      </c>
      <c r="O63" s="18" t="s">
        <v>428</v>
      </c>
      <c r="P63" s="18" t="s">
        <v>1113</v>
      </c>
      <c r="Q63" s="18" t="s">
        <v>212</v>
      </c>
      <c r="R63" s="18" t="s">
        <v>546</v>
      </c>
      <c r="S63" s="29">
        <f>T63+U63</f>
        <v>420648.02</v>
      </c>
      <c r="T63" s="29">
        <v>420648.02</v>
      </c>
      <c r="U63" s="33">
        <v>0</v>
      </c>
      <c r="V63" s="25">
        <f>W63+X63</f>
        <v>64334.38</v>
      </c>
      <c r="W63" s="101">
        <v>64334.38</v>
      </c>
      <c r="X63" s="33">
        <v>0</v>
      </c>
      <c r="Y63" s="57">
        <f>Z62:Z63+AA63</f>
        <v>9897.6</v>
      </c>
      <c r="Z63" s="57">
        <v>9897.6</v>
      </c>
      <c r="AA63" s="57">
        <v>0</v>
      </c>
      <c r="AB63" s="23">
        <f t="shared" si="60"/>
        <v>0</v>
      </c>
      <c r="AC63" s="33">
        <v>0</v>
      </c>
      <c r="AD63" s="33">
        <v>0</v>
      </c>
      <c r="AE63" s="23">
        <f t="shared" si="85"/>
        <v>494880</v>
      </c>
      <c r="AF63" s="34"/>
      <c r="AG63" s="26">
        <f t="shared" si="5"/>
        <v>494880</v>
      </c>
      <c r="AH63" s="27" t="s">
        <v>871</v>
      </c>
      <c r="AI63" s="34"/>
      <c r="AJ63" s="38">
        <f>49488-933.45+20905.75</f>
        <v>69460.3</v>
      </c>
      <c r="AK63" s="1">
        <f>7425.99+3197.35</f>
        <v>10623.34</v>
      </c>
    </row>
    <row r="64" spans="1:37" ht="243.75" customHeight="1" x14ac:dyDescent="0.25">
      <c r="A64" s="12">
        <v>60</v>
      </c>
      <c r="B64" s="7">
        <v>126537</v>
      </c>
      <c r="C64" s="8">
        <v>569</v>
      </c>
      <c r="D64" s="9" t="s">
        <v>175</v>
      </c>
      <c r="E64" s="15" t="s">
        <v>968</v>
      </c>
      <c r="F64" s="16" t="s">
        <v>1135</v>
      </c>
      <c r="G64" s="15" t="s">
        <v>1369</v>
      </c>
      <c r="H64" s="18" t="s">
        <v>803</v>
      </c>
      <c r="I64" s="9" t="s">
        <v>422</v>
      </c>
      <c r="J64" s="19" t="s">
        <v>1370</v>
      </c>
      <c r="K64" s="20">
        <v>43567</v>
      </c>
      <c r="L64" s="32">
        <v>44450</v>
      </c>
      <c r="M64" s="21">
        <f t="shared" si="81"/>
        <v>84.999999931518204</v>
      </c>
      <c r="N64" s="9">
        <v>3</v>
      </c>
      <c r="O64" s="18" t="s">
        <v>428</v>
      </c>
      <c r="P64" s="18" t="s">
        <v>1113</v>
      </c>
      <c r="Q64" s="18" t="s">
        <v>212</v>
      </c>
      <c r="R64" s="18" t="s">
        <v>546</v>
      </c>
      <c r="S64" s="29">
        <f t="shared" ref="S64:S66" si="86">T64+U64</f>
        <v>3103013.95</v>
      </c>
      <c r="T64" s="29">
        <v>3103013.95</v>
      </c>
      <c r="U64" s="102">
        <v>0</v>
      </c>
      <c r="V64" s="25">
        <f t="shared" ref="V64:V66" si="87">W64+X64</f>
        <v>474578.61</v>
      </c>
      <c r="W64" s="101">
        <v>474578.61</v>
      </c>
      <c r="X64" s="102">
        <v>0</v>
      </c>
      <c r="Y64" s="57">
        <f t="shared" ref="Y64" si="88">Z63:Z64+AA64</f>
        <v>73012.09</v>
      </c>
      <c r="Z64" s="57">
        <v>73012.09</v>
      </c>
      <c r="AA64" s="102">
        <v>0</v>
      </c>
      <c r="AB64" s="23">
        <f t="shared" si="60"/>
        <v>0</v>
      </c>
      <c r="AC64" s="102">
        <v>0</v>
      </c>
      <c r="AD64" s="102">
        <v>0</v>
      </c>
      <c r="AE64" s="23">
        <f t="shared" si="85"/>
        <v>3650604.65</v>
      </c>
      <c r="AF64" s="1">
        <v>0</v>
      </c>
      <c r="AG64" s="26">
        <f t="shared" si="5"/>
        <v>3650604.65</v>
      </c>
      <c r="AH64" s="27" t="s">
        <v>871</v>
      </c>
      <c r="AI64" s="34"/>
      <c r="AJ64" s="38">
        <v>25269.65</v>
      </c>
      <c r="AK64" s="1">
        <v>0</v>
      </c>
    </row>
    <row r="65" spans="1:37" ht="220.5" x14ac:dyDescent="0.25">
      <c r="A65" s="12">
        <v>61</v>
      </c>
      <c r="B65" s="7">
        <v>129241</v>
      </c>
      <c r="C65" s="67">
        <v>650</v>
      </c>
      <c r="D65" s="7" t="s">
        <v>163</v>
      </c>
      <c r="E65" s="15" t="s">
        <v>968</v>
      </c>
      <c r="F65" s="103" t="s">
        <v>1417</v>
      </c>
      <c r="G65" s="36" t="s">
        <v>1430</v>
      </c>
      <c r="H65" s="18" t="s">
        <v>1431</v>
      </c>
      <c r="I65" s="9" t="s">
        <v>185</v>
      </c>
      <c r="J65" s="19" t="s">
        <v>1418</v>
      </c>
      <c r="K65" s="20">
        <v>43608</v>
      </c>
      <c r="L65" s="32">
        <v>44462</v>
      </c>
      <c r="M65" s="21">
        <f t="shared" si="81"/>
        <v>85.000000168986716</v>
      </c>
      <c r="N65" s="9">
        <v>3</v>
      </c>
      <c r="O65" s="18" t="s">
        <v>428</v>
      </c>
      <c r="P65" s="18" t="s">
        <v>1113</v>
      </c>
      <c r="Q65" s="18" t="s">
        <v>212</v>
      </c>
      <c r="R65" s="18" t="s">
        <v>546</v>
      </c>
      <c r="S65" s="29">
        <f t="shared" si="86"/>
        <v>2514990.63</v>
      </c>
      <c r="T65" s="1">
        <v>2514990.63</v>
      </c>
      <c r="U65" s="102">
        <v>0</v>
      </c>
      <c r="V65" s="25">
        <f t="shared" si="87"/>
        <v>384645.62</v>
      </c>
      <c r="W65" s="104">
        <v>384645.62</v>
      </c>
      <c r="X65" s="102">
        <v>0</v>
      </c>
      <c r="Y65" s="1">
        <f>Z64:Z65+AA65</f>
        <v>59176.25</v>
      </c>
      <c r="Z65" s="1">
        <v>59176.25</v>
      </c>
      <c r="AA65" s="1">
        <v>0</v>
      </c>
      <c r="AB65" s="26">
        <f t="shared" si="60"/>
        <v>0</v>
      </c>
      <c r="AC65" s="102">
        <v>0</v>
      </c>
      <c r="AD65" s="102">
        <v>0</v>
      </c>
      <c r="AE65" s="23">
        <f t="shared" si="85"/>
        <v>2958812.5</v>
      </c>
      <c r="AF65" s="1">
        <v>0</v>
      </c>
      <c r="AG65" s="26">
        <f t="shared" si="5"/>
        <v>2958812.5</v>
      </c>
      <c r="AH65" s="27" t="s">
        <v>871</v>
      </c>
      <c r="AI65" s="34"/>
      <c r="AJ65" s="38">
        <v>25182.5</v>
      </c>
      <c r="AK65" s="1">
        <v>0</v>
      </c>
    </row>
    <row r="66" spans="1:37" ht="220.5" x14ac:dyDescent="0.25">
      <c r="A66" s="14">
        <v>62</v>
      </c>
      <c r="B66" s="7">
        <v>129152</v>
      </c>
      <c r="C66" s="67">
        <v>656</v>
      </c>
      <c r="D66" s="7" t="s">
        <v>176</v>
      </c>
      <c r="E66" s="15" t="str">
        <f t="shared" ref="E66:F66" si="89">E65</f>
        <v>AP 2/11i/2.1</v>
      </c>
      <c r="F66" s="103" t="str">
        <f t="shared" si="89"/>
        <v>CP 12 less/2018</v>
      </c>
      <c r="G66" s="36" t="s">
        <v>1442</v>
      </c>
      <c r="H66" s="35" t="s">
        <v>979</v>
      </c>
      <c r="I66" s="9" t="s">
        <v>185</v>
      </c>
      <c r="J66" s="19" t="s">
        <v>1443</v>
      </c>
      <c r="K66" s="20">
        <v>43621</v>
      </c>
      <c r="L66" s="32">
        <v>44352</v>
      </c>
      <c r="M66" s="21">
        <f t="shared" si="81"/>
        <v>85.000000171199162</v>
      </c>
      <c r="N66" s="9">
        <f t="shared" ref="N66:O66" si="90">N65</f>
        <v>3</v>
      </c>
      <c r="O66" s="18" t="str">
        <f t="shared" si="90"/>
        <v>CĂLĂRAȘI</v>
      </c>
      <c r="P66" s="18" t="s">
        <v>1113</v>
      </c>
      <c r="Q66" s="18" t="s">
        <v>212</v>
      </c>
      <c r="R66" s="18" t="s">
        <v>546</v>
      </c>
      <c r="S66" s="29">
        <f t="shared" si="86"/>
        <v>2482488.84</v>
      </c>
      <c r="T66" s="1">
        <v>2482488.84</v>
      </c>
      <c r="U66" s="102">
        <v>0</v>
      </c>
      <c r="V66" s="25">
        <f t="shared" si="87"/>
        <v>379674.76</v>
      </c>
      <c r="W66" s="104">
        <v>379674.76</v>
      </c>
      <c r="X66" s="102">
        <v>0</v>
      </c>
      <c r="Y66" s="1">
        <f>Z65:Z66+AA66</f>
        <v>58411.5</v>
      </c>
      <c r="Z66" s="1">
        <v>58411.5</v>
      </c>
      <c r="AA66" s="1">
        <v>0</v>
      </c>
      <c r="AB66" s="26">
        <f t="shared" si="60"/>
        <v>0</v>
      </c>
      <c r="AC66" s="102">
        <v>0</v>
      </c>
      <c r="AD66" s="102">
        <v>0</v>
      </c>
      <c r="AE66" s="23">
        <f t="shared" si="85"/>
        <v>2920575.0999999996</v>
      </c>
      <c r="AF66" s="1">
        <v>11900</v>
      </c>
      <c r="AG66" s="26">
        <f t="shared" si="5"/>
        <v>2932475.0999999996</v>
      </c>
      <c r="AH66" s="27" t="s">
        <v>871</v>
      </c>
      <c r="AI66" s="34"/>
      <c r="AJ66" s="38"/>
      <c r="AK66" s="1"/>
    </row>
    <row r="67" spans="1:37" ht="315" x14ac:dyDescent="0.25">
      <c r="A67" s="12">
        <v>63</v>
      </c>
      <c r="B67" s="7">
        <v>120791</v>
      </c>
      <c r="C67" s="8">
        <v>88</v>
      </c>
      <c r="D67" s="14" t="s">
        <v>168</v>
      </c>
      <c r="E67" s="15" t="s">
        <v>968</v>
      </c>
      <c r="F67" s="16" t="s">
        <v>331</v>
      </c>
      <c r="G67" s="15" t="s">
        <v>336</v>
      </c>
      <c r="H67" s="17" t="s">
        <v>1426</v>
      </c>
      <c r="I67" s="105" t="s">
        <v>337</v>
      </c>
      <c r="J67" s="80" t="s">
        <v>338</v>
      </c>
      <c r="K67" s="20">
        <v>43180</v>
      </c>
      <c r="L67" s="32">
        <v>43667</v>
      </c>
      <c r="M67" s="21">
        <f t="shared" ref="M67:M68" si="91">S67/AE67*100</f>
        <v>84.174275146898083</v>
      </c>
      <c r="N67" s="14">
        <v>5</v>
      </c>
      <c r="O67" s="14" t="s">
        <v>339</v>
      </c>
      <c r="P67" s="14" t="s">
        <v>340</v>
      </c>
      <c r="Q67" s="22" t="s">
        <v>212</v>
      </c>
      <c r="R67" s="14" t="s">
        <v>36</v>
      </c>
      <c r="S67" s="25">
        <f t="shared" ref="S67:S68" si="92">T67+U67</f>
        <v>316573.06</v>
      </c>
      <c r="T67" s="23">
        <v>316573.06</v>
      </c>
      <c r="U67" s="23">
        <v>0</v>
      </c>
      <c r="V67" s="25">
        <f t="shared" si="59"/>
        <v>51997.5</v>
      </c>
      <c r="W67" s="23">
        <v>51997.5</v>
      </c>
      <c r="X67" s="23">
        <v>0</v>
      </c>
      <c r="Y67" s="25">
        <f>Z67+AA67</f>
        <v>7521.85</v>
      </c>
      <c r="Z67" s="23">
        <v>7521.85</v>
      </c>
      <c r="AA67" s="23">
        <v>0</v>
      </c>
      <c r="AB67" s="23">
        <f t="shared" si="60"/>
        <v>0</v>
      </c>
      <c r="AC67" s="23">
        <v>0</v>
      </c>
      <c r="AD67" s="23">
        <v>0</v>
      </c>
      <c r="AE67" s="23">
        <f>S67+V67+Y67+AB67</f>
        <v>376092.41</v>
      </c>
      <c r="AF67" s="23">
        <v>0</v>
      </c>
      <c r="AG67" s="26">
        <f t="shared" si="5"/>
        <v>376092.41</v>
      </c>
      <c r="AH67" s="27" t="s">
        <v>585</v>
      </c>
      <c r="AI67" s="28" t="s">
        <v>185</v>
      </c>
      <c r="AJ67" s="1">
        <f>82700.83+16407.5-2095.99+13973.28+13168.81+13492.57+33256.21</f>
        <v>170903.21</v>
      </c>
      <c r="AK67" s="29">
        <f>10873.44+2461.12+2095.99+2014.06+2381.06+5613.51</f>
        <v>25439.18</v>
      </c>
    </row>
    <row r="68" spans="1:37" ht="345" x14ac:dyDescent="0.25">
      <c r="A68" s="12">
        <v>64</v>
      </c>
      <c r="B68" s="7">
        <v>128386</v>
      </c>
      <c r="C68" s="8">
        <v>657</v>
      </c>
      <c r="D68" s="13" t="s">
        <v>176</v>
      </c>
      <c r="E68" s="15" t="s">
        <v>968</v>
      </c>
      <c r="F68" s="103" t="s">
        <v>1417</v>
      </c>
      <c r="G68" s="15" t="s">
        <v>1427</v>
      </c>
      <c r="H68" s="106" t="s">
        <v>1428</v>
      </c>
      <c r="I68" s="9" t="s">
        <v>185</v>
      </c>
      <c r="J68" s="107" t="s">
        <v>1429</v>
      </c>
      <c r="K68" s="20">
        <v>43613</v>
      </c>
      <c r="L68" s="32">
        <v>44436</v>
      </c>
      <c r="M68" s="21">
        <f t="shared" si="91"/>
        <v>84.999999925635848</v>
      </c>
      <c r="N68" s="14">
        <v>5</v>
      </c>
      <c r="O68" s="14" t="s">
        <v>339</v>
      </c>
      <c r="P68" s="106" t="s">
        <v>1428</v>
      </c>
      <c r="Q68" s="22" t="s">
        <v>212</v>
      </c>
      <c r="R68" s="14" t="s">
        <v>36</v>
      </c>
      <c r="S68" s="25">
        <f t="shared" si="92"/>
        <v>3429071.68</v>
      </c>
      <c r="T68" s="23">
        <v>3429071.68</v>
      </c>
      <c r="U68" s="23">
        <v>0</v>
      </c>
      <c r="V68" s="25">
        <f t="shared" si="59"/>
        <v>524446.26</v>
      </c>
      <c r="W68" s="23">
        <v>524446.26</v>
      </c>
      <c r="X68" s="23">
        <v>0</v>
      </c>
      <c r="Y68" s="25">
        <f>Z68+AA68</f>
        <v>80684.039999999994</v>
      </c>
      <c r="Z68" s="23">
        <v>80684.039999999994</v>
      </c>
      <c r="AA68" s="23">
        <v>0</v>
      </c>
      <c r="AB68" s="23">
        <f t="shared" si="60"/>
        <v>0</v>
      </c>
      <c r="AC68" s="23">
        <v>0</v>
      </c>
      <c r="AD68" s="23">
        <v>0</v>
      </c>
      <c r="AE68" s="23">
        <f>S68+V68+Y68+AB68</f>
        <v>4034201.9800000004</v>
      </c>
      <c r="AF68" s="23">
        <v>0</v>
      </c>
      <c r="AG68" s="26">
        <f t="shared" si="5"/>
        <v>4034201.9800000004</v>
      </c>
      <c r="AH68" s="27" t="s">
        <v>585</v>
      </c>
      <c r="AI68" s="28"/>
      <c r="AJ68" s="1"/>
      <c r="AK68" s="29"/>
    </row>
    <row r="69" spans="1:37" ht="315" x14ac:dyDescent="0.25">
      <c r="A69" s="14">
        <v>65</v>
      </c>
      <c r="B69" s="13">
        <v>120583</v>
      </c>
      <c r="C69" s="8">
        <v>77</v>
      </c>
      <c r="D69" s="14" t="s">
        <v>174</v>
      </c>
      <c r="E69" s="15" t="s">
        <v>968</v>
      </c>
      <c r="F69" s="16" t="s">
        <v>331</v>
      </c>
      <c r="G69" s="17" t="s">
        <v>214</v>
      </c>
      <c r="H69" s="17" t="s">
        <v>217</v>
      </c>
      <c r="I69" s="14" t="s">
        <v>185</v>
      </c>
      <c r="J69" s="48" t="s">
        <v>220</v>
      </c>
      <c r="K69" s="20">
        <v>43126</v>
      </c>
      <c r="L69" s="32">
        <v>43369</v>
      </c>
      <c r="M69" s="21">
        <f t="shared" ref="M69:M75" si="93">S69/AE69*100</f>
        <v>84.999999763641128</v>
      </c>
      <c r="N69" s="14">
        <v>6</v>
      </c>
      <c r="O69" s="14" t="s">
        <v>222</v>
      </c>
      <c r="P69" s="14" t="s">
        <v>223</v>
      </c>
      <c r="Q69" s="42" t="s">
        <v>212</v>
      </c>
      <c r="R69" s="14" t="s">
        <v>36</v>
      </c>
      <c r="S69" s="25">
        <f t="shared" ref="S69:S75" si="94">T69+U69</f>
        <v>359622.64</v>
      </c>
      <c r="T69" s="23">
        <v>359622.64</v>
      </c>
      <c r="U69" s="23">
        <v>0</v>
      </c>
      <c r="V69" s="25">
        <f t="shared" si="59"/>
        <v>55001.11</v>
      </c>
      <c r="W69" s="23">
        <v>55001.11</v>
      </c>
      <c r="X69" s="23">
        <v>0</v>
      </c>
      <c r="Y69" s="25">
        <f t="shared" ref="Y69" si="95">Z69+AA69</f>
        <v>8461.7099999999991</v>
      </c>
      <c r="Z69" s="23">
        <v>8461.7099999999991</v>
      </c>
      <c r="AA69" s="23">
        <v>0</v>
      </c>
      <c r="AB69" s="23">
        <f t="shared" si="60"/>
        <v>0</v>
      </c>
      <c r="AC69" s="23"/>
      <c r="AD69" s="23"/>
      <c r="AE69" s="23">
        <f>S69+V69+Y69+AB69</f>
        <v>423085.46</v>
      </c>
      <c r="AF69" s="23">
        <v>0</v>
      </c>
      <c r="AG69" s="26">
        <f t="shared" si="5"/>
        <v>423085.46</v>
      </c>
      <c r="AH69" s="27" t="s">
        <v>1073</v>
      </c>
      <c r="AI69" s="28" t="s">
        <v>185</v>
      </c>
      <c r="AJ69" s="1">
        <f>41688.25+258393</f>
        <v>300081.25</v>
      </c>
      <c r="AK69" s="49">
        <f>6375.85+39518.93</f>
        <v>45894.78</v>
      </c>
    </row>
    <row r="70" spans="1:37" ht="189" x14ac:dyDescent="0.25">
      <c r="A70" s="12">
        <v>66</v>
      </c>
      <c r="B70" s="13">
        <v>110080</v>
      </c>
      <c r="C70" s="8">
        <v>118</v>
      </c>
      <c r="D70" s="14" t="s">
        <v>843</v>
      </c>
      <c r="E70" s="15" t="s">
        <v>968</v>
      </c>
      <c r="F70" s="16" t="s">
        <v>331</v>
      </c>
      <c r="G70" s="17" t="s">
        <v>305</v>
      </c>
      <c r="H70" s="17" t="s">
        <v>306</v>
      </c>
      <c r="I70" s="18" t="s">
        <v>185</v>
      </c>
      <c r="J70" s="19" t="s">
        <v>307</v>
      </c>
      <c r="K70" s="20">
        <v>43171</v>
      </c>
      <c r="L70" s="32">
        <v>43658</v>
      </c>
      <c r="M70" s="21">
        <f t="shared" si="93"/>
        <v>84.9999996799977</v>
      </c>
      <c r="N70" s="14">
        <v>6</v>
      </c>
      <c r="O70" s="14" t="s">
        <v>222</v>
      </c>
      <c r="P70" s="14" t="s">
        <v>308</v>
      </c>
      <c r="Q70" s="22" t="s">
        <v>212</v>
      </c>
      <c r="R70" s="14" t="s">
        <v>36</v>
      </c>
      <c r="S70" s="25">
        <f t="shared" si="94"/>
        <v>531246.18999999994</v>
      </c>
      <c r="T70" s="23">
        <v>531246.18999999994</v>
      </c>
      <c r="U70" s="23">
        <v>0</v>
      </c>
      <c r="V70" s="25">
        <f t="shared" si="59"/>
        <v>81249.41</v>
      </c>
      <c r="W70" s="23">
        <v>81249.41</v>
      </c>
      <c r="X70" s="23">
        <v>0</v>
      </c>
      <c r="Y70" s="25">
        <v>12499.92</v>
      </c>
      <c r="Z70" s="23">
        <v>12499.92</v>
      </c>
      <c r="AA70" s="23">
        <v>0</v>
      </c>
      <c r="AB70" s="23">
        <f t="shared" si="60"/>
        <v>0</v>
      </c>
      <c r="AC70" s="23"/>
      <c r="AD70" s="23"/>
      <c r="AE70" s="23">
        <f t="shared" ref="AE70:AE75" si="96">S70+V70+Y70+AB70</f>
        <v>624995.52</v>
      </c>
      <c r="AF70" s="23">
        <v>0</v>
      </c>
      <c r="AG70" s="26">
        <f t="shared" ref="AG70:AG133" si="97">AE70+AF70</f>
        <v>624995.52</v>
      </c>
      <c r="AH70" s="27" t="s">
        <v>585</v>
      </c>
      <c r="AI70" s="28" t="s">
        <v>185</v>
      </c>
      <c r="AJ70" s="1">
        <f>116443.03+69871.41+58803.54</f>
        <v>245117.98</v>
      </c>
      <c r="AK70" s="29">
        <f>17808.93+10686.22+8993.49</f>
        <v>37488.639999999999</v>
      </c>
    </row>
    <row r="71" spans="1:37" ht="362.25" x14ac:dyDescent="0.25">
      <c r="A71" s="12">
        <v>67</v>
      </c>
      <c r="B71" s="13">
        <v>120588</v>
      </c>
      <c r="C71" s="18">
        <v>104</v>
      </c>
      <c r="D71" s="14" t="s">
        <v>684</v>
      </c>
      <c r="E71" s="15" t="s">
        <v>968</v>
      </c>
      <c r="F71" s="16" t="s">
        <v>331</v>
      </c>
      <c r="G71" s="108" t="s">
        <v>386</v>
      </c>
      <c r="H71" s="30" t="s">
        <v>385</v>
      </c>
      <c r="I71" s="14" t="s">
        <v>185</v>
      </c>
      <c r="J71" s="19" t="s">
        <v>387</v>
      </c>
      <c r="K71" s="20">
        <v>43201</v>
      </c>
      <c r="L71" s="32">
        <v>43749</v>
      </c>
      <c r="M71" s="21">
        <f t="shared" si="93"/>
        <v>85.000000000000014</v>
      </c>
      <c r="N71" s="14">
        <v>6</v>
      </c>
      <c r="O71" s="14" t="s">
        <v>222</v>
      </c>
      <c r="P71" s="14" t="s">
        <v>308</v>
      </c>
      <c r="Q71" s="42" t="s">
        <v>212</v>
      </c>
      <c r="R71" s="14" t="s">
        <v>36</v>
      </c>
      <c r="S71" s="25">
        <f t="shared" si="94"/>
        <v>354701.26</v>
      </c>
      <c r="T71" s="23">
        <v>354701.26</v>
      </c>
      <c r="U71" s="23">
        <v>0</v>
      </c>
      <c r="V71" s="25">
        <f t="shared" si="59"/>
        <v>54248.43</v>
      </c>
      <c r="W71" s="23">
        <v>54248.43</v>
      </c>
      <c r="X71" s="23">
        <v>0</v>
      </c>
      <c r="Y71" s="25">
        <f>Z71+AA71</f>
        <v>8345.91</v>
      </c>
      <c r="Z71" s="23">
        <v>8345.91</v>
      </c>
      <c r="AA71" s="23">
        <v>0</v>
      </c>
      <c r="AB71" s="23">
        <f t="shared" si="60"/>
        <v>0</v>
      </c>
      <c r="AC71" s="23">
        <v>0</v>
      </c>
      <c r="AD71" s="23">
        <v>0</v>
      </c>
      <c r="AE71" s="23">
        <f t="shared" si="96"/>
        <v>417295.6</v>
      </c>
      <c r="AF71" s="23">
        <v>0</v>
      </c>
      <c r="AG71" s="26">
        <f t="shared" si="97"/>
        <v>417295.6</v>
      </c>
      <c r="AH71" s="27" t="s">
        <v>585</v>
      </c>
      <c r="AI71" s="28" t="s">
        <v>1376</v>
      </c>
      <c r="AJ71" s="1">
        <f>4830.98+7367.8+23538.62+16315.75+114299.5</f>
        <v>166352.65</v>
      </c>
      <c r="AK71" s="29">
        <f>738.85+1126.84+3600.02+2495.35+17481.1</f>
        <v>25442.159999999996</v>
      </c>
    </row>
    <row r="72" spans="1:37" ht="207" customHeight="1" x14ac:dyDescent="0.25">
      <c r="A72" s="14">
        <v>68</v>
      </c>
      <c r="B72" s="13">
        <v>126485</v>
      </c>
      <c r="C72" s="8">
        <v>546</v>
      </c>
      <c r="D72" s="14" t="s">
        <v>177</v>
      </c>
      <c r="E72" s="15" t="s">
        <v>968</v>
      </c>
      <c r="F72" s="16" t="s">
        <v>1135</v>
      </c>
      <c r="G72" s="108" t="s">
        <v>1215</v>
      </c>
      <c r="H72" s="30" t="s">
        <v>1213</v>
      </c>
      <c r="I72" s="14" t="s">
        <v>185</v>
      </c>
      <c r="J72" s="19" t="s">
        <v>1214</v>
      </c>
      <c r="K72" s="20">
        <v>43455</v>
      </c>
      <c r="L72" s="32">
        <v>44186</v>
      </c>
      <c r="M72" s="21">
        <f t="shared" si="93"/>
        <v>85</v>
      </c>
      <c r="N72" s="14">
        <v>6</v>
      </c>
      <c r="O72" s="14" t="s">
        <v>222</v>
      </c>
      <c r="P72" s="14" t="s">
        <v>223</v>
      </c>
      <c r="Q72" s="42" t="s">
        <v>212</v>
      </c>
      <c r="R72" s="14" t="s">
        <v>36</v>
      </c>
      <c r="S72" s="25">
        <f t="shared" si="94"/>
        <v>3257796.87</v>
      </c>
      <c r="T72" s="23">
        <v>3257796.87</v>
      </c>
      <c r="U72" s="23">
        <v>0</v>
      </c>
      <c r="V72" s="25">
        <f t="shared" si="59"/>
        <v>498251.29</v>
      </c>
      <c r="W72" s="23">
        <v>498251.29</v>
      </c>
      <c r="X72" s="23">
        <v>0</v>
      </c>
      <c r="Y72" s="25">
        <f t="shared" ref="Y72:Y75" si="98">Z72+AA72</f>
        <v>76654.039999999994</v>
      </c>
      <c r="Z72" s="23">
        <v>76654.039999999994</v>
      </c>
      <c r="AA72" s="23">
        <v>0</v>
      </c>
      <c r="AB72" s="23">
        <f t="shared" si="60"/>
        <v>0</v>
      </c>
      <c r="AC72" s="23">
        <v>0</v>
      </c>
      <c r="AD72" s="23">
        <v>0</v>
      </c>
      <c r="AE72" s="23">
        <f t="shared" si="96"/>
        <v>3832702.2</v>
      </c>
      <c r="AF72" s="23"/>
      <c r="AG72" s="26">
        <f t="shared" si="97"/>
        <v>3832702.2</v>
      </c>
      <c r="AH72" s="27" t="s">
        <v>585</v>
      </c>
      <c r="AI72" s="28" t="s">
        <v>185</v>
      </c>
      <c r="AJ72" s="54">
        <v>0</v>
      </c>
      <c r="AK72" s="29">
        <v>0</v>
      </c>
    </row>
    <row r="73" spans="1:37" ht="240.75" customHeight="1" x14ac:dyDescent="0.25">
      <c r="A73" s="12">
        <v>69</v>
      </c>
      <c r="B73" s="13">
        <v>126214</v>
      </c>
      <c r="C73" s="8">
        <v>527</v>
      </c>
      <c r="D73" s="14" t="s">
        <v>1074</v>
      </c>
      <c r="E73" s="15" t="s">
        <v>968</v>
      </c>
      <c r="F73" s="16" t="s">
        <v>1135</v>
      </c>
      <c r="G73" s="108" t="s">
        <v>1257</v>
      </c>
      <c r="H73" s="30" t="s">
        <v>1258</v>
      </c>
      <c r="I73" s="14" t="s">
        <v>185</v>
      </c>
      <c r="J73" s="19" t="s">
        <v>1259</v>
      </c>
      <c r="K73" s="20">
        <v>43507</v>
      </c>
      <c r="L73" s="32">
        <v>44419</v>
      </c>
      <c r="M73" s="21">
        <f t="shared" si="93"/>
        <v>85.000000000000014</v>
      </c>
      <c r="N73" s="14">
        <v>6</v>
      </c>
      <c r="O73" s="14" t="s">
        <v>222</v>
      </c>
      <c r="P73" s="14" t="s">
        <v>308</v>
      </c>
      <c r="Q73" s="42" t="s">
        <v>212</v>
      </c>
      <c r="R73" s="14" t="s">
        <v>36</v>
      </c>
      <c r="S73" s="25">
        <f t="shared" si="94"/>
        <v>3316506.2</v>
      </c>
      <c r="T73" s="23">
        <v>3316506.2</v>
      </c>
      <c r="U73" s="23">
        <v>0</v>
      </c>
      <c r="V73" s="25">
        <f t="shared" si="59"/>
        <v>507230.36</v>
      </c>
      <c r="W73" s="23">
        <v>507230.36</v>
      </c>
      <c r="X73" s="23">
        <v>0</v>
      </c>
      <c r="Y73" s="25">
        <f t="shared" si="98"/>
        <v>78035.44</v>
      </c>
      <c r="Z73" s="23">
        <v>78035.44</v>
      </c>
      <c r="AA73" s="23">
        <v>0</v>
      </c>
      <c r="AB73" s="23">
        <f t="shared" si="60"/>
        <v>0</v>
      </c>
      <c r="AC73" s="23">
        <v>0</v>
      </c>
      <c r="AD73" s="23">
        <v>0</v>
      </c>
      <c r="AE73" s="23">
        <f t="shared" si="96"/>
        <v>3901772</v>
      </c>
      <c r="AF73" s="23">
        <v>0</v>
      </c>
      <c r="AG73" s="26">
        <f t="shared" si="97"/>
        <v>3901772</v>
      </c>
      <c r="AH73" s="27" t="s">
        <v>585</v>
      </c>
      <c r="AI73" s="28"/>
      <c r="AJ73" s="54">
        <v>0</v>
      </c>
      <c r="AK73" s="29">
        <v>0</v>
      </c>
    </row>
    <row r="74" spans="1:37" ht="240.75" customHeight="1" x14ac:dyDescent="0.25">
      <c r="A74" s="12">
        <v>70</v>
      </c>
      <c r="B74" s="14">
        <v>128473</v>
      </c>
      <c r="C74" s="8">
        <v>629</v>
      </c>
      <c r="D74" s="14" t="s">
        <v>173</v>
      </c>
      <c r="E74" s="15" t="str">
        <f>$E$161</f>
        <v>AP2/11i /2.1</v>
      </c>
      <c r="F74" s="109" t="s">
        <v>1417</v>
      </c>
      <c r="G74" s="108" t="s">
        <v>1500</v>
      </c>
      <c r="H74" s="30" t="s">
        <v>1501</v>
      </c>
      <c r="I74" s="14" t="s">
        <v>422</v>
      </c>
      <c r="J74" s="19" t="s">
        <v>1503</v>
      </c>
      <c r="K74" s="20">
        <v>43640</v>
      </c>
      <c r="L74" s="32">
        <v>44554</v>
      </c>
      <c r="M74" s="21">
        <f t="shared" si="93"/>
        <v>85</v>
      </c>
      <c r="N74" s="14">
        <v>6</v>
      </c>
      <c r="O74" s="14" t="s">
        <v>222</v>
      </c>
      <c r="P74" s="14" t="s">
        <v>308</v>
      </c>
      <c r="Q74" s="42" t="s">
        <v>212</v>
      </c>
      <c r="R74" s="14" t="s">
        <v>36</v>
      </c>
      <c r="S74" s="25">
        <f t="shared" si="94"/>
        <v>2773068.05</v>
      </c>
      <c r="T74" s="23">
        <v>2773068.05</v>
      </c>
      <c r="U74" s="23">
        <v>0</v>
      </c>
      <c r="V74" s="25">
        <f t="shared" si="59"/>
        <v>424116.29</v>
      </c>
      <c r="W74" s="23">
        <v>424116.29</v>
      </c>
      <c r="X74" s="23">
        <v>0</v>
      </c>
      <c r="Y74" s="25">
        <f t="shared" si="98"/>
        <v>65248.66</v>
      </c>
      <c r="Z74" s="23">
        <v>65248.66</v>
      </c>
      <c r="AA74" s="23">
        <v>0</v>
      </c>
      <c r="AB74" s="23">
        <f t="shared" si="60"/>
        <v>0</v>
      </c>
      <c r="AC74" s="23">
        <v>0</v>
      </c>
      <c r="AD74" s="23">
        <v>0</v>
      </c>
      <c r="AE74" s="23">
        <f t="shared" si="96"/>
        <v>3262433</v>
      </c>
      <c r="AF74" s="23">
        <v>102340</v>
      </c>
      <c r="AG74" s="26">
        <f t="shared" si="97"/>
        <v>3364773</v>
      </c>
      <c r="AH74" s="27" t="s">
        <v>1502</v>
      </c>
      <c r="AI74" s="28"/>
      <c r="AJ74" s="54"/>
      <c r="AK74" s="29"/>
    </row>
    <row r="75" spans="1:37" ht="409.6" customHeight="1" x14ac:dyDescent="0.25">
      <c r="A75" s="14">
        <v>71</v>
      </c>
      <c r="B75" s="14">
        <v>129268</v>
      </c>
      <c r="C75" s="110">
        <v>655</v>
      </c>
      <c r="D75" s="14" t="s">
        <v>176</v>
      </c>
      <c r="E75" s="15" t="str">
        <f>$E$161</f>
        <v>AP2/11i /2.1</v>
      </c>
      <c r="F75" s="109" t="s">
        <v>1417</v>
      </c>
      <c r="G75" s="108" t="s">
        <v>1485</v>
      </c>
      <c r="H75" s="30" t="s">
        <v>1258</v>
      </c>
      <c r="I75" s="14" t="s">
        <v>185</v>
      </c>
      <c r="J75" s="19" t="s">
        <v>1486</v>
      </c>
      <c r="K75" s="20">
        <v>43634</v>
      </c>
      <c r="L75" s="32">
        <v>44214</v>
      </c>
      <c r="M75" s="21">
        <f t="shared" si="93"/>
        <v>84.999999999999986</v>
      </c>
      <c r="N75" s="14">
        <f>$N$73</f>
        <v>6</v>
      </c>
      <c r="O75" s="14" t="s">
        <v>1487</v>
      </c>
      <c r="P75" s="14" t="str">
        <f t="shared" ref="P75:R75" si="99">P73</f>
        <v>Cluj Napoca</v>
      </c>
      <c r="Q75" s="42" t="str">
        <f t="shared" si="99"/>
        <v>APL</v>
      </c>
      <c r="R75" s="14" t="str">
        <f t="shared" si="99"/>
        <v>119 - Investiții în capacitatea instituțională și în eficiența administrațiilor și a serviciilor publice la nivel național, regional și local, în perspectiva realizării de reforme, a unei mai bune legiferări și a bunei guvernanțe</v>
      </c>
      <c r="S75" s="25">
        <f t="shared" si="94"/>
        <v>1962765.6</v>
      </c>
      <c r="T75" s="23">
        <v>1962765.6</v>
      </c>
      <c r="U75" s="23">
        <v>0</v>
      </c>
      <c r="V75" s="25">
        <f t="shared" si="59"/>
        <v>300187.68</v>
      </c>
      <c r="W75" s="23">
        <v>300187.68</v>
      </c>
      <c r="X75" s="23">
        <v>0</v>
      </c>
      <c r="Y75" s="25">
        <f t="shared" si="98"/>
        <v>46182.720000000001</v>
      </c>
      <c r="Z75" s="23">
        <v>46182.720000000001</v>
      </c>
      <c r="AA75" s="23">
        <v>0</v>
      </c>
      <c r="AB75" s="23">
        <f t="shared" si="60"/>
        <v>0</v>
      </c>
      <c r="AC75" s="23">
        <v>0</v>
      </c>
      <c r="AD75" s="23">
        <v>0</v>
      </c>
      <c r="AE75" s="23">
        <f t="shared" si="96"/>
        <v>2309136.0000000005</v>
      </c>
      <c r="AF75" s="23">
        <v>0</v>
      </c>
      <c r="AG75" s="26">
        <f t="shared" si="97"/>
        <v>2309136.0000000005</v>
      </c>
      <c r="AH75" s="27" t="s">
        <v>585</v>
      </c>
      <c r="AI75" s="28" t="s">
        <v>185</v>
      </c>
      <c r="AJ75" s="54"/>
      <c r="AK75" s="29"/>
    </row>
    <row r="76" spans="1:37" ht="210" x14ac:dyDescent="0.25">
      <c r="A76" s="12">
        <v>72</v>
      </c>
      <c r="B76" s="14">
        <v>120642</v>
      </c>
      <c r="C76" s="8">
        <v>84</v>
      </c>
      <c r="D76" s="14" t="s">
        <v>171</v>
      </c>
      <c r="E76" s="15" t="s">
        <v>968</v>
      </c>
      <c r="F76" s="16" t="s">
        <v>331</v>
      </c>
      <c r="G76" s="108" t="s">
        <v>332</v>
      </c>
      <c r="H76" s="14" t="s">
        <v>333</v>
      </c>
      <c r="I76" s="14" t="s">
        <v>185</v>
      </c>
      <c r="J76" s="80" t="s">
        <v>514</v>
      </c>
      <c r="K76" s="20">
        <v>43175</v>
      </c>
      <c r="L76" s="32">
        <v>43662</v>
      </c>
      <c r="M76" s="21">
        <f t="shared" ref="M76:M80" si="100">S76/AE76*100</f>
        <v>84.999998716744599</v>
      </c>
      <c r="N76" s="14">
        <v>2</v>
      </c>
      <c r="O76" s="14" t="s">
        <v>334</v>
      </c>
      <c r="P76" s="14" t="s">
        <v>335</v>
      </c>
      <c r="Q76" s="22" t="s">
        <v>212</v>
      </c>
      <c r="R76" s="14" t="s">
        <v>36</v>
      </c>
      <c r="S76" s="25">
        <f>T76+U76</f>
        <v>264951.15000000002</v>
      </c>
      <c r="T76" s="23">
        <v>264951.15000000002</v>
      </c>
      <c r="U76" s="23">
        <v>0</v>
      </c>
      <c r="V76" s="25">
        <f t="shared" si="59"/>
        <v>40521.949999999997</v>
      </c>
      <c r="W76" s="23">
        <v>40521.949999999997</v>
      </c>
      <c r="X76" s="23">
        <v>0</v>
      </c>
      <c r="Y76" s="25">
        <f>Z76+AA76</f>
        <v>6234.14</v>
      </c>
      <c r="Z76" s="23">
        <v>6234.14</v>
      </c>
      <c r="AA76" s="23">
        <v>0</v>
      </c>
      <c r="AB76" s="23">
        <f t="shared" si="60"/>
        <v>0</v>
      </c>
      <c r="AC76" s="23">
        <v>0</v>
      </c>
      <c r="AD76" s="23">
        <v>0</v>
      </c>
      <c r="AE76" s="23">
        <f>S76+V76+Y76+AB76</f>
        <v>311707.24000000005</v>
      </c>
      <c r="AF76" s="23">
        <v>0</v>
      </c>
      <c r="AG76" s="26">
        <f t="shared" si="97"/>
        <v>311707.24000000005</v>
      </c>
      <c r="AH76" s="27" t="s">
        <v>585</v>
      </c>
      <c r="AI76" s="28" t="s">
        <v>185</v>
      </c>
      <c r="AJ76" s="1">
        <f>27532.48+85262.91</f>
        <v>112795.39</v>
      </c>
      <c r="AK76" s="29">
        <f>4210.85+13040.2</f>
        <v>17251.050000000003</v>
      </c>
    </row>
    <row r="77" spans="1:37" ht="220.5" x14ac:dyDescent="0.25">
      <c r="A77" s="12">
        <v>73</v>
      </c>
      <c r="B77" s="13">
        <v>116521</v>
      </c>
      <c r="C77" s="18">
        <v>405</v>
      </c>
      <c r="D77" s="14" t="s">
        <v>843</v>
      </c>
      <c r="E77" s="15" t="s">
        <v>704</v>
      </c>
      <c r="F77" s="17" t="s">
        <v>610</v>
      </c>
      <c r="G77" s="17" t="s">
        <v>810</v>
      </c>
      <c r="H77" s="17" t="s">
        <v>653</v>
      </c>
      <c r="I77" s="14" t="s">
        <v>185</v>
      </c>
      <c r="J77" s="17" t="s">
        <v>811</v>
      </c>
      <c r="K77" s="20">
        <v>43304</v>
      </c>
      <c r="L77" s="32">
        <v>43792</v>
      </c>
      <c r="M77" s="21">
        <f t="shared" si="100"/>
        <v>85.000001706742694</v>
      </c>
      <c r="N77" s="14">
        <v>2</v>
      </c>
      <c r="O77" s="14" t="s">
        <v>334</v>
      </c>
      <c r="P77" s="14" t="s">
        <v>334</v>
      </c>
      <c r="Q77" s="14" t="s">
        <v>212</v>
      </c>
      <c r="R77" s="14" t="s">
        <v>36</v>
      </c>
      <c r="S77" s="25">
        <f t="shared" ref="S77" si="101">T77+U77</f>
        <v>249012.35</v>
      </c>
      <c r="T77" s="29">
        <v>249012.35</v>
      </c>
      <c r="U77" s="29">
        <v>0</v>
      </c>
      <c r="V77" s="25">
        <f t="shared" si="59"/>
        <v>38084.239999999998</v>
      </c>
      <c r="W77" s="29">
        <v>38084.239999999998</v>
      </c>
      <c r="X77" s="29">
        <v>0</v>
      </c>
      <c r="Y77" s="29">
        <f>Z77+AA77</f>
        <v>5859.11</v>
      </c>
      <c r="Z77" s="29">
        <v>5859.11</v>
      </c>
      <c r="AA77" s="29">
        <v>0</v>
      </c>
      <c r="AB77" s="23">
        <f t="shared" si="60"/>
        <v>0</v>
      </c>
      <c r="AC77" s="29">
        <v>0</v>
      </c>
      <c r="AD77" s="29">
        <v>0</v>
      </c>
      <c r="AE77" s="23">
        <f t="shared" ref="AE77" si="102">S77+V77+Y77+AB77</f>
        <v>292955.7</v>
      </c>
      <c r="AF77" s="99">
        <v>0</v>
      </c>
      <c r="AG77" s="26">
        <f t="shared" si="97"/>
        <v>292955.7</v>
      </c>
      <c r="AH77" s="27" t="s">
        <v>585</v>
      </c>
      <c r="AI77" s="99"/>
      <c r="AJ77" s="54">
        <f>32343.8+5296.22+6433.86+7045.82</f>
        <v>51119.7</v>
      </c>
      <c r="AK77" s="54">
        <f>4946.7+810.01+983.99+1077.59</f>
        <v>7818.29</v>
      </c>
    </row>
    <row r="78" spans="1:37" ht="315" x14ac:dyDescent="0.25">
      <c r="A78" s="14">
        <v>74</v>
      </c>
      <c r="B78" s="13">
        <v>126409</v>
      </c>
      <c r="C78" s="18">
        <v>551</v>
      </c>
      <c r="D78" s="14" t="s">
        <v>174</v>
      </c>
      <c r="E78" s="15" t="s">
        <v>968</v>
      </c>
      <c r="F78" s="17" t="s">
        <v>1135</v>
      </c>
      <c r="G78" s="17" t="s">
        <v>1162</v>
      </c>
      <c r="H78" s="17" t="s">
        <v>653</v>
      </c>
      <c r="I78" s="14" t="s">
        <v>185</v>
      </c>
      <c r="J78" s="17" t="s">
        <v>1163</v>
      </c>
      <c r="K78" s="20">
        <v>43439</v>
      </c>
      <c r="L78" s="32">
        <v>44321</v>
      </c>
      <c r="M78" s="21">
        <f>S78/AE78*100</f>
        <v>85.000000331630361</v>
      </c>
      <c r="N78" s="14">
        <v>2</v>
      </c>
      <c r="O78" s="14" t="s">
        <v>334</v>
      </c>
      <c r="P78" s="14" t="s">
        <v>334</v>
      </c>
      <c r="Q78" s="14" t="s">
        <v>212</v>
      </c>
      <c r="R78" s="14" t="s">
        <v>36</v>
      </c>
      <c r="S78" s="25">
        <f>T78+U78</f>
        <v>3075713.52</v>
      </c>
      <c r="T78" s="29">
        <v>3075713.52</v>
      </c>
      <c r="U78" s="29">
        <v>0</v>
      </c>
      <c r="V78" s="25">
        <f>W78+X78</f>
        <v>470403.23</v>
      </c>
      <c r="W78" s="29">
        <v>470403.23</v>
      </c>
      <c r="X78" s="29">
        <v>0</v>
      </c>
      <c r="Y78" s="29">
        <f>Z78+AA78</f>
        <v>72369.73000000001</v>
      </c>
      <c r="Z78" s="29">
        <v>72369.73000000001</v>
      </c>
      <c r="AA78" s="29">
        <v>0</v>
      </c>
      <c r="AB78" s="23">
        <f>AC78+AD78</f>
        <v>0</v>
      </c>
      <c r="AC78" s="29">
        <v>0</v>
      </c>
      <c r="AD78" s="29">
        <v>0</v>
      </c>
      <c r="AE78" s="23">
        <f>S78+V78+Y78+AB78</f>
        <v>3618486.48</v>
      </c>
      <c r="AF78" s="99">
        <v>0</v>
      </c>
      <c r="AG78" s="26">
        <f t="shared" si="97"/>
        <v>3618486.48</v>
      </c>
      <c r="AH78" s="27" t="s">
        <v>585</v>
      </c>
      <c r="AI78" s="99"/>
      <c r="AJ78" s="54">
        <v>8011.13</v>
      </c>
      <c r="AK78" s="54">
        <v>1225.23</v>
      </c>
    </row>
    <row r="79" spans="1:37" ht="141.75" x14ac:dyDescent="0.25">
      <c r="A79" s="12">
        <v>75</v>
      </c>
      <c r="B79" s="13">
        <v>125754</v>
      </c>
      <c r="C79" s="18">
        <v>531</v>
      </c>
      <c r="D79" s="14" t="s">
        <v>1074</v>
      </c>
      <c r="E79" s="15" t="s">
        <v>968</v>
      </c>
      <c r="F79" s="17" t="s">
        <v>1135</v>
      </c>
      <c r="G79" s="17" t="s">
        <v>1339</v>
      </c>
      <c r="H79" s="17" t="s">
        <v>1499</v>
      </c>
      <c r="I79" s="14" t="s">
        <v>185</v>
      </c>
      <c r="J79" s="17" t="s">
        <v>1340</v>
      </c>
      <c r="K79" s="20">
        <v>43550</v>
      </c>
      <c r="L79" s="32">
        <v>44465</v>
      </c>
      <c r="M79" s="21">
        <f t="shared" ref="M79" si="103">S79/AE79*100</f>
        <v>85</v>
      </c>
      <c r="N79" s="14">
        <v>2</v>
      </c>
      <c r="O79" s="14" t="s">
        <v>334</v>
      </c>
      <c r="P79" s="14" t="s">
        <v>334</v>
      </c>
      <c r="Q79" s="14" t="s">
        <v>212</v>
      </c>
      <c r="R79" s="14" t="s">
        <v>36</v>
      </c>
      <c r="S79" s="25">
        <f t="shared" ref="S79" si="104">T79+U79</f>
        <v>1983050</v>
      </c>
      <c r="T79" s="29">
        <v>1983050</v>
      </c>
      <c r="U79" s="29">
        <v>0</v>
      </c>
      <c r="V79" s="25">
        <f t="shared" ref="V79" si="105">W79+X79</f>
        <v>303290</v>
      </c>
      <c r="W79" s="29">
        <v>303290</v>
      </c>
      <c r="X79" s="29">
        <v>0</v>
      </c>
      <c r="Y79" s="29">
        <f t="shared" ref="Y79" si="106">Z79+AA79</f>
        <v>46660</v>
      </c>
      <c r="Z79" s="29">
        <v>46660</v>
      </c>
      <c r="AA79" s="29">
        <v>0</v>
      </c>
      <c r="AB79" s="23">
        <f t="shared" ref="AB79" si="107">AC79+AD79</f>
        <v>0</v>
      </c>
      <c r="AC79" s="29">
        <v>0</v>
      </c>
      <c r="AD79" s="29">
        <v>0</v>
      </c>
      <c r="AE79" s="23">
        <f t="shared" ref="AE79" si="108">S79+V79+Y79+AB79</f>
        <v>2333000</v>
      </c>
      <c r="AF79" s="99">
        <v>0</v>
      </c>
      <c r="AG79" s="26">
        <f t="shared" si="97"/>
        <v>2333000</v>
      </c>
      <c r="AH79" s="27" t="s">
        <v>585</v>
      </c>
      <c r="AI79" s="99"/>
      <c r="AJ79" s="54">
        <v>0</v>
      </c>
      <c r="AK79" s="54">
        <v>0</v>
      </c>
    </row>
    <row r="80" spans="1:37" ht="236.25" x14ac:dyDescent="0.3">
      <c r="A80" s="12">
        <v>76</v>
      </c>
      <c r="B80" s="7">
        <v>126515</v>
      </c>
      <c r="C80" s="8">
        <v>547</v>
      </c>
      <c r="D80" s="9" t="s">
        <v>177</v>
      </c>
      <c r="E80" s="17" t="s">
        <v>968</v>
      </c>
      <c r="F80" s="17" t="s">
        <v>1135</v>
      </c>
      <c r="G80" s="111" t="s">
        <v>1279</v>
      </c>
      <c r="H80" s="41" t="s">
        <v>1280</v>
      </c>
      <c r="I80" s="9" t="s">
        <v>185</v>
      </c>
      <c r="J80" s="41" t="s">
        <v>1281</v>
      </c>
      <c r="K80" s="20">
        <v>43521</v>
      </c>
      <c r="L80" s="32">
        <v>44433</v>
      </c>
      <c r="M80" s="9">
        <f t="shared" si="100"/>
        <v>84.999999929518182</v>
      </c>
      <c r="N80" s="14">
        <v>7</v>
      </c>
      <c r="O80" s="14" t="s">
        <v>1282</v>
      </c>
      <c r="P80" s="14" t="s">
        <v>1283</v>
      </c>
      <c r="Q80" s="14" t="s">
        <v>212</v>
      </c>
      <c r="R80" s="14" t="s">
        <v>36</v>
      </c>
      <c r="S80" s="25">
        <f t="shared" ref="S80" si="109">T80+U80</f>
        <v>2411970.2999999998</v>
      </c>
      <c r="T80" s="57">
        <v>2411970.2999999998</v>
      </c>
      <c r="U80" s="29">
        <v>0</v>
      </c>
      <c r="V80" s="25">
        <f t="shared" si="59"/>
        <v>368889.58</v>
      </c>
      <c r="W80" s="57">
        <v>368889.58</v>
      </c>
      <c r="X80" s="29">
        <v>0</v>
      </c>
      <c r="Y80" s="29">
        <f>Z80+AA80</f>
        <v>56752.24</v>
      </c>
      <c r="Z80" s="57">
        <v>56752.24</v>
      </c>
      <c r="AA80" s="57">
        <v>0</v>
      </c>
      <c r="AB80" s="61">
        <f t="shared" si="60"/>
        <v>0</v>
      </c>
      <c r="AC80" s="57">
        <v>0</v>
      </c>
      <c r="AD80" s="57">
        <v>0</v>
      </c>
      <c r="AE80" s="23">
        <f t="shared" ref="AE80" si="110">S80+V80+Y80+AB80</f>
        <v>2837612.12</v>
      </c>
      <c r="AF80" s="57">
        <v>72392.72</v>
      </c>
      <c r="AG80" s="26">
        <f t="shared" si="97"/>
        <v>2910004.8400000003</v>
      </c>
      <c r="AH80" s="27" t="s">
        <v>585</v>
      </c>
      <c r="AI80" s="99"/>
      <c r="AJ80" s="54">
        <v>0</v>
      </c>
      <c r="AK80" s="54">
        <v>0</v>
      </c>
    </row>
    <row r="81" spans="1:37" s="66" customFormat="1" ht="346.5" x14ac:dyDescent="0.25">
      <c r="A81" s="14">
        <v>77</v>
      </c>
      <c r="B81" s="13">
        <v>120631</v>
      </c>
      <c r="C81" s="8">
        <v>81</v>
      </c>
      <c r="D81" s="8" t="s">
        <v>171</v>
      </c>
      <c r="E81" s="15" t="s">
        <v>968</v>
      </c>
      <c r="F81" s="16" t="s">
        <v>331</v>
      </c>
      <c r="G81" s="62" t="s">
        <v>227</v>
      </c>
      <c r="H81" s="22" t="s">
        <v>228</v>
      </c>
      <c r="I81" s="18" t="s">
        <v>185</v>
      </c>
      <c r="J81" s="15" t="s">
        <v>229</v>
      </c>
      <c r="K81" s="20">
        <v>43129</v>
      </c>
      <c r="L81" s="32">
        <v>43614</v>
      </c>
      <c r="M81" s="21">
        <f t="shared" ref="M81:M82" si="111">S81/AE81*100</f>
        <v>84.999999195969949</v>
      </c>
      <c r="N81" s="18">
        <v>3</v>
      </c>
      <c r="O81" s="18" t="s">
        <v>230</v>
      </c>
      <c r="P81" s="18" t="s">
        <v>242</v>
      </c>
      <c r="Q81" s="22" t="s">
        <v>212</v>
      </c>
      <c r="R81" s="18" t="s">
        <v>36</v>
      </c>
      <c r="S81" s="23">
        <f t="shared" ref="S81:S82" si="112">T81+U81</f>
        <v>528587.19999999995</v>
      </c>
      <c r="T81" s="64">
        <v>528587.19999999995</v>
      </c>
      <c r="U81" s="29">
        <v>0</v>
      </c>
      <c r="V81" s="25">
        <f t="shared" si="59"/>
        <v>80842.75</v>
      </c>
      <c r="W81" s="64">
        <v>80842.75</v>
      </c>
      <c r="X81" s="29">
        <v>0</v>
      </c>
      <c r="Y81" s="23">
        <f t="shared" ref="Y81:Y82" si="113">Z81+AA81</f>
        <v>12437.35</v>
      </c>
      <c r="Z81" s="64">
        <v>12437.35</v>
      </c>
      <c r="AA81" s="26">
        <v>0</v>
      </c>
      <c r="AB81" s="23">
        <f t="shared" si="60"/>
        <v>0</v>
      </c>
      <c r="AC81" s="26"/>
      <c r="AD81" s="26"/>
      <c r="AE81" s="23">
        <f>S81+V81+Y81+AB81</f>
        <v>621867.29999999993</v>
      </c>
      <c r="AF81" s="26">
        <v>0</v>
      </c>
      <c r="AG81" s="26">
        <f t="shared" si="97"/>
        <v>621867.29999999993</v>
      </c>
      <c r="AH81" s="27" t="s">
        <v>1073</v>
      </c>
      <c r="AI81" s="53" t="s">
        <v>185</v>
      </c>
      <c r="AJ81" s="1">
        <f>26400.15+283575.59</f>
        <v>309975.74000000005</v>
      </c>
      <c r="AK81" s="49">
        <f>4037.67+43370.38</f>
        <v>47408.049999999996</v>
      </c>
    </row>
    <row r="82" spans="1:37" ht="409.5" x14ac:dyDescent="0.25">
      <c r="A82" s="12">
        <v>78</v>
      </c>
      <c r="B82" s="13">
        <v>118772</v>
      </c>
      <c r="C82" s="13">
        <v>441</v>
      </c>
      <c r="D82" s="13" t="s">
        <v>684</v>
      </c>
      <c r="E82" s="15" t="s">
        <v>704</v>
      </c>
      <c r="F82" s="15" t="s">
        <v>610</v>
      </c>
      <c r="G82" s="62" t="s">
        <v>873</v>
      </c>
      <c r="H82" s="22" t="s">
        <v>872</v>
      </c>
      <c r="I82" s="18" t="s">
        <v>185</v>
      </c>
      <c r="J82" s="15" t="s">
        <v>874</v>
      </c>
      <c r="K82" s="20">
        <v>43313</v>
      </c>
      <c r="L82" s="32">
        <v>43677</v>
      </c>
      <c r="M82" s="21">
        <f t="shared" si="111"/>
        <v>85</v>
      </c>
      <c r="N82" s="9">
        <v>3</v>
      </c>
      <c r="O82" s="18" t="s">
        <v>230</v>
      </c>
      <c r="P82" s="18" t="s">
        <v>875</v>
      </c>
      <c r="Q82" s="22" t="s">
        <v>212</v>
      </c>
      <c r="R82" s="18" t="s">
        <v>36</v>
      </c>
      <c r="S82" s="23">
        <f t="shared" si="112"/>
        <v>232055.1</v>
      </c>
      <c r="T82" s="29">
        <v>232055.1</v>
      </c>
      <c r="U82" s="29">
        <v>0</v>
      </c>
      <c r="V82" s="25">
        <f t="shared" si="59"/>
        <v>35490.78</v>
      </c>
      <c r="W82" s="29">
        <v>35490.78</v>
      </c>
      <c r="X82" s="29">
        <v>0</v>
      </c>
      <c r="Y82" s="23">
        <f t="shared" si="113"/>
        <v>5460.12</v>
      </c>
      <c r="Z82" s="29">
        <v>5460.12</v>
      </c>
      <c r="AA82" s="29">
        <v>0</v>
      </c>
      <c r="AB82" s="23">
        <f t="shared" si="60"/>
        <v>0</v>
      </c>
      <c r="AC82" s="29">
        <v>0</v>
      </c>
      <c r="AD82" s="29">
        <v>0</v>
      </c>
      <c r="AE82" s="23">
        <f t="shared" ref="AE82" si="114">S82+V82+Y82+AB82</f>
        <v>273006</v>
      </c>
      <c r="AF82" s="34">
        <v>0</v>
      </c>
      <c r="AG82" s="26">
        <f t="shared" si="97"/>
        <v>273006</v>
      </c>
      <c r="AH82" s="27" t="s">
        <v>585</v>
      </c>
      <c r="AI82" s="53" t="s">
        <v>185</v>
      </c>
      <c r="AJ82" s="38">
        <f>27300.6+41576.52+27300.6</f>
        <v>96177.72</v>
      </c>
      <c r="AK82" s="1">
        <v>10534.15</v>
      </c>
    </row>
    <row r="83" spans="1:37" s="114" customFormat="1" ht="315" x14ac:dyDescent="0.25">
      <c r="A83" s="12">
        <v>79</v>
      </c>
      <c r="B83" s="13">
        <v>120693</v>
      </c>
      <c r="C83" s="8">
        <v>114</v>
      </c>
      <c r="D83" s="18" t="s">
        <v>168</v>
      </c>
      <c r="E83" s="15" t="s">
        <v>968</v>
      </c>
      <c r="F83" s="16" t="s">
        <v>331</v>
      </c>
      <c r="G83" s="75" t="s">
        <v>249</v>
      </c>
      <c r="H83" s="15" t="s">
        <v>250</v>
      </c>
      <c r="I83" s="18" t="s">
        <v>185</v>
      </c>
      <c r="J83" s="112" t="s">
        <v>251</v>
      </c>
      <c r="K83" s="20">
        <v>43145</v>
      </c>
      <c r="L83" s="32">
        <v>43630</v>
      </c>
      <c r="M83" s="45">
        <f t="shared" ref="M83" si="115">S83/AE83*100</f>
        <v>85.000000594539443</v>
      </c>
      <c r="N83" s="18">
        <v>4</v>
      </c>
      <c r="O83" s="18" t="s">
        <v>263</v>
      </c>
      <c r="P83" s="18" t="s">
        <v>252</v>
      </c>
      <c r="Q83" s="22" t="s">
        <v>212</v>
      </c>
      <c r="R83" s="18" t="s">
        <v>36</v>
      </c>
      <c r="S83" s="26">
        <f t="shared" ref="S83:S87" si="116">T83+U83</f>
        <v>357419.52000000002</v>
      </c>
      <c r="T83" s="23">
        <v>357419.52000000002</v>
      </c>
      <c r="U83" s="29">
        <v>0</v>
      </c>
      <c r="V83" s="25">
        <f t="shared" si="59"/>
        <v>54664.160000000003</v>
      </c>
      <c r="W83" s="64">
        <v>54664.160000000003</v>
      </c>
      <c r="X83" s="29">
        <v>0</v>
      </c>
      <c r="Y83" s="25">
        <f t="shared" ref="Y83:Y87" si="117">Z83+AA83</f>
        <v>8409.8700000000008</v>
      </c>
      <c r="Z83" s="64">
        <v>8409.8700000000008</v>
      </c>
      <c r="AA83" s="113">
        <v>0</v>
      </c>
      <c r="AB83" s="23">
        <f t="shared" si="60"/>
        <v>0</v>
      </c>
      <c r="AC83" s="26"/>
      <c r="AD83" s="26"/>
      <c r="AE83" s="26">
        <f>S83+V83+Y83+AB83</f>
        <v>420493.55000000005</v>
      </c>
      <c r="AF83" s="26">
        <v>0</v>
      </c>
      <c r="AG83" s="26">
        <f t="shared" si="97"/>
        <v>420493.55000000005</v>
      </c>
      <c r="AH83" s="27" t="s">
        <v>585</v>
      </c>
      <c r="AI83" s="53" t="s">
        <v>185</v>
      </c>
      <c r="AJ83" s="1">
        <f>23754.1+18458.09+169515.5</f>
        <v>211727.69</v>
      </c>
      <c r="AK83" s="29">
        <f>3632.98+2823.02+25925.91</f>
        <v>32381.91</v>
      </c>
    </row>
    <row r="84" spans="1:37" ht="173.25" customHeight="1" x14ac:dyDescent="0.25">
      <c r="A84" s="14">
        <v>80</v>
      </c>
      <c r="B84" s="9">
        <v>119288</v>
      </c>
      <c r="C84" s="8">
        <v>487</v>
      </c>
      <c r="D84" s="9" t="s">
        <v>175</v>
      </c>
      <c r="E84" s="18" t="s">
        <v>1041</v>
      </c>
      <c r="F84" s="18" t="s">
        <v>542</v>
      </c>
      <c r="G84" s="115" t="s">
        <v>644</v>
      </c>
      <c r="H84" s="15" t="s">
        <v>643</v>
      </c>
      <c r="I84" s="9" t="s">
        <v>185</v>
      </c>
      <c r="J84" s="41" t="s">
        <v>645</v>
      </c>
      <c r="K84" s="20">
        <v>43272</v>
      </c>
      <c r="L84" s="32">
        <v>43667</v>
      </c>
      <c r="M84" s="45">
        <f t="shared" ref="M84:M89" si="118">S84/AE84*100</f>
        <v>85</v>
      </c>
      <c r="N84" s="18">
        <v>4</v>
      </c>
      <c r="O84" s="18" t="s">
        <v>263</v>
      </c>
      <c r="P84" s="18" t="s">
        <v>421</v>
      </c>
      <c r="Q84" s="22" t="s">
        <v>212</v>
      </c>
      <c r="R84" s="18" t="s">
        <v>36</v>
      </c>
      <c r="S84" s="26">
        <f t="shared" si="116"/>
        <v>360400</v>
      </c>
      <c r="T84" s="29">
        <v>360400</v>
      </c>
      <c r="U84" s="29">
        <v>0</v>
      </c>
      <c r="V84" s="25">
        <f t="shared" si="59"/>
        <v>55120</v>
      </c>
      <c r="W84" s="23">
        <v>55120</v>
      </c>
      <c r="X84" s="13">
        <v>0</v>
      </c>
      <c r="Y84" s="25">
        <f t="shared" si="117"/>
        <v>8480</v>
      </c>
      <c r="Z84" s="42">
        <v>8480</v>
      </c>
      <c r="AA84" s="29">
        <v>0</v>
      </c>
      <c r="AB84" s="23">
        <f t="shared" si="60"/>
        <v>0</v>
      </c>
      <c r="AC84" s="42">
        <v>0</v>
      </c>
      <c r="AD84" s="42">
        <v>0</v>
      </c>
      <c r="AE84" s="26">
        <f t="shared" ref="AE84:AE87" si="119">S84+V84+Y84+AB84</f>
        <v>424000</v>
      </c>
      <c r="AF84" s="34"/>
      <c r="AG84" s="26">
        <f t="shared" si="97"/>
        <v>424000</v>
      </c>
      <c r="AH84" s="27" t="s">
        <v>585</v>
      </c>
      <c r="AI84" s="53" t="s">
        <v>1402</v>
      </c>
      <c r="AJ84" s="1">
        <f>37115.76+50985.81+52794.78</f>
        <v>140896.35</v>
      </c>
      <c r="AK84" s="29">
        <f>5676.53+7797.82+8074.49</f>
        <v>21548.839999999997</v>
      </c>
    </row>
    <row r="85" spans="1:37" s="120" customFormat="1" ht="409.5" x14ac:dyDescent="0.25">
      <c r="A85" s="12">
        <v>81</v>
      </c>
      <c r="B85" s="116">
        <v>118780</v>
      </c>
      <c r="C85" s="117">
        <v>443</v>
      </c>
      <c r="D85" s="117" t="s">
        <v>175</v>
      </c>
      <c r="E85" s="118" t="s">
        <v>704</v>
      </c>
      <c r="F85" s="118" t="s">
        <v>610</v>
      </c>
      <c r="G85" s="119" t="s">
        <v>855</v>
      </c>
      <c r="H85" s="118" t="s">
        <v>250</v>
      </c>
      <c r="I85" s="18" t="s">
        <v>856</v>
      </c>
      <c r="J85" s="15" t="s">
        <v>857</v>
      </c>
      <c r="K85" s="32">
        <v>43312</v>
      </c>
      <c r="L85" s="32">
        <v>43677</v>
      </c>
      <c r="M85" s="45">
        <f t="shared" si="118"/>
        <v>84.150233941460755</v>
      </c>
      <c r="N85" s="18">
        <v>4</v>
      </c>
      <c r="O85" s="18" t="s">
        <v>599</v>
      </c>
      <c r="P85" s="18" t="s">
        <v>858</v>
      </c>
      <c r="Q85" s="22" t="s">
        <v>212</v>
      </c>
      <c r="R85" s="18" t="s">
        <v>36</v>
      </c>
      <c r="S85" s="26">
        <f t="shared" si="116"/>
        <v>230233.66</v>
      </c>
      <c r="T85" s="1">
        <v>230233.66</v>
      </c>
      <c r="U85" s="1">
        <v>0</v>
      </c>
      <c r="V85" s="25">
        <f t="shared" si="59"/>
        <v>37892.730000000003</v>
      </c>
      <c r="W85" s="1">
        <v>37892.730000000003</v>
      </c>
      <c r="X85" s="1">
        <v>0</v>
      </c>
      <c r="Y85" s="25">
        <f t="shared" si="117"/>
        <v>2736.73</v>
      </c>
      <c r="Z85" s="1">
        <v>2736.73</v>
      </c>
      <c r="AA85" s="1">
        <v>0</v>
      </c>
      <c r="AB85" s="23">
        <f t="shared" si="60"/>
        <v>2735.24</v>
      </c>
      <c r="AC85" s="1">
        <v>2735.24</v>
      </c>
      <c r="AD85" s="46">
        <v>0</v>
      </c>
      <c r="AE85" s="26">
        <f t="shared" si="119"/>
        <v>273598.36</v>
      </c>
      <c r="AF85" s="27">
        <v>0</v>
      </c>
      <c r="AG85" s="26">
        <f t="shared" si="97"/>
        <v>273598.36</v>
      </c>
      <c r="AH85" s="27" t="s">
        <v>585</v>
      </c>
      <c r="AI85" s="53" t="s">
        <v>185</v>
      </c>
      <c r="AJ85" s="38">
        <f>20000+13556.78+14548.44+16155.2+43317.01</f>
        <v>107577.43</v>
      </c>
      <c r="AK85" s="1">
        <f>5449.34+2345.17+2850.92+7319.42</f>
        <v>17964.849999999999</v>
      </c>
    </row>
    <row r="86" spans="1:37" ht="409.5" x14ac:dyDescent="0.25">
      <c r="A86" s="12">
        <v>82</v>
      </c>
      <c r="B86" s="35">
        <v>119830</v>
      </c>
      <c r="C86" s="18">
        <v>474</v>
      </c>
      <c r="D86" s="18" t="s">
        <v>172</v>
      </c>
      <c r="E86" s="18" t="s">
        <v>1041</v>
      </c>
      <c r="F86" s="18" t="s">
        <v>542</v>
      </c>
      <c r="G86" s="121" t="s">
        <v>923</v>
      </c>
      <c r="H86" s="18" t="s">
        <v>924</v>
      </c>
      <c r="I86" s="9" t="s">
        <v>185</v>
      </c>
      <c r="J86" s="15" t="s">
        <v>925</v>
      </c>
      <c r="K86" s="20">
        <v>43322</v>
      </c>
      <c r="L86" s="32">
        <v>43779</v>
      </c>
      <c r="M86" s="45">
        <f t="shared" si="118"/>
        <v>84.999997553055863</v>
      </c>
      <c r="N86" s="18">
        <v>4</v>
      </c>
      <c r="O86" s="18" t="s">
        <v>599</v>
      </c>
      <c r="P86" s="18" t="s">
        <v>926</v>
      </c>
      <c r="Q86" s="22" t="s">
        <v>212</v>
      </c>
      <c r="R86" s="18" t="s">
        <v>36</v>
      </c>
      <c r="S86" s="26">
        <f t="shared" si="116"/>
        <v>347372.04</v>
      </c>
      <c r="T86" s="1">
        <v>347372.04</v>
      </c>
      <c r="U86" s="1">
        <v>0</v>
      </c>
      <c r="V86" s="25">
        <f t="shared" si="59"/>
        <v>53127.519999999997</v>
      </c>
      <c r="W86" s="46">
        <v>53127.519999999997</v>
      </c>
      <c r="X86" s="46">
        <v>0</v>
      </c>
      <c r="Y86" s="25">
        <f t="shared" si="117"/>
        <v>8173.4400000000005</v>
      </c>
      <c r="Z86" s="1">
        <v>8173.4400000000005</v>
      </c>
      <c r="AA86" s="1">
        <v>0</v>
      </c>
      <c r="AB86" s="26">
        <f t="shared" si="60"/>
        <v>0</v>
      </c>
      <c r="AC86" s="122">
        <v>0</v>
      </c>
      <c r="AD86" s="122">
        <v>0</v>
      </c>
      <c r="AE86" s="26">
        <f>S86+V86+Y86+AB86</f>
        <v>408673</v>
      </c>
      <c r="AF86" s="26">
        <v>0</v>
      </c>
      <c r="AG86" s="26">
        <f t="shared" si="97"/>
        <v>408673</v>
      </c>
      <c r="AH86" s="99" t="s">
        <v>585</v>
      </c>
      <c r="AI86" s="53" t="s">
        <v>1080</v>
      </c>
      <c r="AJ86" s="38">
        <f>35636.51+21048.64</f>
        <v>56685.15</v>
      </c>
      <c r="AK86" s="29">
        <v>2750.67</v>
      </c>
    </row>
    <row r="87" spans="1:37" ht="163.5" customHeight="1" x14ac:dyDescent="0.25">
      <c r="A87" s="14">
        <v>83</v>
      </c>
      <c r="B87" s="35">
        <v>118793</v>
      </c>
      <c r="C87" s="18">
        <v>446</v>
      </c>
      <c r="D87" s="35" t="s">
        <v>1074</v>
      </c>
      <c r="E87" s="15" t="s">
        <v>704</v>
      </c>
      <c r="F87" s="18" t="s">
        <v>610</v>
      </c>
      <c r="G87" s="15" t="s">
        <v>927</v>
      </c>
      <c r="H87" s="18" t="s">
        <v>924</v>
      </c>
      <c r="I87" s="9"/>
      <c r="J87" s="39" t="s">
        <v>928</v>
      </c>
      <c r="K87" s="20">
        <v>43322</v>
      </c>
      <c r="L87" s="32">
        <v>43687</v>
      </c>
      <c r="M87" s="45">
        <f t="shared" si="118"/>
        <v>85.000000000000014</v>
      </c>
      <c r="N87" s="18">
        <v>4</v>
      </c>
      <c r="O87" s="18" t="s">
        <v>599</v>
      </c>
      <c r="P87" s="18" t="s">
        <v>926</v>
      </c>
      <c r="Q87" s="18" t="s">
        <v>212</v>
      </c>
      <c r="R87" s="18" t="s">
        <v>36</v>
      </c>
      <c r="S87" s="26">
        <f t="shared" si="116"/>
        <v>239897.2</v>
      </c>
      <c r="T87" s="123">
        <v>239897.2</v>
      </c>
      <c r="U87" s="46">
        <v>0</v>
      </c>
      <c r="V87" s="25">
        <f t="shared" si="59"/>
        <v>36690.160000000003</v>
      </c>
      <c r="W87" s="46">
        <v>36690.160000000003</v>
      </c>
      <c r="X87" s="46">
        <v>0</v>
      </c>
      <c r="Y87" s="25">
        <f t="shared" si="117"/>
        <v>5644.6399999999994</v>
      </c>
      <c r="Z87" s="1">
        <v>5644.6399999999994</v>
      </c>
      <c r="AA87" s="1">
        <v>0</v>
      </c>
      <c r="AB87" s="26">
        <f t="shared" si="60"/>
        <v>0</v>
      </c>
      <c r="AC87" s="46"/>
      <c r="AD87" s="46"/>
      <c r="AE87" s="26">
        <f t="shared" si="119"/>
        <v>282232</v>
      </c>
      <c r="AF87" s="27"/>
      <c r="AG87" s="26">
        <f t="shared" si="97"/>
        <v>282232</v>
      </c>
      <c r="AH87" s="27" t="s">
        <v>871</v>
      </c>
      <c r="AI87" s="34"/>
      <c r="AJ87" s="38">
        <f>28223.2-2998.75+22606.01+22326.95-3666.19+27637.47-3510+26460</f>
        <v>117078.69</v>
      </c>
      <c r="AK87" s="1">
        <f>2998.75+3414.71+3666.19+3510</f>
        <v>13589.65</v>
      </c>
    </row>
    <row r="88" spans="1:37" s="131" customFormat="1" ht="178.5" customHeight="1" x14ac:dyDescent="0.25">
      <c r="A88" s="12">
        <v>84</v>
      </c>
      <c r="B88" s="124">
        <v>126292</v>
      </c>
      <c r="C88" s="125">
        <v>514</v>
      </c>
      <c r="D88" s="126" t="s">
        <v>177</v>
      </c>
      <c r="E88" s="127" t="s">
        <v>968</v>
      </c>
      <c r="F88" s="96" t="s">
        <v>1135</v>
      </c>
      <c r="G88" s="128" t="s">
        <v>1155</v>
      </c>
      <c r="H88" s="96" t="s">
        <v>1156</v>
      </c>
      <c r="I88" s="129" t="s">
        <v>185</v>
      </c>
      <c r="J88" s="130" t="s">
        <v>1157</v>
      </c>
      <c r="K88" s="20">
        <v>43439</v>
      </c>
      <c r="L88" s="32">
        <v>43926</v>
      </c>
      <c r="M88" s="45">
        <f t="shared" si="118"/>
        <v>84.999999635678833</v>
      </c>
      <c r="N88" s="125">
        <v>4</v>
      </c>
      <c r="O88" s="96" t="s">
        <v>599</v>
      </c>
      <c r="P88" s="96" t="s">
        <v>421</v>
      </c>
      <c r="Q88" s="96" t="s">
        <v>212</v>
      </c>
      <c r="R88" s="96" t="s">
        <v>1158</v>
      </c>
      <c r="S88" s="26">
        <f>T88+U88</f>
        <v>2333106.34</v>
      </c>
      <c r="T88" s="1">
        <v>2333106.34</v>
      </c>
      <c r="U88" s="1">
        <v>0</v>
      </c>
      <c r="V88" s="25">
        <f>W88+X88</f>
        <v>356828.04</v>
      </c>
      <c r="W88" s="1">
        <v>356828.04</v>
      </c>
      <c r="X88" s="1">
        <v>0</v>
      </c>
      <c r="Y88" s="25">
        <f>Z88+AA88</f>
        <v>54896.62</v>
      </c>
      <c r="Z88" s="1">
        <v>54896.62</v>
      </c>
      <c r="AA88" s="1">
        <v>0</v>
      </c>
      <c r="AB88" s="25">
        <v>0</v>
      </c>
      <c r="AC88" s="1">
        <v>0</v>
      </c>
      <c r="AD88" s="1">
        <v>0</v>
      </c>
      <c r="AE88" s="26">
        <f>S88+V88+Y88+AB88</f>
        <v>2744831</v>
      </c>
      <c r="AF88" s="1"/>
      <c r="AG88" s="26">
        <f t="shared" si="97"/>
        <v>2744831</v>
      </c>
      <c r="AH88" s="27" t="s">
        <v>871</v>
      </c>
      <c r="AI88" s="57"/>
      <c r="AJ88" s="38">
        <v>0</v>
      </c>
      <c r="AK88" s="1">
        <v>0</v>
      </c>
    </row>
    <row r="89" spans="1:37" s="135" customFormat="1" ht="187.5" customHeight="1" x14ac:dyDescent="0.25">
      <c r="A89" s="12">
        <v>85</v>
      </c>
      <c r="B89" s="124">
        <v>126320</v>
      </c>
      <c r="C89" s="125">
        <v>515</v>
      </c>
      <c r="D89" s="126" t="s">
        <v>176</v>
      </c>
      <c r="E89" s="96" t="s">
        <v>968</v>
      </c>
      <c r="F89" s="96" t="s">
        <v>1135</v>
      </c>
      <c r="G89" s="132" t="s">
        <v>1291</v>
      </c>
      <c r="H89" s="117" t="s">
        <v>250</v>
      </c>
      <c r="I89" s="129" t="s">
        <v>1294</v>
      </c>
      <c r="J89" s="127" t="s">
        <v>1293</v>
      </c>
      <c r="K89" s="20">
        <v>43531</v>
      </c>
      <c r="L89" s="32">
        <v>44446</v>
      </c>
      <c r="M89" s="45">
        <f t="shared" si="118"/>
        <v>84.263733041248912</v>
      </c>
      <c r="N89" s="125">
        <v>4</v>
      </c>
      <c r="O89" s="96" t="s">
        <v>599</v>
      </c>
      <c r="P89" s="96" t="s">
        <v>858</v>
      </c>
      <c r="Q89" s="96" t="s">
        <v>212</v>
      </c>
      <c r="R89" s="14" t="s">
        <v>36</v>
      </c>
      <c r="S89" s="133">
        <f t="shared" ref="S89" si="120">T89+U89</f>
        <v>2765436.54</v>
      </c>
      <c r="T89" s="96">
        <v>2765436.54</v>
      </c>
      <c r="U89" s="96">
        <v>0</v>
      </c>
      <c r="V89" s="134">
        <f t="shared" ref="V89" si="121">W89+X89</f>
        <v>450808.12</v>
      </c>
      <c r="W89" s="96">
        <v>450808.12</v>
      </c>
      <c r="X89" s="96">
        <v>0</v>
      </c>
      <c r="Y89" s="134">
        <f t="shared" ref="Y89" si="122">Z89+AA89</f>
        <v>28427.56</v>
      </c>
      <c r="Z89" s="96">
        <v>28427.56</v>
      </c>
      <c r="AA89" s="96">
        <v>0</v>
      </c>
      <c r="AB89" s="51">
        <f t="shared" ref="AB89" si="123">AC89+AD89</f>
        <v>37210.080000000002</v>
      </c>
      <c r="AC89" s="96">
        <v>37210.080000000002</v>
      </c>
      <c r="AD89" s="96">
        <v>0</v>
      </c>
      <c r="AE89" s="133">
        <f>S89+V89+Y89+AB89</f>
        <v>3281882.3000000003</v>
      </c>
      <c r="AF89" s="96">
        <v>0</v>
      </c>
      <c r="AG89" s="26">
        <f t="shared" si="97"/>
        <v>3281882.3000000003</v>
      </c>
      <c r="AH89" s="125"/>
      <c r="AI89" s="129"/>
      <c r="AJ89" s="38">
        <v>14000</v>
      </c>
      <c r="AK89" s="1">
        <v>0</v>
      </c>
    </row>
    <row r="90" spans="1:37" s="131" customFormat="1" ht="178.5" customHeight="1" x14ac:dyDescent="0.25">
      <c r="A90" s="14">
        <v>86</v>
      </c>
      <c r="B90" s="124">
        <v>128004</v>
      </c>
      <c r="C90" s="125">
        <v>635</v>
      </c>
      <c r="D90" s="126" t="s">
        <v>174</v>
      </c>
      <c r="E90" s="127" t="s">
        <v>968</v>
      </c>
      <c r="F90" s="103" t="s">
        <v>1417</v>
      </c>
      <c r="G90" s="128" t="s">
        <v>1440</v>
      </c>
      <c r="H90" s="96" t="s">
        <v>1439</v>
      </c>
      <c r="I90" s="129" t="s">
        <v>185</v>
      </c>
      <c r="J90" s="130" t="s">
        <v>1441</v>
      </c>
      <c r="K90" s="20">
        <v>43620</v>
      </c>
      <c r="L90" s="32">
        <v>44351</v>
      </c>
      <c r="M90" s="45">
        <f t="shared" ref="M90:M91" si="124">S90/AE90*100</f>
        <v>85</v>
      </c>
      <c r="N90" s="125">
        <v>4</v>
      </c>
      <c r="O90" s="96" t="s">
        <v>599</v>
      </c>
      <c r="P90" s="96" t="s">
        <v>421</v>
      </c>
      <c r="Q90" s="96" t="s">
        <v>212</v>
      </c>
      <c r="R90" s="96" t="s">
        <v>1158</v>
      </c>
      <c r="S90" s="26">
        <f>T90+U90</f>
        <v>1919118.95</v>
      </c>
      <c r="T90" s="1">
        <v>1919118.95</v>
      </c>
      <c r="U90" s="1">
        <v>0</v>
      </c>
      <c r="V90" s="25">
        <f>W90+X90</f>
        <v>293512.31</v>
      </c>
      <c r="W90" s="1">
        <v>293512.31</v>
      </c>
      <c r="X90" s="1">
        <v>0</v>
      </c>
      <c r="Y90" s="25">
        <f>Z90+AA90</f>
        <v>45155.74</v>
      </c>
      <c r="Z90" s="1">
        <v>45155.74</v>
      </c>
      <c r="AA90" s="1">
        <v>0</v>
      </c>
      <c r="AB90" s="25">
        <v>0</v>
      </c>
      <c r="AC90" s="1">
        <v>0</v>
      </c>
      <c r="AD90" s="1">
        <v>0</v>
      </c>
      <c r="AE90" s="26">
        <f>S90+V90+Y90+AB90</f>
        <v>2257787</v>
      </c>
      <c r="AF90" s="1">
        <v>0</v>
      </c>
      <c r="AG90" s="26">
        <f t="shared" si="97"/>
        <v>2257787</v>
      </c>
      <c r="AH90" s="27" t="s">
        <v>871</v>
      </c>
      <c r="AI90" s="57"/>
      <c r="AJ90" s="38">
        <v>0</v>
      </c>
      <c r="AK90" s="1">
        <v>0</v>
      </c>
    </row>
    <row r="91" spans="1:37" s="131" customFormat="1" ht="178.5" customHeight="1" x14ac:dyDescent="0.25">
      <c r="A91" s="12">
        <v>87</v>
      </c>
      <c r="B91" s="136">
        <v>126500</v>
      </c>
      <c r="C91" s="125">
        <v>501</v>
      </c>
      <c r="D91" s="126" t="s">
        <v>171</v>
      </c>
      <c r="E91" s="127" t="s">
        <v>968</v>
      </c>
      <c r="F91" s="103" t="s">
        <v>1268</v>
      </c>
      <c r="G91" s="137" t="s">
        <v>1454</v>
      </c>
      <c r="H91" s="96" t="s">
        <v>856</v>
      </c>
      <c r="I91" s="96" t="s">
        <v>293</v>
      </c>
      <c r="J91" s="130" t="s">
        <v>1455</v>
      </c>
      <c r="K91" s="20">
        <v>43626</v>
      </c>
      <c r="L91" s="32">
        <v>44357</v>
      </c>
      <c r="M91" s="45">
        <f t="shared" si="124"/>
        <v>83.560067781888534</v>
      </c>
      <c r="N91" s="125">
        <v>4</v>
      </c>
      <c r="O91" s="96" t="s">
        <v>599</v>
      </c>
      <c r="P91" s="96" t="s">
        <v>421</v>
      </c>
      <c r="Q91" s="96" t="s">
        <v>212</v>
      </c>
      <c r="R91" s="96" t="s">
        <v>1158</v>
      </c>
      <c r="S91" s="26">
        <f>T91+U91</f>
        <v>1824019.35</v>
      </c>
      <c r="T91" s="1">
        <v>1824019.35</v>
      </c>
      <c r="U91" s="1">
        <v>0</v>
      </c>
      <c r="V91" s="25">
        <f>W91+X91</f>
        <v>315206.96999999997</v>
      </c>
      <c r="W91" s="1">
        <v>315206.96999999997</v>
      </c>
      <c r="X91" s="1">
        <v>0</v>
      </c>
      <c r="Y91" s="25">
        <f>Z91+AA91</f>
        <v>6678.79</v>
      </c>
      <c r="Z91" s="1">
        <v>6678.79</v>
      </c>
      <c r="AA91" s="1">
        <v>0</v>
      </c>
      <c r="AB91" s="25">
        <f>AC91+AD91</f>
        <v>36978.89</v>
      </c>
      <c r="AC91" s="1">
        <v>36978.89</v>
      </c>
      <c r="AD91" s="1">
        <v>0</v>
      </c>
      <c r="AE91" s="26">
        <f>S91+V91+Y91+AB91</f>
        <v>2182884.0000000005</v>
      </c>
      <c r="AF91" s="1">
        <v>0</v>
      </c>
      <c r="AG91" s="26">
        <f t="shared" si="97"/>
        <v>2182884.0000000005</v>
      </c>
      <c r="AH91" s="27" t="s">
        <v>871</v>
      </c>
      <c r="AI91" s="57" t="s">
        <v>349</v>
      </c>
      <c r="AJ91" s="38">
        <v>0</v>
      </c>
      <c r="AK91" s="1">
        <v>0</v>
      </c>
    </row>
    <row r="92" spans="1:37" ht="409.5" x14ac:dyDescent="0.25">
      <c r="A92" s="12">
        <v>88</v>
      </c>
      <c r="B92" s="13">
        <v>120590</v>
      </c>
      <c r="C92" s="8">
        <v>69</v>
      </c>
      <c r="D92" s="14" t="s">
        <v>684</v>
      </c>
      <c r="E92" s="15" t="s">
        <v>968</v>
      </c>
      <c r="F92" s="16" t="s">
        <v>331</v>
      </c>
      <c r="G92" s="17" t="s">
        <v>213</v>
      </c>
      <c r="H92" s="17" t="s">
        <v>216</v>
      </c>
      <c r="I92" s="14" t="s">
        <v>185</v>
      </c>
      <c r="J92" s="48" t="s">
        <v>219</v>
      </c>
      <c r="K92" s="20">
        <v>43129</v>
      </c>
      <c r="L92" s="32">
        <v>43553</v>
      </c>
      <c r="M92" s="21">
        <f t="shared" ref="M92:M93" si="125">S92/AE92*100</f>
        <v>85</v>
      </c>
      <c r="N92" s="14">
        <v>2</v>
      </c>
      <c r="O92" s="14" t="s">
        <v>226</v>
      </c>
      <c r="P92" s="14" t="s">
        <v>224</v>
      </c>
      <c r="Q92" s="42" t="s">
        <v>212</v>
      </c>
      <c r="R92" s="14" t="s">
        <v>36</v>
      </c>
      <c r="S92" s="23">
        <f t="shared" ref="S92:S93" si="126">T92+U92</f>
        <v>312939.57</v>
      </c>
      <c r="T92" s="23">
        <v>312939.57</v>
      </c>
      <c r="U92" s="23">
        <v>0</v>
      </c>
      <c r="V92" s="25">
        <f t="shared" si="59"/>
        <v>47861.35</v>
      </c>
      <c r="W92" s="23">
        <v>47861.35</v>
      </c>
      <c r="X92" s="23">
        <v>0</v>
      </c>
      <c r="Y92" s="23">
        <f t="shared" ref="Y92:Y93" si="127">Z92+AA92</f>
        <v>7363.28</v>
      </c>
      <c r="Z92" s="23">
        <v>7363.28</v>
      </c>
      <c r="AA92" s="23">
        <v>0</v>
      </c>
      <c r="AB92" s="23">
        <f t="shared" si="60"/>
        <v>0</v>
      </c>
      <c r="AC92" s="23"/>
      <c r="AD92" s="23"/>
      <c r="AE92" s="23">
        <f>S92+V92+Y92+AB92</f>
        <v>368164.2</v>
      </c>
      <c r="AF92" s="23">
        <v>0</v>
      </c>
      <c r="AG92" s="26">
        <f t="shared" si="97"/>
        <v>368164.2</v>
      </c>
      <c r="AH92" s="27" t="s">
        <v>1073</v>
      </c>
      <c r="AI92" s="28" t="s">
        <v>185</v>
      </c>
      <c r="AJ92" s="1">
        <f>9308-1234.73+160612.06+49663.87+46769.73</f>
        <v>265118.93</v>
      </c>
      <c r="AK92" s="49">
        <f>1234.73+24564.19+7595.65+7153.01</f>
        <v>40547.58</v>
      </c>
    </row>
    <row r="93" spans="1:37" s="138" customFormat="1" ht="409.5" x14ac:dyDescent="0.25">
      <c r="A93" s="14">
        <v>89</v>
      </c>
      <c r="B93" s="35">
        <v>118013</v>
      </c>
      <c r="C93" s="18">
        <v>419</v>
      </c>
      <c r="D93" s="18"/>
      <c r="E93" s="15" t="s">
        <v>704</v>
      </c>
      <c r="F93" s="18" t="s">
        <v>610</v>
      </c>
      <c r="G93" s="15" t="s">
        <v>969</v>
      </c>
      <c r="H93" s="15" t="s">
        <v>970</v>
      </c>
      <c r="I93" s="18" t="s">
        <v>185</v>
      </c>
      <c r="J93" s="15" t="s">
        <v>971</v>
      </c>
      <c r="K93" s="32">
        <v>43336</v>
      </c>
      <c r="L93" s="32">
        <v>43762</v>
      </c>
      <c r="M93" s="45">
        <f t="shared" si="125"/>
        <v>84.999998597642829</v>
      </c>
      <c r="N93" s="18">
        <v>2</v>
      </c>
      <c r="O93" s="14" t="s">
        <v>226</v>
      </c>
      <c r="P93" s="14" t="s">
        <v>224</v>
      </c>
      <c r="Q93" s="42" t="s">
        <v>212</v>
      </c>
      <c r="R93" s="14" t="s">
        <v>36</v>
      </c>
      <c r="S93" s="26">
        <f t="shared" si="126"/>
        <v>242448.93</v>
      </c>
      <c r="T93" s="1">
        <v>242448.93</v>
      </c>
      <c r="U93" s="1">
        <v>0</v>
      </c>
      <c r="V93" s="25">
        <f t="shared" si="59"/>
        <v>37080.43</v>
      </c>
      <c r="W93" s="1">
        <v>37080.43</v>
      </c>
      <c r="X93" s="46">
        <v>0</v>
      </c>
      <c r="Y93" s="23">
        <f t="shared" si="127"/>
        <v>5704.68</v>
      </c>
      <c r="Z93" s="1">
        <v>5704.68</v>
      </c>
      <c r="AA93" s="1">
        <v>0</v>
      </c>
      <c r="AB93" s="26">
        <f t="shared" si="60"/>
        <v>0</v>
      </c>
      <c r="AC93" s="1">
        <v>0</v>
      </c>
      <c r="AD93" s="1">
        <v>0</v>
      </c>
      <c r="AE93" s="26">
        <f t="shared" ref="AE93:AE144" si="128">S93+V93+Y93+AB93</f>
        <v>285234.03999999998</v>
      </c>
      <c r="AF93" s="27">
        <v>0</v>
      </c>
      <c r="AG93" s="26">
        <f t="shared" si="97"/>
        <v>285234.03999999998</v>
      </c>
      <c r="AH93" s="27" t="s">
        <v>585</v>
      </c>
      <c r="AI93" s="28" t="s">
        <v>185</v>
      </c>
      <c r="AJ93" s="38">
        <v>15022.29</v>
      </c>
      <c r="AK93" s="1">
        <v>2297.52</v>
      </c>
    </row>
    <row r="94" spans="1:37" ht="315" x14ac:dyDescent="0.25">
      <c r="A94" s="12">
        <v>90</v>
      </c>
      <c r="B94" s="13">
        <v>126419</v>
      </c>
      <c r="C94" s="67">
        <v>561</v>
      </c>
      <c r="D94" s="13" t="s">
        <v>174</v>
      </c>
      <c r="E94" s="18" t="s">
        <v>968</v>
      </c>
      <c r="F94" s="16" t="s">
        <v>1135</v>
      </c>
      <c r="G94" s="15" t="s">
        <v>1140</v>
      </c>
      <c r="H94" s="30" t="s">
        <v>970</v>
      </c>
      <c r="I94" s="18" t="s">
        <v>185</v>
      </c>
      <c r="J94" s="19" t="s">
        <v>1141</v>
      </c>
      <c r="K94" s="32">
        <v>43432</v>
      </c>
      <c r="L94" s="32">
        <v>44283</v>
      </c>
      <c r="M94" s="21">
        <f t="shared" ref="M94:M96" si="129">S94/AE94*100</f>
        <v>85</v>
      </c>
      <c r="N94" s="13">
        <v>2</v>
      </c>
      <c r="O94" s="18" t="s">
        <v>226</v>
      </c>
      <c r="P94" s="14" t="s">
        <v>224</v>
      </c>
      <c r="Q94" s="92" t="s">
        <v>212</v>
      </c>
      <c r="R94" s="94" t="s">
        <v>36</v>
      </c>
      <c r="S94" s="95">
        <f t="shared" ref="S94:S96" si="130">T94+U94</f>
        <v>2627225.9</v>
      </c>
      <c r="T94" s="29">
        <v>2627225.9</v>
      </c>
      <c r="U94" s="29">
        <v>0</v>
      </c>
      <c r="V94" s="25">
        <f t="shared" ref="V94:V96" si="131">W94+X94</f>
        <v>401811.02</v>
      </c>
      <c r="W94" s="23">
        <v>401811.02</v>
      </c>
      <c r="X94" s="29">
        <v>0</v>
      </c>
      <c r="Y94" s="96">
        <f t="shared" ref="Y94:Y96" si="132">Z94+AA94</f>
        <v>61817.079999999994</v>
      </c>
      <c r="Z94" s="97">
        <v>61817.079999999994</v>
      </c>
      <c r="AA94" s="29">
        <v>0</v>
      </c>
      <c r="AB94" s="26">
        <f t="shared" si="60"/>
        <v>0</v>
      </c>
      <c r="AC94" s="29">
        <v>0</v>
      </c>
      <c r="AD94" s="29">
        <v>0</v>
      </c>
      <c r="AE94" s="23">
        <f>S94+V94+Y94+AB94</f>
        <v>3090854</v>
      </c>
      <c r="AF94" s="13">
        <v>0</v>
      </c>
      <c r="AG94" s="26">
        <f t="shared" si="97"/>
        <v>3090854</v>
      </c>
      <c r="AH94" s="13" t="s">
        <v>585</v>
      </c>
      <c r="AI94" s="34" t="s">
        <v>185</v>
      </c>
      <c r="AJ94" s="38">
        <v>0</v>
      </c>
      <c r="AK94" s="1">
        <v>0</v>
      </c>
    </row>
    <row r="95" spans="1:37" ht="299.25" x14ac:dyDescent="0.25">
      <c r="A95" s="12">
        <v>91</v>
      </c>
      <c r="B95" s="13">
        <v>125256</v>
      </c>
      <c r="C95" s="67">
        <v>562</v>
      </c>
      <c r="D95" s="13" t="s">
        <v>176</v>
      </c>
      <c r="E95" s="18" t="s">
        <v>968</v>
      </c>
      <c r="F95" s="16" t="s">
        <v>1135</v>
      </c>
      <c r="G95" s="15" t="s">
        <v>1171</v>
      </c>
      <c r="H95" s="17" t="s">
        <v>1172</v>
      </c>
      <c r="I95" s="18" t="s">
        <v>185</v>
      </c>
      <c r="J95" s="19" t="s">
        <v>1170</v>
      </c>
      <c r="K95" s="32">
        <v>43444</v>
      </c>
      <c r="L95" s="32">
        <v>43809</v>
      </c>
      <c r="M95" s="21">
        <f t="shared" si="129"/>
        <v>84.999999921204406</v>
      </c>
      <c r="N95" s="13">
        <v>2</v>
      </c>
      <c r="O95" s="18" t="s">
        <v>226</v>
      </c>
      <c r="P95" s="18" t="s">
        <v>226</v>
      </c>
      <c r="Q95" s="92" t="s">
        <v>212</v>
      </c>
      <c r="R95" s="94" t="s">
        <v>36</v>
      </c>
      <c r="S95" s="95">
        <f t="shared" si="130"/>
        <v>3236221.13</v>
      </c>
      <c r="T95" s="29">
        <v>3236221.13</v>
      </c>
      <c r="U95" s="29">
        <v>0</v>
      </c>
      <c r="V95" s="25">
        <f t="shared" si="131"/>
        <v>494951.47</v>
      </c>
      <c r="W95" s="23">
        <v>494951.47</v>
      </c>
      <c r="X95" s="29">
        <v>0</v>
      </c>
      <c r="Y95" s="96">
        <f t="shared" si="132"/>
        <v>76146.38</v>
      </c>
      <c r="Z95" s="97">
        <v>76146.38</v>
      </c>
      <c r="AA95" s="29">
        <v>0</v>
      </c>
      <c r="AB95" s="26">
        <f t="shared" si="60"/>
        <v>0</v>
      </c>
      <c r="AC95" s="29">
        <v>0</v>
      </c>
      <c r="AD95" s="29">
        <v>0</v>
      </c>
      <c r="AE95" s="23">
        <f t="shared" ref="AE95:AE96" si="133">S95+V95+Y95+AB95</f>
        <v>3807318.9799999995</v>
      </c>
      <c r="AF95" s="13">
        <v>630578.23</v>
      </c>
      <c r="AG95" s="26">
        <f t="shared" si="97"/>
        <v>4437897.209999999</v>
      </c>
      <c r="AH95" s="13" t="s">
        <v>871</v>
      </c>
      <c r="AI95" s="34"/>
      <c r="AJ95" s="38">
        <f>160000+39034.57</f>
        <v>199034.57</v>
      </c>
      <c r="AK95" s="1">
        <v>30440.58</v>
      </c>
    </row>
    <row r="96" spans="1:37" ht="409.5" x14ac:dyDescent="0.25">
      <c r="A96" s="14">
        <v>92</v>
      </c>
      <c r="B96" s="13">
        <v>126291</v>
      </c>
      <c r="C96" s="67">
        <v>535</v>
      </c>
      <c r="D96" s="13" t="s">
        <v>175</v>
      </c>
      <c r="E96" s="18" t="s">
        <v>968</v>
      </c>
      <c r="F96" s="16" t="s">
        <v>1135</v>
      </c>
      <c r="G96" s="15" t="s">
        <v>1242</v>
      </c>
      <c r="H96" s="30" t="s">
        <v>1243</v>
      </c>
      <c r="I96" s="18" t="s">
        <v>422</v>
      </c>
      <c r="J96" s="19" t="s">
        <v>1244</v>
      </c>
      <c r="K96" s="32">
        <v>43493</v>
      </c>
      <c r="L96" s="32">
        <v>44343</v>
      </c>
      <c r="M96" s="21">
        <f t="shared" si="129"/>
        <v>85</v>
      </c>
      <c r="N96" s="13">
        <v>2</v>
      </c>
      <c r="O96" s="18" t="s">
        <v>226</v>
      </c>
      <c r="P96" s="14" t="s">
        <v>226</v>
      </c>
      <c r="Q96" s="92" t="s">
        <v>212</v>
      </c>
      <c r="R96" s="94" t="s">
        <v>36</v>
      </c>
      <c r="S96" s="95">
        <f t="shared" si="130"/>
        <v>1421225.5</v>
      </c>
      <c r="T96" s="29">
        <v>1421225.5</v>
      </c>
      <c r="U96" s="29">
        <v>0</v>
      </c>
      <c r="V96" s="25">
        <f t="shared" si="131"/>
        <v>217363.9</v>
      </c>
      <c r="W96" s="23">
        <v>217363.9</v>
      </c>
      <c r="X96" s="13">
        <v>0</v>
      </c>
      <c r="Y96" s="96">
        <f t="shared" si="132"/>
        <v>33440.6</v>
      </c>
      <c r="Z96" s="97">
        <v>33440.6</v>
      </c>
      <c r="AA96" s="29">
        <v>0</v>
      </c>
      <c r="AB96" s="26">
        <f t="shared" si="60"/>
        <v>0</v>
      </c>
      <c r="AC96" s="18"/>
      <c r="AD96" s="29"/>
      <c r="AE96" s="23">
        <f t="shared" si="133"/>
        <v>1672030</v>
      </c>
      <c r="AF96" s="13"/>
      <c r="AG96" s="26">
        <f t="shared" si="97"/>
        <v>1672030</v>
      </c>
      <c r="AH96" s="13" t="s">
        <v>871</v>
      </c>
      <c r="AI96" s="34"/>
      <c r="AJ96" s="38">
        <v>61734</v>
      </c>
      <c r="AK96" s="1">
        <v>0</v>
      </c>
    </row>
    <row r="97" spans="1:37" ht="236.25" x14ac:dyDescent="0.25">
      <c r="A97" s="12">
        <v>93</v>
      </c>
      <c r="B97" s="14">
        <v>111029</v>
      </c>
      <c r="C97" s="8">
        <v>126</v>
      </c>
      <c r="D97" s="14" t="s">
        <v>172</v>
      </c>
      <c r="E97" s="15" t="s">
        <v>968</v>
      </c>
      <c r="F97" s="16" t="s">
        <v>331</v>
      </c>
      <c r="G97" s="71" t="s">
        <v>391</v>
      </c>
      <c r="H97" s="30" t="s">
        <v>392</v>
      </c>
      <c r="I97" s="18" t="s">
        <v>185</v>
      </c>
      <c r="J97" s="19" t="s">
        <v>393</v>
      </c>
      <c r="K97" s="20">
        <v>43208</v>
      </c>
      <c r="L97" s="32">
        <v>43695</v>
      </c>
      <c r="M97" s="21">
        <f t="shared" ref="M97" si="134">S97/AE97*100</f>
        <v>85.000001177275294</v>
      </c>
      <c r="N97" s="14">
        <v>3</v>
      </c>
      <c r="O97" s="14" t="s">
        <v>390</v>
      </c>
      <c r="P97" s="14" t="s">
        <v>390</v>
      </c>
      <c r="Q97" s="22" t="s">
        <v>212</v>
      </c>
      <c r="R97" s="14" t="s">
        <v>36</v>
      </c>
      <c r="S97" s="25">
        <f t="shared" ref="S97" si="135">T97+U97</f>
        <v>361003.08</v>
      </c>
      <c r="T97" s="23">
        <v>361003.08</v>
      </c>
      <c r="U97" s="23">
        <v>0</v>
      </c>
      <c r="V97" s="25">
        <f t="shared" si="59"/>
        <v>55212.23</v>
      </c>
      <c r="W97" s="23">
        <v>55212.23</v>
      </c>
      <c r="X97" s="23"/>
      <c r="Y97" s="25">
        <f>Z97+AA97</f>
        <v>8494.19</v>
      </c>
      <c r="Z97" s="23">
        <v>8494.19</v>
      </c>
      <c r="AA97" s="23">
        <v>0</v>
      </c>
      <c r="AB97" s="23">
        <f t="shared" si="60"/>
        <v>0</v>
      </c>
      <c r="AC97" s="23"/>
      <c r="AD97" s="23"/>
      <c r="AE97" s="23">
        <f t="shared" si="128"/>
        <v>424709.5</v>
      </c>
      <c r="AF97" s="23">
        <v>0</v>
      </c>
      <c r="AG97" s="26">
        <f t="shared" si="97"/>
        <v>424709.5</v>
      </c>
      <c r="AH97" s="27" t="s">
        <v>585</v>
      </c>
      <c r="AI97" s="28" t="s">
        <v>185</v>
      </c>
      <c r="AJ97" s="1">
        <f>42470.95-5481.19+41319.73-5371.57+40493.34+1354.85+42470.95</f>
        <v>157257.06</v>
      </c>
      <c r="AK97" s="29">
        <f>5481.19+5371.57+6702.77</f>
        <v>17555.53</v>
      </c>
    </row>
    <row r="98" spans="1:37" ht="204.75" x14ac:dyDescent="0.25">
      <c r="A98" s="12">
        <v>94</v>
      </c>
      <c r="B98" s="14">
        <v>116685</v>
      </c>
      <c r="C98" s="8">
        <v>407</v>
      </c>
      <c r="D98" s="14" t="s">
        <v>843</v>
      </c>
      <c r="E98" s="15" t="s">
        <v>704</v>
      </c>
      <c r="F98" s="16" t="s">
        <v>610</v>
      </c>
      <c r="G98" s="71" t="s">
        <v>796</v>
      </c>
      <c r="H98" s="30" t="s">
        <v>799</v>
      </c>
      <c r="I98" s="18" t="s">
        <v>797</v>
      </c>
      <c r="J98" s="19" t="s">
        <v>798</v>
      </c>
      <c r="K98" s="20">
        <v>43298</v>
      </c>
      <c r="L98" s="32">
        <v>43754</v>
      </c>
      <c r="M98" s="21">
        <f>S98/AE98*100</f>
        <v>84.519132769277391</v>
      </c>
      <c r="N98" s="14">
        <v>3</v>
      </c>
      <c r="O98" s="14" t="s">
        <v>390</v>
      </c>
      <c r="P98" s="14" t="s">
        <v>390</v>
      </c>
      <c r="Q98" s="22" t="s">
        <v>212</v>
      </c>
      <c r="R98" s="14" t="s">
        <v>36</v>
      </c>
      <c r="S98" s="25">
        <f>T98+U98</f>
        <v>335058.15000000002</v>
      </c>
      <c r="T98" s="23">
        <v>335058.15000000002</v>
      </c>
      <c r="U98" s="23">
        <v>0</v>
      </c>
      <c r="V98" s="25">
        <f>W98+X98</f>
        <v>53442.06</v>
      </c>
      <c r="W98" s="23">
        <v>53442.06</v>
      </c>
      <c r="X98" s="23">
        <v>0</v>
      </c>
      <c r="Y98" s="25">
        <f>Z98+AA98</f>
        <v>0</v>
      </c>
      <c r="Z98" s="23">
        <v>0</v>
      </c>
      <c r="AA98" s="23">
        <v>0</v>
      </c>
      <c r="AB98" s="23">
        <f>AC98+AD98</f>
        <v>7928.55</v>
      </c>
      <c r="AC98" s="23">
        <v>7928.55</v>
      </c>
      <c r="AD98" s="23">
        <v>0</v>
      </c>
      <c r="AE98" s="23">
        <f>S98+V98+Y98+AB98</f>
        <v>396428.76</v>
      </c>
      <c r="AF98" s="23">
        <v>0</v>
      </c>
      <c r="AG98" s="26">
        <f t="shared" si="97"/>
        <v>396428.76</v>
      </c>
      <c r="AH98" s="27" t="s">
        <v>585</v>
      </c>
      <c r="AI98" s="28" t="s">
        <v>1444</v>
      </c>
      <c r="AJ98" s="1">
        <f>39681.48+14195.1+26259.61+31194.01</f>
        <v>111330.2</v>
      </c>
      <c r="AK98" s="29">
        <f>7488.22+4204.9</f>
        <v>11693.119999999999</v>
      </c>
    </row>
    <row r="99" spans="1:37" ht="409.5" x14ac:dyDescent="0.25">
      <c r="A99" s="14">
        <v>95</v>
      </c>
      <c r="B99" s="14">
        <v>118751</v>
      </c>
      <c r="C99" s="8">
        <v>437</v>
      </c>
      <c r="D99" s="14" t="s">
        <v>843</v>
      </c>
      <c r="E99" s="15" t="s">
        <v>704</v>
      </c>
      <c r="F99" s="16" t="s">
        <v>610</v>
      </c>
      <c r="G99" s="71" t="s">
        <v>977</v>
      </c>
      <c r="H99" s="30" t="s">
        <v>392</v>
      </c>
      <c r="I99" s="18" t="s">
        <v>185</v>
      </c>
      <c r="J99" s="19" t="s">
        <v>1082</v>
      </c>
      <c r="K99" s="20">
        <v>43340</v>
      </c>
      <c r="L99" s="32">
        <v>43644</v>
      </c>
      <c r="M99" s="21">
        <f t="shared" ref="M99:M100" si="136">S99/AE99*100</f>
        <v>85.000001668371198</v>
      </c>
      <c r="N99" s="14">
        <v>3</v>
      </c>
      <c r="O99" s="14" t="s">
        <v>390</v>
      </c>
      <c r="P99" s="14" t="s">
        <v>390</v>
      </c>
      <c r="Q99" s="22" t="s">
        <v>212</v>
      </c>
      <c r="R99" s="14" t="s">
        <v>36</v>
      </c>
      <c r="S99" s="25">
        <v>254739.48</v>
      </c>
      <c r="T99" s="29">
        <v>254739.48</v>
      </c>
      <c r="U99" s="23">
        <v>0</v>
      </c>
      <c r="V99" s="25">
        <v>38960.15</v>
      </c>
      <c r="W99" s="23">
        <v>38960.15</v>
      </c>
      <c r="X99" s="23">
        <v>0</v>
      </c>
      <c r="Y99" s="25">
        <f>Z99+AA99</f>
        <v>5993.87</v>
      </c>
      <c r="Z99" s="23">
        <v>5993.87</v>
      </c>
      <c r="AA99" s="23">
        <v>0</v>
      </c>
      <c r="AB99" s="23">
        <f t="shared" si="60"/>
        <v>0</v>
      </c>
      <c r="AC99" s="23">
        <v>0</v>
      </c>
      <c r="AD99" s="23">
        <v>0</v>
      </c>
      <c r="AE99" s="23">
        <f t="shared" si="128"/>
        <v>299693.5</v>
      </c>
      <c r="AF99" s="23">
        <v>0</v>
      </c>
      <c r="AG99" s="26">
        <f t="shared" si="97"/>
        <v>299693.5</v>
      </c>
      <c r="AH99" s="27" t="s">
        <v>585</v>
      </c>
      <c r="AI99" s="28" t="s">
        <v>185</v>
      </c>
      <c r="AJ99" s="1">
        <f>29969-3256.9+24552.01-3830.33</f>
        <v>47433.78</v>
      </c>
      <c r="AK99" s="29">
        <f>3256.9+3830.83</f>
        <v>7087.73</v>
      </c>
    </row>
    <row r="100" spans="1:37" ht="300" x14ac:dyDescent="0.25">
      <c r="A100" s="12">
        <v>96</v>
      </c>
      <c r="B100" s="35">
        <v>126535</v>
      </c>
      <c r="C100" s="8">
        <v>564</v>
      </c>
      <c r="D100" s="9" t="s">
        <v>174</v>
      </c>
      <c r="E100" s="15" t="s">
        <v>968</v>
      </c>
      <c r="F100" s="16" t="s">
        <v>1135</v>
      </c>
      <c r="G100" s="35" t="s">
        <v>1193</v>
      </c>
      <c r="H100" s="94" t="s">
        <v>392</v>
      </c>
      <c r="I100" s="9" t="s">
        <v>185</v>
      </c>
      <c r="J100" s="139" t="s">
        <v>1194</v>
      </c>
      <c r="K100" s="20">
        <v>43447</v>
      </c>
      <c r="L100" s="32">
        <v>44178</v>
      </c>
      <c r="M100" s="21">
        <f t="shared" si="136"/>
        <v>85</v>
      </c>
      <c r="N100" s="14">
        <v>3</v>
      </c>
      <c r="O100" s="14" t="s">
        <v>390</v>
      </c>
      <c r="P100" s="14" t="s">
        <v>390</v>
      </c>
      <c r="Q100" s="22" t="s">
        <v>212</v>
      </c>
      <c r="R100" s="14" t="s">
        <v>36</v>
      </c>
      <c r="S100" s="25">
        <f>T100+U100</f>
        <v>3199377.9</v>
      </c>
      <c r="T100" s="29">
        <v>3199377.9</v>
      </c>
      <c r="U100" s="29">
        <v>0</v>
      </c>
      <c r="V100" s="140">
        <f>W100+X100</f>
        <v>489316.62</v>
      </c>
      <c r="W100" s="29">
        <v>489316.62</v>
      </c>
      <c r="X100" s="29">
        <v>0</v>
      </c>
      <c r="Y100" s="25">
        <f t="shared" ref="Y100" si="137">Z100+AA100</f>
        <v>75279.48</v>
      </c>
      <c r="Z100" s="23">
        <v>75279.48</v>
      </c>
      <c r="AA100" s="23">
        <v>0</v>
      </c>
      <c r="AB100" s="23">
        <f t="shared" si="60"/>
        <v>0</v>
      </c>
      <c r="AC100" s="29">
        <v>0</v>
      </c>
      <c r="AD100" s="29">
        <v>0</v>
      </c>
      <c r="AE100" s="23">
        <f t="shared" si="128"/>
        <v>3763974</v>
      </c>
      <c r="AF100" s="34"/>
      <c r="AG100" s="26">
        <f t="shared" si="97"/>
        <v>3763974</v>
      </c>
      <c r="AH100" s="27" t="s">
        <v>585</v>
      </c>
      <c r="AI100" s="28"/>
      <c r="AJ100" s="54">
        <v>376397</v>
      </c>
      <c r="AK100" s="54">
        <v>0</v>
      </c>
    </row>
    <row r="101" spans="1:37" ht="204.75" x14ac:dyDescent="0.25">
      <c r="A101" s="12">
        <v>97</v>
      </c>
      <c r="B101" s="14">
        <v>120638</v>
      </c>
      <c r="C101" s="8">
        <v>97</v>
      </c>
      <c r="D101" s="14" t="s">
        <v>171</v>
      </c>
      <c r="E101" s="15" t="s">
        <v>968</v>
      </c>
      <c r="F101" s="16" t="s">
        <v>331</v>
      </c>
      <c r="G101" s="17" t="s">
        <v>278</v>
      </c>
      <c r="H101" s="14" t="s">
        <v>277</v>
      </c>
      <c r="I101" s="14" t="s">
        <v>185</v>
      </c>
      <c r="J101" s="48" t="s">
        <v>279</v>
      </c>
      <c r="K101" s="20">
        <v>43145</v>
      </c>
      <c r="L101" s="32">
        <v>43630</v>
      </c>
      <c r="M101" s="21">
        <f t="shared" ref="M101:M103" si="138">S101/AE101*100</f>
        <v>84.999998641808133</v>
      </c>
      <c r="N101" s="14">
        <v>4</v>
      </c>
      <c r="O101" s="14" t="s">
        <v>275</v>
      </c>
      <c r="P101" s="14" t="s">
        <v>276</v>
      </c>
      <c r="Q101" s="42" t="s">
        <v>212</v>
      </c>
      <c r="R101" s="14" t="s">
        <v>36</v>
      </c>
      <c r="S101" s="23">
        <f t="shared" ref="S101:S103" si="139">T101+U101</f>
        <v>312916.02</v>
      </c>
      <c r="T101" s="24">
        <v>312916.02</v>
      </c>
      <c r="U101" s="141">
        <v>0</v>
      </c>
      <c r="V101" s="25">
        <f t="shared" si="59"/>
        <v>47857.75</v>
      </c>
      <c r="W101" s="23">
        <v>47857.75</v>
      </c>
      <c r="X101" s="23">
        <v>0</v>
      </c>
      <c r="Y101" s="23">
        <f t="shared" ref="Y101:Y103" si="140">Z101+AA101</f>
        <v>7362.73</v>
      </c>
      <c r="Z101" s="23">
        <v>7362.73</v>
      </c>
      <c r="AA101" s="23">
        <v>0</v>
      </c>
      <c r="AB101" s="23">
        <f t="shared" si="60"/>
        <v>0</v>
      </c>
      <c r="AC101" s="23"/>
      <c r="AD101" s="23"/>
      <c r="AE101" s="23">
        <f t="shared" si="128"/>
        <v>368136.5</v>
      </c>
      <c r="AF101" s="23">
        <v>0</v>
      </c>
      <c r="AG101" s="26">
        <f t="shared" si="97"/>
        <v>368136.5</v>
      </c>
      <c r="AH101" s="27" t="s">
        <v>585</v>
      </c>
      <c r="AI101" s="28"/>
      <c r="AJ101" s="1">
        <f>52755.63+22985.7</f>
        <v>75741.33</v>
      </c>
      <c r="AK101" s="29">
        <f>8068.51+3515.46</f>
        <v>11583.970000000001</v>
      </c>
    </row>
    <row r="102" spans="1:37" ht="189" x14ac:dyDescent="0.25">
      <c r="A102" s="14">
        <v>98</v>
      </c>
      <c r="B102" s="7">
        <v>120714</v>
      </c>
      <c r="C102" s="8">
        <v>111</v>
      </c>
      <c r="D102" s="8" t="s">
        <v>171</v>
      </c>
      <c r="E102" s="15" t="s">
        <v>968</v>
      </c>
      <c r="F102" s="16" t="s">
        <v>331</v>
      </c>
      <c r="G102" s="17" t="s">
        <v>298</v>
      </c>
      <c r="H102" s="14" t="s">
        <v>296</v>
      </c>
      <c r="I102" s="14" t="s">
        <v>297</v>
      </c>
      <c r="J102" s="19" t="s">
        <v>515</v>
      </c>
      <c r="K102" s="20">
        <v>43166</v>
      </c>
      <c r="L102" s="32">
        <v>43653</v>
      </c>
      <c r="M102" s="21">
        <f t="shared" si="138"/>
        <v>85</v>
      </c>
      <c r="N102" s="14">
        <v>4</v>
      </c>
      <c r="O102" s="14" t="s">
        <v>275</v>
      </c>
      <c r="P102" s="14" t="s">
        <v>276</v>
      </c>
      <c r="Q102" s="42" t="s">
        <v>212</v>
      </c>
      <c r="R102" s="14" t="s">
        <v>36</v>
      </c>
      <c r="S102" s="23">
        <f t="shared" si="139"/>
        <v>355906.39</v>
      </c>
      <c r="T102" s="64">
        <v>355906.39</v>
      </c>
      <c r="U102" s="64">
        <v>0</v>
      </c>
      <c r="V102" s="25">
        <f t="shared" si="59"/>
        <v>54432.74</v>
      </c>
      <c r="W102" s="23">
        <v>54432.74</v>
      </c>
      <c r="X102" s="23">
        <v>0</v>
      </c>
      <c r="Y102" s="23">
        <f t="shared" si="140"/>
        <v>8374.27</v>
      </c>
      <c r="Z102" s="23">
        <v>8374.27</v>
      </c>
      <c r="AA102" s="23">
        <v>0</v>
      </c>
      <c r="AB102" s="23">
        <f t="shared" si="60"/>
        <v>0</v>
      </c>
      <c r="AC102" s="23"/>
      <c r="AD102" s="23"/>
      <c r="AE102" s="23">
        <f t="shared" si="128"/>
        <v>418713.4</v>
      </c>
      <c r="AF102" s="23">
        <v>0</v>
      </c>
      <c r="AG102" s="26">
        <f t="shared" si="97"/>
        <v>418713.4</v>
      </c>
      <c r="AH102" s="27" t="s">
        <v>585</v>
      </c>
      <c r="AI102" s="28" t="s">
        <v>185</v>
      </c>
      <c r="AJ102" s="1">
        <f>3489.68+25692.1+174568.93</f>
        <v>203750.71</v>
      </c>
      <c r="AK102" s="29">
        <f>533.71+3929.38+26698.78</f>
        <v>31161.87</v>
      </c>
    </row>
    <row r="103" spans="1:37" ht="236.25" x14ac:dyDescent="0.25">
      <c r="A103" s="12">
        <v>99</v>
      </c>
      <c r="B103" s="7">
        <v>119758</v>
      </c>
      <c r="C103" s="8">
        <v>460</v>
      </c>
      <c r="D103" s="8" t="s">
        <v>684</v>
      </c>
      <c r="E103" s="18" t="s">
        <v>1041</v>
      </c>
      <c r="F103" s="16" t="s">
        <v>542</v>
      </c>
      <c r="G103" s="142" t="s">
        <v>573</v>
      </c>
      <c r="H103" s="17" t="s">
        <v>574</v>
      </c>
      <c r="I103" s="14" t="s">
        <v>185</v>
      </c>
      <c r="J103" s="19" t="s">
        <v>575</v>
      </c>
      <c r="K103" s="20">
        <v>43264</v>
      </c>
      <c r="L103" s="32">
        <v>43751</v>
      </c>
      <c r="M103" s="21">
        <f t="shared" si="138"/>
        <v>85</v>
      </c>
      <c r="N103" s="14">
        <v>4</v>
      </c>
      <c r="O103" s="14" t="s">
        <v>275</v>
      </c>
      <c r="P103" s="14" t="s">
        <v>576</v>
      </c>
      <c r="Q103" s="42" t="s">
        <v>212</v>
      </c>
      <c r="R103" s="14" t="s">
        <v>36</v>
      </c>
      <c r="S103" s="23">
        <f t="shared" si="139"/>
        <v>356536.75</v>
      </c>
      <c r="T103" s="64">
        <v>356536.75</v>
      </c>
      <c r="U103" s="64">
        <v>0</v>
      </c>
      <c r="V103" s="25">
        <f t="shared" si="59"/>
        <v>54529.15</v>
      </c>
      <c r="W103" s="23">
        <v>54529.15</v>
      </c>
      <c r="X103" s="23"/>
      <c r="Y103" s="23">
        <f t="shared" si="140"/>
        <v>8389.1</v>
      </c>
      <c r="Z103" s="23">
        <v>8389.1</v>
      </c>
      <c r="AA103" s="23">
        <v>0</v>
      </c>
      <c r="AB103" s="23">
        <f t="shared" ref="AB103" si="141">AC103+AD103</f>
        <v>0</v>
      </c>
      <c r="AC103" s="23"/>
      <c r="AD103" s="23"/>
      <c r="AE103" s="23">
        <f t="shared" si="128"/>
        <v>419455</v>
      </c>
      <c r="AF103" s="23"/>
      <c r="AG103" s="26">
        <f t="shared" si="97"/>
        <v>419455</v>
      </c>
      <c r="AH103" s="27" t="s">
        <v>585</v>
      </c>
      <c r="AI103" s="28"/>
      <c r="AJ103" s="38">
        <f>41000-4123.49+46557.9+41000-738.9+41000-662.4+104836.1</f>
        <v>268869.21000000002</v>
      </c>
      <c r="AK103" s="29">
        <f>5639.94+7120.62+6157.58+22203.04</f>
        <v>41121.18</v>
      </c>
    </row>
    <row r="104" spans="1:37" ht="252" x14ac:dyDescent="0.25">
      <c r="A104" s="12">
        <v>100</v>
      </c>
      <c r="B104" s="7">
        <v>116766</v>
      </c>
      <c r="C104" s="8">
        <v>409</v>
      </c>
      <c r="D104" s="8" t="s">
        <v>684</v>
      </c>
      <c r="E104" s="15" t="s">
        <v>704</v>
      </c>
      <c r="F104" s="14" t="s">
        <v>610</v>
      </c>
      <c r="G104" s="15" t="s">
        <v>656</v>
      </c>
      <c r="H104" s="17" t="s">
        <v>297</v>
      </c>
      <c r="I104" s="9" t="s">
        <v>185</v>
      </c>
      <c r="J104" s="17" t="s">
        <v>657</v>
      </c>
      <c r="K104" s="20">
        <v>43278</v>
      </c>
      <c r="L104" s="32">
        <v>43765</v>
      </c>
      <c r="M104" s="21">
        <f>S104/AE104*100</f>
        <v>85.000000275422053</v>
      </c>
      <c r="N104" s="14">
        <v>4</v>
      </c>
      <c r="O104" s="14" t="s">
        <v>275</v>
      </c>
      <c r="P104" s="9" t="s">
        <v>658</v>
      </c>
      <c r="Q104" s="9" t="s">
        <v>212</v>
      </c>
      <c r="R104" s="14" t="s">
        <v>36</v>
      </c>
      <c r="S104" s="23">
        <f>T104+U104</f>
        <v>308617.27</v>
      </c>
      <c r="T104" s="64">
        <v>308617.27</v>
      </c>
      <c r="U104" s="64">
        <v>0</v>
      </c>
      <c r="V104" s="25">
        <f>W104+X104</f>
        <v>47200.29</v>
      </c>
      <c r="W104" s="23">
        <v>47200.29</v>
      </c>
      <c r="X104" s="23">
        <v>0</v>
      </c>
      <c r="Y104" s="23">
        <f>Z104+AA104</f>
        <v>7261.58</v>
      </c>
      <c r="Z104" s="23">
        <v>7261.58</v>
      </c>
      <c r="AA104" s="61">
        <v>0</v>
      </c>
      <c r="AB104" s="23">
        <f>AC104+AD104</f>
        <v>0</v>
      </c>
      <c r="AC104" s="61">
        <v>0</v>
      </c>
      <c r="AD104" s="61">
        <v>0</v>
      </c>
      <c r="AE104" s="23">
        <f>S104+V104+Y104+AB104</f>
        <v>363079.14</v>
      </c>
      <c r="AF104" s="143">
        <v>0</v>
      </c>
      <c r="AG104" s="26">
        <f t="shared" si="97"/>
        <v>363079.14</v>
      </c>
      <c r="AH104" s="27" t="s">
        <v>585</v>
      </c>
      <c r="AI104" s="86" t="s">
        <v>185</v>
      </c>
      <c r="AJ104" s="38">
        <v>30060.880000000001</v>
      </c>
      <c r="AK104" s="54">
        <v>4597.55</v>
      </c>
    </row>
    <row r="105" spans="1:37" ht="141.75" x14ac:dyDescent="0.25">
      <c r="A105" s="14">
        <v>101</v>
      </c>
      <c r="B105" s="7">
        <v>126293</v>
      </c>
      <c r="C105" s="8">
        <v>523</v>
      </c>
      <c r="D105" s="9" t="s">
        <v>177</v>
      </c>
      <c r="E105" s="15" t="s">
        <v>968</v>
      </c>
      <c r="F105" s="18" t="s">
        <v>1135</v>
      </c>
      <c r="G105" s="15" t="s">
        <v>1180</v>
      </c>
      <c r="H105" s="15" t="s">
        <v>1149</v>
      </c>
      <c r="I105" s="9" t="s">
        <v>185</v>
      </c>
      <c r="J105" s="15" t="s">
        <v>1150</v>
      </c>
      <c r="K105" s="20">
        <v>43437</v>
      </c>
      <c r="L105" s="32">
        <v>44289</v>
      </c>
      <c r="M105" s="21">
        <f>S105/AE105*100</f>
        <v>85.000000538702352</v>
      </c>
      <c r="N105" s="14">
        <v>4</v>
      </c>
      <c r="O105" s="14" t="s">
        <v>275</v>
      </c>
      <c r="P105" s="9" t="s">
        <v>658</v>
      </c>
      <c r="Q105" s="9" t="s">
        <v>212</v>
      </c>
      <c r="R105" s="14" t="s">
        <v>36</v>
      </c>
      <c r="S105" s="23">
        <f>T105+U105</f>
        <v>2366798.75</v>
      </c>
      <c r="T105" s="64">
        <v>2366798.75</v>
      </c>
      <c r="U105" s="64">
        <v>0</v>
      </c>
      <c r="V105" s="25">
        <f>W105+X105</f>
        <v>361980.97</v>
      </c>
      <c r="W105" s="23">
        <v>361980.97</v>
      </c>
      <c r="X105" s="23">
        <v>0</v>
      </c>
      <c r="Y105" s="23">
        <f>Z105+AA105</f>
        <v>55689.38</v>
      </c>
      <c r="Z105" s="23">
        <v>55689.38</v>
      </c>
      <c r="AA105" s="29">
        <v>0</v>
      </c>
      <c r="AB105" s="23">
        <f>AC105+AD105</f>
        <v>0</v>
      </c>
      <c r="AC105" s="29">
        <v>0</v>
      </c>
      <c r="AD105" s="29">
        <v>0</v>
      </c>
      <c r="AE105" s="23">
        <f>S105+V105+Y105</f>
        <v>2784469.0999999996</v>
      </c>
      <c r="AF105" s="23">
        <v>129948</v>
      </c>
      <c r="AG105" s="26">
        <f t="shared" si="97"/>
        <v>2914417.0999999996</v>
      </c>
      <c r="AH105" s="27" t="s">
        <v>585</v>
      </c>
      <c r="AI105" s="86" t="s">
        <v>185</v>
      </c>
      <c r="AJ105" s="54">
        <v>3500.5</v>
      </c>
      <c r="AK105" s="54">
        <v>535.38</v>
      </c>
    </row>
    <row r="106" spans="1:37" ht="204.75" x14ac:dyDescent="0.25">
      <c r="A106" s="12">
        <v>102</v>
      </c>
      <c r="B106" s="7">
        <v>126212</v>
      </c>
      <c r="C106" s="8">
        <v>516</v>
      </c>
      <c r="D106" s="9" t="s">
        <v>177</v>
      </c>
      <c r="E106" s="15" t="s">
        <v>968</v>
      </c>
      <c r="F106" s="18" t="s">
        <v>1135</v>
      </c>
      <c r="G106" s="15" t="s">
        <v>1179</v>
      </c>
      <c r="H106" s="15" t="s">
        <v>574</v>
      </c>
      <c r="I106" s="9" t="s">
        <v>185</v>
      </c>
      <c r="J106" s="15" t="s">
        <v>1178</v>
      </c>
      <c r="K106" s="20">
        <v>43445</v>
      </c>
      <c r="L106" s="32">
        <v>43993</v>
      </c>
      <c r="M106" s="21">
        <f t="shared" ref="M106:M107" si="142">S106/AE106*100</f>
        <v>85.000000138721092</v>
      </c>
      <c r="N106" s="14">
        <v>4</v>
      </c>
      <c r="O106" s="14" t="s">
        <v>275</v>
      </c>
      <c r="P106" s="14" t="s">
        <v>576</v>
      </c>
      <c r="Q106" s="14" t="s">
        <v>212</v>
      </c>
      <c r="R106" s="14" t="s">
        <v>36</v>
      </c>
      <c r="S106" s="23">
        <f t="shared" ref="S106:S107" si="143">T106+U106</f>
        <v>3063701.5</v>
      </c>
      <c r="T106" s="64">
        <v>3063701.5</v>
      </c>
      <c r="U106" s="64">
        <v>0</v>
      </c>
      <c r="V106" s="25">
        <f t="shared" ref="V106:V107" si="144">W106+X106</f>
        <v>468566.11</v>
      </c>
      <c r="W106" s="23">
        <v>468566.11</v>
      </c>
      <c r="X106" s="23">
        <v>0</v>
      </c>
      <c r="Y106" s="23">
        <f t="shared" ref="Y106:Y107" si="145">Z106+AA106</f>
        <v>72087.09</v>
      </c>
      <c r="Z106" s="23">
        <v>72087.09</v>
      </c>
      <c r="AA106" s="29">
        <v>0</v>
      </c>
      <c r="AB106" s="23">
        <f t="shared" ref="AB106:AB107" si="146">AC106+AD106</f>
        <v>0</v>
      </c>
      <c r="AC106" s="29">
        <v>0</v>
      </c>
      <c r="AD106" s="29">
        <v>0</v>
      </c>
      <c r="AE106" s="23">
        <f t="shared" ref="AE106:AE107" si="147">S106+V106+Y106</f>
        <v>3604354.6999999997</v>
      </c>
      <c r="AF106" s="34">
        <v>0</v>
      </c>
      <c r="AG106" s="26">
        <f t="shared" si="97"/>
        <v>3604354.6999999997</v>
      </c>
      <c r="AH106" s="27" t="s">
        <v>585</v>
      </c>
      <c r="AI106" s="86" t="s">
        <v>185</v>
      </c>
      <c r="AJ106" s="54">
        <v>70000</v>
      </c>
      <c r="AK106" s="54">
        <v>0</v>
      </c>
    </row>
    <row r="107" spans="1:37" ht="156.75" customHeight="1" x14ac:dyDescent="0.25">
      <c r="A107" s="12">
        <v>103</v>
      </c>
      <c r="B107" s="7">
        <v>125603</v>
      </c>
      <c r="C107" s="8">
        <v>528</v>
      </c>
      <c r="D107" s="9" t="s">
        <v>1074</v>
      </c>
      <c r="E107" s="15" t="s">
        <v>968</v>
      </c>
      <c r="F107" s="18" t="s">
        <v>1135</v>
      </c>
      <c r="G107" s="15" t="s">
        <v>1237</v>
      </c>
      <c r="H107" s="15" t="s">
        <v>277</v>
      </c>
      <c r="I107" s="9" t="s">
        <v>185</v>
      </c>
      <c r="J107" s="15" t="s">
        <v>1238</v>
      </c>
      <c r="K107" s="20">
        <v>43486</v>
      </c>
      <c r="L107" s="32">
        <v>44398</v>
      </c>
      <c r="M107" s="21">
        <f t="shared" si="142"/>
        <v>85.000000127543871</v>
      </c>
      <c r="N107" s="14">
        <v>4</v>
      </c>
      <c r="O107" s="14" t="s">
        <v>275</v>
      </c>
      <c r="P107" s="9" t="s">
        <v>658</v>
      </c>
      <c r="Q107" s="9" t="s">
        <v>212</v>
      </c>
      <c r="R107" s="14" t="s">
        <v>36</v>
      </c>
      <c r="S107" s="23">
        <f t="shared" si="143"/>
        <v>2998968.16</v>
      </c>
      <c r="T107" s="64">
        <v>2998968.16</v>
      </c>
      <c r="U107" s="64">
        <v>0</v>
      </c>
      <c r="V107" s="25">
        <f t="shared" si="144"/>
        <v>458665.73</v>
      </c>
      <c r="W107" s="23">
        <v>458665.73</v>
      </c>
      <c r="X107" s="23">
        <v>0</v>
      </c>
      <c r="Y107" s="23">
        <f t="shared" si="145"/>
        <v>70563.94</v>
      </c>
      <c r="Z107" s="23">
        <v>70563.94</v>
      </c>
      <c r="AA107" s="29">
        <v>0</v>
      </c>
      <c r="AB107" s="23">
        <f t="shared" si="146"/>
        <v>0</v>
      </c>
      <c r="AC107" s="29">
        <v>0</v>
      </c>
      <c r="AD107" s="29">
        <v>0</v>
      </c>
      <c r="AE107" s="23">
        <f t="shared" si="147"/>
        <v>3528197.83</v>
      </c>
      <c r="AF107" s="34">
        <v>0</v>
      </c>
      <c r="AG107" s="26">
        <f t="shared" si="97"/>
        <v>3528197.83</v>
      </c>
      <c r="AH107" s="27" t="s">
        <v>585</v>
      </c>
      <c r="AI107" s="86"/>
      <c r="AJ107" s="54">
        <v>0</v>
      </c>
      <c r="AK107" s="54">
        <v>0</v>
      </c>
    </row>
    <row r="108" spans="1:37" ht="173.25" x14ac:dyDescent="0.25">
      <c r="A108" s="14">
        <v>104</v>
      </c>
      <c r="B108" s="13">
        <v>111237</v>
      </c>
      <c r="C108" s="8">
        <v>124</v>
      </c>
      <c r="D108" s="14" t="s">
        <v>172</v>
      </c>
      <c r="E108" s="15" t="s">
        <v>968</v>
      </c>
      <c r="F108" s="16" t="s">
        <v>331</v>
      </c>
      <c r="G108" s="17" t="s">
        <v>516</v>
      </c>
      <c r="H108" s="17" t="s">
        <v>261</v>
      </c>
      <c r="I108" s="18" t="s">
        <v>185</v>
      </c>
      <c r="J108" s="19" t="s">
        <v>517</v>
      </c>
      <c r="K108" s="20">
        <v>43145</v>
      </c>
      <c r="L108" s="32">
        <v>43691</v>
      </c>
      <c r="M108" s="21">
        <f t="shared" ref="M108:M111" si="148">S108/AE108*100</f>
        <v>85.000000000000014</v>
      </c>
      <c r="N108" s="14">
        <v>7</v>
      </c>
      <c r="O108" s="70" t="s">
        <v>266</v>
      </c>
      <c r="P108" s="14" t="s">
        <v>260</v>
      </c>
      <c r="Q108" s="22" t="s">
        <v>212</v>
      </c>
      <c r="R108" s="18" t="s">
        <v>36</v>
      </c>
      <c r="S108" s="144">
        <f t="shared" ref="S108:S111" si="149">T108+U108</f>
        <v>306686.8</v>
      </c>
      <c r="T108" s="64">
        <v>306686.8</v>
      </c>
      <c r="U108" s="145">
        <v>0</v>
      </c>
      <c r="V108" s="25">
        <f t="shared" ref="V108:V152" si="150">W108+X108</f>
        <v>46905.04</v>
      </c>
      <c r="W108" s="23">
        <v>46905.04</v>
      </c>
      <c r="X108" s="23">
        <v>0</v>
      </c>
      <c r="Y108" s="23">
        <f t="shared" ref="Y108:Y111" si="151">Z108+AA108</f>
        <v>7216.16</v>
      </c>
      <c r="Z108" s="23">
        <v>7216.16</v>
      </c>
      <c r="AA108" s="23">
        <v>0</v>
      </c>
      <c r="AB108" s="23">
        <f t="shared" ref="AB108:AB152" si="152">AC108+AD108</f>
        <v>0</v>
      </c>
      <c r="AC108" s="23"/>
      <c r="AD108" s="23"/>
      <c r="AE108" s="23">
        <f t="shared" si="128"/>
        <v>360807.99999999994</v>
      </c>
      <c r="AF108" s="23">
        <v>0</v>
      </c>
      <c r="AG108" s="26">
        <f t="shared" si="97"/>
        <v>360807.99999999994</v>
      </c>
      <c r="AH108" s="27" t="s">
        <v>585</v>
      </c>
      <c r="AI108" s="28" t="s">
        <v>1248</v>
      </c>
      <c r="AJ108" s="1">
        <v>0</v>
      </c>
      <c r="AK108" s="29">
        <v>0</v>
      </c>
    </row>
    <row r="109" spans="1:37" ht="346.5" x14ac:dyDescent="0.25">
      <c r="A109" s="12">
        <v>105</v>
      </c>
      <c r="B109" s="7">
        <v>122784</v>
      </c>
      <c r="C109" s="8">
        <v>94</v>
      </c>
      <c r="D109" s="9" t="s">
        <v>176</v>
      </c>
      <c r="E109" s="15" t="s">
        <v>968</v>
      </c>
      <c r="F109" s="16" t="s">
        <v>331</v>
      </c>
      <c r="G109" s="15" t="s">
        <v>1030</v>
      </c>
      <c r="H109" s="15" t="s">
        <v>1029</v>
      </c>
      <c r="I109" s="15" t="s">
        <v>185</v>
      </c>
      <c r="J109" s="19" t="s">
        <v>1122</v>
      </c>
      <c r="K109" s="32">
        <v>43264</v>
      </c>
      <c r="L109" s="32">
        <v>43751</v>
      </c>
      <c r="M109" s="21">
        <f t="shared" si="148"/>
        <v>85.000002941982572</v>
      </c>
      <c r="N109" s="14">
        <v>7</v>
      </c>
      <c r="O109" s="146" t="s">
        <v>266</v>
      </c>
      <c r="P109" s="14" t="s">
        <v>1031</v>
      </c>
      <c r="Q109" s="22" t="s">
        <v>212</v>
      </c>
      <c r="R109" s="18" t="s">
        <v>36</v>
      </c>
      <c r="S109" s="144">
        <f t="shared" si="149"/>
        <v>361151.03</v>
      </c>
      <c r="T109" s="57">
        <v>361151.03</v>
      </c>
      <c r="U109" s="33">
        <v>0</v>
      </c>
      <c r="V109" s="25">
        <f t="shared" si="150"/>
        <v>55234.85</v>
      </c>
      <c r="W109" s="33">
        <v>55234.85</v>
      </c>
      <c r="X109" s="33">
        <v>0</v>
      </c>
      <c r="Y109" s="23">
        <f t="shared" si="151"/>
        <v>8497.67</v>
      </c>
      <c r="Z109" s="57">
        <v>8497.67</v>
      </c>
      <c r="AA109" s="57">
        <v>0</v>
      </c>
      <c r="AB109" s="23">
        <f t="shared" si="152"/>
        <v>0</v>
      </c>
      <c r="AC109" s="33"/>
      <c r="AD109" s="33"/>
      <c r="AE109" s="23">
        <f t="shared" si="128"/>
        <v>424883.55</v>
      </c>
      <c r="AF109" s="23">
        <v>0</v>
      </c>
      <c r="AG109" s="26">
        <f t="shared" si="97"/>
        <v>424883.55</v>
      </c>
      <c r="AH109" s="27" t="s">
        <v>1344</v>
      </c>
      <c r="AI109" s="34"/>
      <c r="AJ109" s="38">
        <v>0</v>
      </c>
      <c r="AK109" s="1">
        <v>0</v>
      </c>
    </row>
    <row r="110" spans="1:37" ht="259.5" customHeight="1" x14ac:dyDescent="0.25">
      <c r="A110" s="12">
        <v>106</v>
      </c>
      <c r="B110" s="7">
        <v>126548</v>
      </c>
      <c r="C110" s="8">
        <v>533</v>
      </c>
      <c r="D110" s="9" t="s">
        <v>175</v>
      </c>
      <c r="E110" s="15" t="s">
        <v>968</v>
      </c>
      <c r="F110" s="16" t="s">
        <v>1135</v>
      </c>
      <c r="G110" s="15" t="s">
        <v>1389</v>
      </c>
      <c r="H110" s="15" t="s">
        <v>1390</v>
      </c>
      <c r="I110" s="15" t="s">
        <v>185</v>
      </c>
      <c r="J110" s="19" t="s">
        <v>1391</v>
      </c>
      <c r="K110" s="32">
        <v>43598</v>
      </c>
      <c r="L110" s="32">
        <v>44087</v>
      </c>
      <c r="M110" s="21">
        <f t="shared" si="148"/>
        <v>85.000009423673518</v>
      </c>
      <c r="N110" s="14">
        <v>7</v>
      </c>
      <c r="O110" s="146" t="s">
        <v>266</v>
      </c>
      <c r="P110" s="146" t="s">
        <v>266</v>
      </c>
      <c r="Q110" s="22" t="s">
        <v>212</v>
      </c>
      <c r="R110" s="18" t="s">
        <v>1158</v>
      </c>
      <c r="S110" s="144">
        <f t="shared" si="149"/>
        <v>518640.69</v>
      </c>
      <c r="T110" s="57">
        <v>518640.69</v>
      </c>
      <c r="U110" s="33">
        <v>0</v>
      </c>
      <c r="V110" s="25">
        <f t="shared" si="150"/>
        <v>79321.45</v>
      </c>
      <c r="W110" s="33">
        <v>79321.45</v>
      </c>
      <c r="X110" s="33">
        <v>0</v>
      </c>
      <c r="Y110" s="23">
        <f t="shared" si="151"/>
        <v>12203.31</v>
      </c>
      <c r="Z110" s="57">
        <v>12203.31</v>
      </c>
      <c r="AA110" s="57">
        <v>0</v>
      </c>
      <c r="AB110" s="23">
        <f t="shared" si="152"/>
        <v>0</v>
      </c>
      <c r="AC110" s="33"/>
      <c r="AD110" s="33"/>
      <c r="AE110" s="23">
        <f t="shared" si="128"/>
        <v>610165.45000000007</v>
      </c>
      <c r="AF110" s="23"/>
      <c r="AG110" s="26">
        <f t="shared" si="97"/>
        <v>610165.45000000007</v>
      </c>
      <c r="AH110" s="27" t="s">
        <v>871</v>
      </c>
      <c r="AI110" s="34"/>
      <c r="AJ110" s="38"/>
      <c r="AK110" s="1"/>
    </row>
    <row r="111" spans="1:37" ht="259.5" customHeight="1" x14ac:dyDescent="0.25">
      <c r="A111" s="14">
        <v>107</v>
      </c>
      <c r="B111" s="7">
        <v>128765</v>
      </c>
      <c r="C111" s="8">
        <v>633</v>
      </c>
      <c r="D111" s="9" t="s">
        <v>173</v>
      </c>
      <c r="E111" s="15" t="s">
        <v>968</v>
      </c>
      <c r="F111" s="16" t="s">
        <v>1417</v>
      </c>
      <c r="G111" s="17" t="s">
        <v>1521</v>
      </c>
      <c r="H111" s="15" t="s">
        <v>1029</v>
      </c>
      <c r="I111" s="15" t="s">
        <v>422</v>
      </c>
      <c r="J111" s="19" t="s">
        <v>1523</v>
      </c>
      <c r="K111" s="20">
        <v>43647</v>
      </c>
      <c r="L111" s="32">
        <v>44501</v>
      </c>
      <c r="M111" s="21">
        <f t="shared" si="148"/>
        <v>85.000000191241938</v>
      </c>
      <c r="N111" s="14">
        <v>7</v>
      </c>
      <c r="O111" s="70" t="s">
        <v>266</v>
      </c>
      <c r="P111" s="70" t="s">
        <v>1522</v>
      </c>
      <c r="Q111" s="42" t="s">
        <v>212</v>
      </c>
      <c r="R111" s="14" t="s">
        <v>36</v>
      </c>
      <c r="S111" s="144">
        <f t="shared" si="149"/>
        <v>2222316.08</v>
      </c>
      <c r="T111" s="57">
        <v>2222316.08</v>
      </c>
      <c r="U111" s="33">
        <v>0</v>
      </c>
      <c r="V111" s="25">
        <f t="shared" si="150"/>
        <v>339883.63</v>
      </c>
      <c r="W111" s="33">
        <v>339883.63</v>
      </c>
      <c r="X111" s="33">
        <v>0</v>
      </c>
      <c r="Y111" s="23">
        <f t="shared" si="151"/>
        <v>52289.79</v>
      </c>
      <c r="Z111" s="57">
        <v>52289.79</v>
      </c>
      <c r="AA111" s="57">
        <v>0</v>
      </c>
      <c r="AB111" s="23">
        <f t="shared" si="152"/>
        <v>0</v>
      </c>
      <c r="AC111" s="33">
        <v>0</v>
      </c>
      <c r="AD111" s="33">
        <v>0</v>
      </c>
      <c r="AE111" s="23">
        <f t="shared" si="128"/>
        <v>2614489.5</v>
      </c>
      <c r="AF111" s="23"/>
      <c r="AG111" s="26">
        <f t="shared" si="97"/>
        <v>2614489.5</v>
      </c>
      <c r="AH111" s="27" t="s">
        <v>871</v>
      </c>
      <c r="AI111" s="34"/>
      <c r="AJ111" s="38"/>
      <c r="AK111" s="1"/>
    </row>
    <row r="112" spans="1:37" ht="299.25" x14ac:dyDescent="0.25">
      <c r="A112" s="12">
        <v>108</v>
      </c>
      <c r="B112" s="13">
        <v>120617</v>
      </c>
      <c r="C112" s="8">
        <v>79</v>
      </c>
      <c r="D112" s="14" t="s">
        <v>175</v>
      </c>
      <c r="E112" s="15" t="s">
        <v>968</v>
      </c>
      <c r="F112" s="16" t="s">
        <v>331</v>
      </c>
      <c r="G112" s="147" t="s">
        <v>253</v>
      </c>
      <c r="H112" s="56" t="s">
        <v>254</v>
      </c>
      <c r="I112" s="18" t="s">
        <v>185</v>
      </c>
      <c r="J112" s="19" t="s">
        <v>257</v>
      </c>
      <c r="K112" s="20">
        <v>43145</v>
      </c>
      <c r="L112" s="32">
        <v>43630</v>
      </c>
      <c r="M112" s="21">
        <f t="shared" ref="M112:M116" si="153">S112/AE112*100</f>
        <v>84.999999644441075</v>
      </c>
      <c r="N112" s="14">
        <v>5</v>
      </c>
      <c r="O112" s="14" t="s">
        <v>264</v>
      </c>
      <c r="P112" s="14" t="s">
        <v>258</v>
      </c>
      <c r="Q112" s="22" t="s">
        <v>212</v>
      </c>
      <c r="R112" s="18" t="s">
        <v>36</v>
      </c>
      <c r="S112" s="23">
        <f>T112+U112</f>
        <v>358590.34</v>
      </c>
      <c r="T112" s="64">
        <v>358590.34</v>
      </c>
      <c r="U112" s="23">
        <v>0</v>
      </c>
      <c r="V112" s="25">
        <f t="shared" si="150"/>
        <v>54843.23</v>
      </c>
      <c r="W112" s="64">
        <v>54843.23</v>
      </c>
      <c r="X112" s="25">
        <v>0</v>
      </c>
      <c r="Y112" s="25">
        <f t="shared" ref="Y112:Y114" si="154">Z112+AA112</f>
        <v>8437.42</v>
      </c>
      <c r="Z112" s="64">
        <v>8437.42</v>
      </c>
      <c r="AA112" s="25">
        <v>0</v>
      </c>
      <c r="AB112" s="23">
        <f t="shared" si="152"/>
        <v>0</v>
      </c>
      <c r="AC112" s="23"/>
      <c r="AD112" s="23"/>
      <c r="AE112" s="23">
        <f t="shared" si="128"/>
        <v>421870.99</v>
      </c>
      <c r="AF112" s="23">
        <v>0</v>
      </c>
      <c r="AG112" s="26">
        <f t="shared" si="97"/>
        <v>421870.99</v>
      </c>
      <c r="AH112" s="27" t="s">
        <v>585</v>
      </c>
      <c r="AI112" s="28" t="s">
        <v>185</v>
      </c>
      <c r="AJ112" s="1">
        <f>96397.63+83926.36-2519.15+41501.07-4777.79+36017.22</f>
        <v>250545.34</v>
      </c>
      <c r="AK112" s="29">
        <f>9960.19+14072.92+2519.15+536.51+4777.79</f>
        <v>31866.560000000001</v>
      </c>
    </row>
    <row r="113" spans="1:37" ht="236.25" x14ac:dyDescent="0.25">
      <c r="A113" s="12">
        <v>109</v>
      </c>
      <c r="B113" s="7">
        <v>118193</v>
      </c>
      <c r="C113" s="8">
        <v>424</v>
      </c>
      <c r="D113" s="9" t="s">
        <v>684</v>
      </c>
      <c r="E113" s="15" t="s">
        <v>704</v>
      </c>
      <c r="F113" s="16" t="s">
        <v>610</v>
      </c>
      <c r="G113" s="147" t="s">
        <v>721</v>
      </c>
      <c r="H113" s="36" t="s">
        <v>722</v>
      </c>
      <c r="I113" s="18" t="s">
        <v>185</v>
      </c>
      <c r="J113" s="15" t="s">
        <v>793</v>
      </c>
      <c r="K113" s="20">
        <v>43285</v>
      </c>
      <c r="L113" s="32">
        <v>43773</v>
      </c>
      <c r="M113" s="21">
        <f t="shared" si="153"/>
        <v>85.000000000000014</v>
      </c>
      <c r="N113" s="9">
        <v>5</v>
      </c>
      <c r="O113" s="18" t="s">
        <v>723</v>
      </c>
      <c r="P113" s="18" t="s">
        <v>724</v>
      </c>
      <c r="Q113" s="18" t="s">
        <v>212</v>
      </c>
      <c r="R113" s="14" t="s">
        <v>36</v>
      </c>
      <c r="S113" s="23">
        <v>239111.8</v>
      </c>
      <c r="T113" s="46">
        <v>239111.8</v>
      </c>
      <c r="U113" s="33">
        <v>0</v>
      </c>
      <c r="V113" s="25">
        <v>36570.04</v>
      </c>
      <c r="W113" s="46">
        <v>36570.04</v>
      </c>
      <c r="X113" s="33"/>
      <c r="Y113" s="25">
        <v>5626.16</v>
      </c>
      <c r="Z113" s="1">
        <v>5626.16</v>
      </c>
      <c r="AA113" s="57">
        <v>0</v>
      </c>
      <c r="AB113" s="23">
        <f t="shared" si="152"/>
        <v>0</v>
      </c>
      <c r="AC113" s="33"/>
      <c r="AD113" s="33"/>
      <c r="AE113" s="23">
        <f t="shared" si="128"/>
        <v>281307.99999999994</v>
      </c>
      <c r="AF113" s="34"/>
      <c r="AG113" s="26">
        <f t="shared" si="97"/>
        <v>281307.99999999994</v>
      </c>
      <c r="AH113" s="27" t="s">
        <v>585</v>
      </c>
      <c r="AI113" s="34"/>
      <c r="AJ113" s="54">
        <f>28130+781.9+43081.69+28130</f>
        <v>100123.59</v>
      </c>
      <c r="AK113" s="54">
        <f>4421.82+6588.95</f>
        <v>11010.77</v>
      </c>
    </row>
    <row r="114" spans="1:37" ht="378" x14ac:dyDescent="0.25">
      <c r="A114" s="14">
        <v>110</v>
      </c>
      <c r="B114" s="35">
        <v>117483</v>
      </c>
      <c r="C114" s="35">
        <v>412</v>
      </c>
      <c r="D114" s="35" t="s">
        <v>172</v>
      </c>
      <c r="E114" s="15" t="s">
        <v>704</v>
      </c>
      <c r="F114" s="16" t="s">
        <v>610</v>
      </c>
      <c r="G114" s="147" t="s">
        <v>866</v>
      </c>
      <c r="H114" s="148" t="s">
        <v>254</v>
      </c>
      <c r="I114" s="18" t="s">
        <v>185</v>
      </c>
      <c r="J114" s="15" t="s">
        <v>867</v>
      </c>
      <c r="K114" s="20">
        <v>43314</v>
      </c>
      <c r="L114" s="32">
        <v>43678</v>
      </c>
      <c r="M114" s="21">
        <f t="shared" si="153"/>
        <v>85.000000000000014</v>
      </c>
      <c r="N114" s="9">
        <v>5</v>
      </c>
      <c r="O114" s="18" t="s">
        <v>723</v>
      </c>
      <c r="P114" s="14" t="s">
        <v>258</v>
      </c>
      <c r="Q114" s="22" t="s">
        <v>212</v>
      </c>
      <c r="R114" s="14" t="s">
        <v>36</v>
      </c>
      <c r="S114" s="23">
        <v>242732.46</v>
      </c>
      <c r="T114" s="24">
        <f>S114</f>
        <v>242732.46</v>
      </c>
      <c r="U114" s="23">
        <v>0</v>
      </c>
      <c r="V114" s="23">
        <f t="shared" si="150"/>
        <v>37123.78</v>
      </c>
      <c r="W114" s="24">
        <v>37123.78</v>
      </c>
      <c r="X114" s="25">
        <v>0</v>
      </c>
      <c r="Y114" s="25">
        <f t="shared" si="154"/>
        <v>5711.36</v>
      </c>
      <c r="Z114" s="24">
        <v>5711.36</v>
      </c>
      <c r="AA114" s="25">
        <v>0</v>
      </c>
      <c r="AB114" s="23">
        <f t="shared" si="152"/>
        <v>0</v>
      </c>
      <c r="AC114" s="23"/>
      <c r="AD114" s="23"/>
      <c r="AE114" s="23">
        <f t="shared" si="128"/>
        <v>285567.59999999998</v>
      </c>
      <c r="AF114" s="23">
        <v>0</v>
      </c>
      <c r="AG114" s="26">
        <f t="shared" si="97"/>
        <v>285567.59999999998</v>
      </c>
      <c r="AH114" s="27" t="s">
        <v>585</v>
      </c>
      <c r="AI114" s="28" t="s">
        <v>185</v>
      </c>
      <c r="AJ114" s="54">
        <f>24768.62+25919.16+42164.52+19764.2+19764.2-1842.36+25219.06</f>
        <v>155757.4</v>
      </c>
      <c r="AK114" s="54">
        <f>3788.14+2637.6+3407.69+3022.76+3022.76+1842.36+1732.9</f>
        <v>19454.210000000003</v>
      </c>
    </row>
    <row r="115" spans="1:37" ht="220.5" x14ac:dyDescent="0.25">
      <c r="A115" s="12">
        <v>111</v>
      </c>
      <c r="B115" s="13">
        <v>126237</v>
      </c>
      <c r="C115" s="8">
        <v>529</v>
      </c>
      <c r="D115" s="14" t="s">
        <v>174</v>
      </c>
      <c r="E115" s="15" t="s">
        <v>968</v>
      </c>
      <c r="F115" s="14" t="s">
        <v>1135</v>
      </c>
      <c r="G115" s="17" t="s">
        <v>1200</v>
      </c>
      <c r="H115" s="17" t="s">
        <v>1181</v>
      </c>
      <c r="I115" s="14" t="s">
        <v>185</v>
      </c>
      <c r="J115" s="48" t="s">
        <v>1201</v>
      </c>
      <c r="K115" s="20">
        <v>43446</v>
      </c>
      <c r="L115" s="32">
        <v>44177</v>
      </c>
      <c r="M115" s="21">
        <f t="shared" ref="M115" si="155">S115/AE115*100</f>
        <v>85.000000000000014</v>
      </c>
      <c r="N115" s="14">
        <v>5</v>
      </c>
      <c r="O115" s="14" t="s">
        <v>723</v>
      </c>
      <c r="P115" s="14" t="s">
        <v>723</v>
      </c>
      <c r="Q115" s="42" t="s">
        <v>212</v>
      </c>
      <c r="R115" s="14" t="s">
        <v>36</v>
      </c>
      <c r="S115" s="23">
        <f t="shared" ref="S115:S121" si="156">T115+U115</f>
        <v>2072800.65</v>
      </c>
      <c r="T115" s="64">
        <v>2072800.65</v>
      </c>
      <c r="U115" s="23">
        <v>0</v>
      </c>
      <c r="V115" s="25">
        <f t="shared" ref="V115:V116" si="157">W115+X115</f>
        <v>317016.56999999995</v>
      </c>
      <c r="W115" s="23">
        <v>317016.56999999995</v>
      </c>
      <c r="X115" s="23">
        <v>0</v>
      </c>
      <c r="Y115" s="23">
        <f t="shared" ref="Y115:Y116" si="158">Z115+AA115</f>
        <v>48771.78</v>
      </c>
      <c r="Z115" s="23">
        <v>48771.78</v>
      </c>
      <c r="AA115" s="23">
        <v>0</v>
      </c>
      <c r="AB115" s="23">
        <f>AC115+AD115</f>
        <v>0</v>
      </c>
      <c r="AC115" s="23">
        <v>0</v>
      </c>
      <c r="AD115" s="23">
        <v>0</v>
      </c>
      <c r="AE115" s="23">
        <f t="shared" ref="AE115:AE116" si="159">S115+V115+Y115+AB115</f>
        <v>2438588.9999999995</v>
      </c>
      <c r="AF115" s="23">
        <v>0</v>
      </c>
      <c r="AG115" s="26">
        <f t="shared" si="97"/>
        <v>2438588.9999999995</v>
      </c>
      <c r="AH115" s="27" t="s">
        <v>585</v>
      </c>
      <c r="AI115" s="28" t="s">
        <v>185</v>
      </c>
      <c r="AJ115" s="1">
        <v>25282.91</v>
      </c>
      <c r="AK115" s="29">
        <v>3866.8</v>
      </c>
    </row>
    <row r="116" spans="1:37" ht="156" customHeight="1" x14ac:dyDescent="0.25">
      <c r="A116" s="12">
        <v>112</v>
      </c>
      <c r="B116" s="7">
        <v>126422</v>
      </c>
      <c r="C116" s="8">
        <v>536</v>
      </c>
      <c r="D116" s="9" t="s">
        <v>176</v>
      </c>
      <c r="E116" s="15" t="s">
        <v>968</v>
      </c>
      <c r="F116" s="14" t="s">
        <v>1135</v>
      </c>
      <c r="G116" s="17" t="s">
        <v>1351</v>
      </c>
      <c r="H116" s="149" t="s">
        <v>722</v>
      </c>
      <c r="I116" s="150" t="s">
        <v>1352</v>
      </c>
      <c r="J116" s="48" t="s">
        <v>1353</v>
      </c>
      <c r="K116" s="20">
        <v>43556</v>
      </c>
      <c r="L116" s="32">
        <v>44470</v>
      </c>
      <c r="M116" s="21">
        <f t="shared" si="153"/>
        <v>84.449828692364051</v>
      </c>
      <c r="N116" s="14">
        <v>5</v>
      </c>
      <c r="O116" s="14" t="s">
        <v>723</v>
      </c>
      <c r="P116" s="9" t="s">
        <v>724</v>
      </c>
      <c r="Q116" s="42" t="s">
        <v>212</v>
      </c>
      <c r="R116" s="14" t="s">
        <v>36</v>
      </c>
      <c r="S116" s="23">
        <f t="shared" si="156"/>
        <v>3195443.02</v>
      </c>
      <c r="T116" s="57">
        <v>3195443.02</v>
      </c>
      <c r="U116" s="57">
        <v>0</v>
      </c>
      <c r="V116" s="25">
        <f t="shared" si="157"/>
        <v>512716.26</v>
      </c>
      <c r="W116" s="57">
        <v>512716.26</v>
      </c>
      <c r="X116" s="33">
        <v>0</v>
      </c>
      <c r="Y116" s="23">
        <f t="shared" si="158"/>
        <v>51185.440000000002</v>
      </c>
      <c r="Z116" s="57">
        <v>51185.440000000002</v>
      </c>
      <c r="AA116" s="57">
        <v>0</v>
      </c>
      <c r="AB116" s="23">
        <f t="shared" ref="AB116" si="160">AC116+AD116</f>
        <v>24491.279999999999</v>
      </c>
      <c r="AC116" s="57">
        <v>24491.279999999999</v>
      </c>
      <c r="AD116" s="33">
        <v>0</v>
      </c>
      <c r="AE116" s="23">
        <f t="shared" si="159"/>
        <v>3783836</v>
      </c>
      <c r="AF116" s="23">
        <v>0</v>
      </c>
      <c r="AG116" s="26">
        <f t="shared" si="97"/>
        <v>3783836</v>
      </c>
      <c r="AH116" s="27" t="s">
        <v>585</v>
      </c>
      <c r="AI116" s="28" t="s">
        <v>185</v>
      </c>
      <c r="AJ116" s="1">
        <v>78194</v>
      </c>
      <c r="AK116" s="1">
        <v>0</v>
      </c>
    </row>
    <row r="117" spans="1:37" ht="379.5" customHeight="1" x14ac:dyDescent="0.25">
      <c r="A117" s="14">
        <v>113</v>
      </c>
      <c r="B117" s="7">
        <v>127741</v>
      </c>
      <c r="C117" s="8">
        <v>642</v>
      </c>
      <c r="D117" s="9" t="s">
        <v>177</v>
      </c>
      <c r="E117" s="15" t="s">
        <v>968</v>
      </c>
      <c r="F117" s="14" t="s">
        <v>1417</v>
      </c>
      <c r="G117" s="17" t="s">
        <v>1458</v>
      </c>
      <c r="H117" s="149" t="s">
        <v>1459</v>
      </c>
      <c r="I117" s="150" t="s">
        <v>185</v>
      </c>
      <c r="J117" s="48" t="s">
        <v>1460</v>
      </c>
      <c r="K117" s="20">
        <v>43622</v>
      </c>
      <c r="L117" s="32">
        <v>44353</v>
      </c>
      <c r="M117" s="21">
        <f t="shared" ref="M117" si="161">S117/AE117*100</f>
        <v>85.000000180308987</v>
      </c>
      <c r="N117" s="14">
        <v>5</v>
      </c>
      <c r="O117" s="14" t="s">
        <v>723</v>
      </c>
      <c r="P117" s="9" t="s">
        <v>1461</v>
      </c>
      <c r="Q117" s="42" t="s">
        <v>212</v>
      </c>
      <c r="R117" s="14" t="s">
        <v>36</v>
      </c>
      <c r="S117" s="23">
        <f t="shared" si="156"/>
        <v>2357064.88</v>
      </c>
      <c r="T117" s="57">
        <v>2357064.88</v>
      </c>
      <c r="U117" s="57">
        <v>0</v>
      </c>
      <c r="V117" s="25">
        <f t="shared" ref="V117:V118" si="162">W117+X117</f>
        <v>360492.27</v>
      </c>
      <c r="W117" s="57">
        <v>360492.27</v>
      </c>
      <c r="X117" s="33">
        <v>0</v>
      </c>
      <c r="Y117" s="23">
        <f t="shared" ref="Y117:Y118" si="163">Z117+AA117</f>
        <v>55460.35</v>
      </c>
      <c r="Z117" s="57">
        <v>55460.35</v>
      </c>
      <c r="AA117" s="57">
        <v>0</v>
      </c>
      <c r="AB117" s="23">
        <f t="shared" ref="AB117:AB118" si="164">AC117+AD117</f>
        <v>0</v>
      </c>
      <c r="AC117" s="57"/>
      <c r="AD117" s="33">
        <v>0</v>
      </c>
      <c r="AE117" s="23">
        <f t="shared" ref="AE117" si="165">S117+V117+Y117+AB117</f>
        <v>2773017.5</v>
      </c>
      <c r="AF117" s="23">
        <v>1</v>
      </c>
      <c r="AG117" s="26">
        <f t="shared" si="97"/>
        <v>2773018.5</v>
      </c>
      <c r="AH117" s="27" t="s">
        <v>585</v>
      </c>
      <c r="AI117" s="28"/>
      <c r="AJ117" s="1"/>
      <c r="AK117" s="1"/>
    </row>
    <row r="118" spans="1:37" ht="379.5" customHeight="1" x14ac:dyDescent="0.25">
      <c r="A118" s="12">
        <v>114</v>
      </c>
      <c r="B118" s="7">
        <v>128531</v>
      </c>
      <c r="C118" s="8">
        <v>643</v>
      </c>
      <c r="D118" s="9" t="s">
        <v>177</v>
      </c>
      <c r="E118" s="15" t="s">
        <v>968</v>
      </c>
      <c r="F118" s="14" t="s">
        <v>1417</v>
      </c>
      <c r="G118" s="17" t="s">
        <v>1482</v>
      </c>
      <c r="H118" s="149" t="s">
        <v>1481</v>
      </c>
      <c r="I118" s="150" t="s">
        <v>185</v>
      </c>
      <c r="J118" s="48" t="s">
        <v>1483</v>
      </c>
      <c r="K118" s="20">
        <v>43634</v>
      </c>
      <c r="L118" s="32">
        <v>44365</v>
      </c>
      <c r="M118" s="21">
        <f t="shared" ref="M118" si="166">S118/AE118*100</f>
        <v>85</v>
      </c>
      <c r="N118" s="14">
        <v>5</v>
      </c>
      <c r="O118" s="14" t="s">
        <v>723</v>
      </c>
      <c r="P118" s="9" t="s">
        <v>1484</v>
      </c>
      <c r="Q118" s="42" t="s">
        <v>212</v>
      </c>
      <c r="R118" s="14" t="s">
        <v>36</v>
      </c>
      <c r="S118" s="23">
        <f t="shared" si="156"/>
        <v>2728625.8</v>
      </c>
      <c r="T118" s="57">
        <v>2728625.8</v>
      </c>
      <c r="U118" s="57">
        <v>0</v>
      </c>
      <c r="V118" s="25">
        <f t="shared" si="162"/>
        <v>417319.24</v>
      </c>
      <c r="W118" s="57">
        <v>417319.24</v>
      </c>
      <c r="X118" s="33">
        <v>0</v>
      </c>
      <c r="Y118" s="23">
        <f t="shared" si="163"/>
        <v>64202.96</v>
      </c>
      <c r="Z118" s="57">
        <v>64202.96</v>
      </c>
      <c r="AA118" s="57">
        <v>0</v>
      </c>
      <c r="AB118" s="23">
        <f t="shared" si="164"/>
        <v>0</v>
      </c>
      <c r="AC118" s="57"/>
      <c r="AD118" s="33"/>
      <c r="AE118" s="23">
        <f t="shared" ref="AE118" si="167">S118+V118+Y118+AB118</f>
        <v>3210148</v>
      </c>
      <c r="AF118" s="23"/>
      <c r="AG118" s="26">
        <f t="shared" si="97"/>
        <v>3210148</v>
      </c>
      <c r="AH118" s="27" t="s">
        <v>585</v>
      </c>
      <c r="AI118" s="28"/>
      <c r="AJ118" s="1"/>
      <c r="AK118" s="1"/>
    </row>
    <row r="119" spans="1:37" ht="379.5" customHeight="1" x14ac:dyDescent="0.25">
      <c r="A119" s="12">
        <v>115</v>
      </c>
      <c r="B119" s="7">
        <v>129575</v>
      </c>
      <c r="C119" s="8">
        <v>659</v>
      </c>
      <c r="D119" s="9" t="s">
        <v>177</v>
      </c>
      <c r="E119" s="15" t="s">
        <v>968</v>
      </c>
      <c r="F119" s="14" t="s">
        <v>1417</v>
      </c>
      <c r="G119" s="17" t="s">
        <v>1512</v>
      </c>
      <c r="H119" s="149" t="s">
        <v>1510</v>
      </c>
      <c r="I119" s="150" t="s">
        <v>185</v>
      </c>
      <c r="J119" s="48" t="s">
        <v>1513</v>
      </c>
      <c r="K119" s="20">
        <v>43640</v>
      </c>
      <c r="L119" s="32">
        <v>44371</v>
      </c>
      <c r="M119" s="21">
        <f>S119/AE119*100</f>
        <v>85</v>
      </c>
      <c r="N119" s="14">
        <v>5</v>
      </c>
      <c r="O119" s="14" t="s">
        <v>723</v>
      </c>
      <c r="P119" s="9" t="s">
        <v>1511</v>
      </c>
      <c r="Q119" s="42" t="s">
        <v>212</v>
      </c>
      <c r="R119" s="14" t="s">
        <v>36</v>
      </c>
      <c r="S119" s="23">
        <f t="shared" si="156"/>
        <v>2733685.85</v>
      </c>
      <c r="T119" s="57">
        <v>2733685.85</v>
      </c>
      <c r="U119" s="57">
        <v>0</v>
      </c>
      <c r="V119" s="25">
        <f>W119+X119</f>
        <v>418093.13</v>
      </c>
      <c r="W119" s="57">
        <v>418093.13</v>
      </c>
      <c r="X119" s="151">
        <v>0</v>
      </c>
      <c r="Y119" s="23">
        <f>Z119+AA119</f>
        <v>64322.02</v>
      </c>
      <c r="Z119" s="57">
        <v>64322.02</v>
      </c>
      <c r="AA119" s="57">
        <v>0</v>
      </c>
      <c r="AB119" s="23">
        <f>AC119+AD119</f>
        <v>0</v>
      </c>
      <c r="AC119" s="57">
        <v>0</v>
      </c>
      <c r="AD119" s="57">
        <v>0</v>
      </c>
      <c r="AE119" s="23">
        <f>S119+V119+Y119+AB119</f>
        <v>3216101</v>
      </c>
      <c r="AF119" s="23">
        <v>0</v>
      </c>
      <c r="AG119" s="26">
        <f t="shared" si="97"/>
        <v>3216101</v>
      </c>
      <c r="AH119" s="27" t="s">
        <v>585</v>
      </c>
      <c r="AI119" s="28"/>
      <c r="AJ119" s="1"/>
      <c r="AK119" s="1"/>
    </row>
    <row r="120" spans="1:37" ht="283.5" x14ac:dyDescent="0.25">
      <c r="A120" s="14">
        <v>116</v>
      </c>
      <c r="B120" s="13">
        <v>120482</v>
      </c>
      <c r="C120" s="8">
        <v>68</v>
      </c>
      <c r="D120" s="14" t="s">
        <v>684</v>
      </c>
      <c r="E120" s="15" t="s">
        <v>968</v>
      </c>
      <c r="F120" s="16" t="s">
        <v>331</v>
      </c>
      <c r="G120" s="17" t="s">
        <v>280</v>
      </c>
      <c r="H120" s="17" t="s">
        <v>283</v>
      </c>
      <c r="I120" s="14" t="s">
        <v>185</v>
      </c>
      <c r="J120" s="48" t="s">
        <v>286</v>
      </c>
      <c r="K120" s="20">
        <v>43145</v>
      </c>
      <c r="L120" s="32">
        <v>43630</v>
      </c>
      <c r="M120" s="21">
        <f t="shared" ref="M120" si="168">S120/AE120*100</f>
        <v>85</v>
      </c>
      <c r="N120" s="14">
        <v>3</v>
      </c>
      <c r="O120" s="14" t="s">
        <v>287</v>
      </c>
      <c r="P120" s="14" t="s">
        <v>288</v>
      </c>
      <c r="Q120" s="42" t="s">
        <v>212</v>
      </c>
      <c r="R120" s="14" t="s">
        <v>36</v>
      </c>
      <c r="S120" s="23">
        <f t="shared" si="156"/>
        <v>508342.5</v>
      </c>
      <c r="T120" s="64">
        <v>508342.5</v>
      </c>
      <c r="U120" s="23">
        <v>0</v>
      </c>
      <c r="V120" s="25">
        <f t="shared" si="150"/>
        <v>77746.5</v>
      </c>
      <c r="W120" s="23">
        <v>77746.5</v>
      </c>
      <c r="X120" s="23">
        <v>0</v>
      </c>
      <c r="Y120" s="23">
        <f t="shared" ref="Y120" si="169">Z120+AA120</f>
        <v>11961</v>
      </c>
      <c r="Z120" s="23">
        <v>11961</v>
      </c>
      <c r="AA120" s="23">
        <v>0</v>
      </c>
      <c r="AB120" s="23">
        <f t="shared" si="152"/>
        <v>0</v>
      </c>
      <c r="AC120" s="23"/>
      <c r="AD120" s="23"/>
      <c r="AE120" s="23">
        <f t="shared" si="128"/>
        <v>598050</v>
      </c>
      <c r="AF120" s="23">
        <v>0</v>
      </c>
      <c r="AG120" s="26">
        <f t="shared" si="97"/>
        <v>598050</v>
      </c>
      <c r="AH120" s="27" t="s">
        <v>585</v>
      </c>
      <c r="AI120" s="28"/>
      <c r="AJ120" s="1">
        <f>139474.65+11873.47+58460.39+21305.82+73284.52</f>
        <v>304398.85000000003</v>
      </c>
      <c r="AK120" s="29">
        <f>21331.41+1815.94+8941+3258.54+11208.22</f>
        <v>46555.11</v>
      </c>
    </row>
    <row r="121" spans="1:37" ht="409.5" x14ac:dyDescent="0.25">
      <c r="A121" s="12">
        <v>117</v>
      </c>
      <c r="B121" s="13">
        <v>122108</v>
      </c>
      <c r="C121" s="8">
        <v>83</v>
      </c>
      <c r="D121" s="14" t="s">
        <v>684</v>
      </c>
      <c r="E121" s="15" t="s">
        <v>968</v>
      </c>
      <c r="F121" s="16" t="s">
        <v>331</v>
      </c>
      <c r="G121" s="17" t="s">
        <v>465</v>
      </c>
      <c r="H121" s="17" t="s">
        <v>466</v>
      </c>
      <c r="I121" s="14" t="s">
        <v>185</v>
      </c>
      <c r="J121" s="48" t="s">
        <v>518</v>
      </c>
      <c r="K121" s="20">
        <v>43234</v>
      </c>
      <c r="L121" s="32">
        <v>43722</v>
      </c>
      <c r="M121" s="21">
        <f t="shared" ref="M121:M123" si="170">S121/AE121*100</f>
        <v>84.999995128143141</v>
      </c>
      <c r="N121" s="14">
        <v>3</v>
      </c>
      <c r="O121" s="14" t="s">
        <v>287</v>
      </c>
      <c r="P121" s="14" t="s">
        <v>467</v>
      </c>
      <c r="Q121" s="42" t="s">
        <v>212</v>
      </c>
      <c r="R121" s="14" t="s">
        <v>36</v>
      </c>
      <c r="S121" s="23">
        <f t="shared" si="156"/>
        <v>322772.19</v>
      </c>
      <c r="T121" s="24">
        <v>322772.19</v>
      </c>
      <c r="U121" s="152">
        <v>0</v>
      </c>
      <c r="V121" s="25">
        <f t="shared" ref="V121" si="171">W121+X121</f>
        <v>49365.18</v>
      </c>
      <c r="W121" s="23">
        <v>49365.18</v>
      </c>
      <c r="X121" s="23">
        <v>0</v>
      </c>
      <c r="Y121" s="23">
        <f t="shared" ref="Y121" si="172">Z121+AA121</f>
        <v>7594.64</v>
      </c>
      <c r="Z121" s="23">
        <v>7594.64</v>
      </c>
      <c r="AA121" s="23">
        <v>0</v>
      </c>
      <c r="AB121" s="23">
        <f t="shared" ref="AB121" si="173">AC121+AD121</f>
        <v>0</v>
      </c>
      <c r="AC121" s="23">
        <v>0</v>
      </c>
      <c r="AD121" s="23">
        <v>0</v>
      </c>
      <c r="AE121" s="23">
        <v>379732.01</v>
      </c>
      <c r="AF121" s="23">
        <v>55635.199999999997</v>
      </c>
      <c r="AG121" s="26">
        <f t="shared" si="97"/>
        <v>435367.21</v>
      </c>
      <c r="AH121" s="27" t="s">
        <v>585</v>
      </c>
      <c r="AI121" s="28" t="s">
        <v>1453</v>
      </c>
      <c r="AJ121" s="1">
        <f>33333.97+12894.42+14394.75</f>
        <v>60623.14</v>
      </c>
      <c r="AK121" s="29">
        <f>5098.14+1972.08+2201.55</f>
        <v>9271.77</v>
      </c>
    </row>
    <row r="122" spans="1:37" ht="362.25" x14ac:dyDescent="0.25">
      <c r="A122" s="12">
        <v>118</v>
      </c>
      <c r="B122" s="35">
        <v>118782</v>
      </c>
      <c r="C122" s="18">
        <v>444</v>
      </c>
      <c r="D122" s="18" t="s">
        <v>684</v>
      </c>
      <c r="E122" s="15" t="s">
        <v>704</v>
      </c>
      <c r="F122" s="16" t="s">
        <v>610</v>
      </c>
      <c r="G122" s="15" t="s">
        <v>830</v>
      </c>
      <c r="H122" s="15" t="s">
        <v>829</v>
      </c>
      <c r="I122" s="9"/>
      <c r="J122" s="39" t="s">
        <v>828</v>
      </c>
      <c r="K122" s="20">
        <v>43304</v>
      </c>
      <c r="L122" s="32">
        <v>43669</v>
      </c>
      <c r="M122" s="21">
        <f t="shared" si="170"/>
        <v>85</v>
      </c>
      <c r="N122" s="9">
        <v>3</v>
      </c>
      <c r="O122" s="14" t="s">
        <v>287</v>
      </c>
      <c r="P122" s="18" t="s">
        <v>831</v>
      </c>
      <c r="Q122" s="42" t="s">
        <v>212</v>
      </c>
      <c r="R122" s="14" t="s">
        <v>36</v>
      </c>
      <c r="S122" s="23">
        <v>242091.39</v>
      </c>
      <c r="T122" s="153">
        <f>S122</f>
        <v>242091.39</v>
      </c>
      <c r="U122" s="33">
        <v>0</v>
      </c>
      <c r="V122" s="25">
        <v>37025.74</v>
      </c>
      <c r="W122" s="1">
        <f>V122</f>
        <v>37025.74</v>
      </c>
      <c r="X122" s="33">
        <v>0</v>
      </c>
      <c r="Y122" s="1">
        <v>5696.27</v>
      </c>
      <c r="Z122" s="1">
        <f>Y122</f>
        <v>5696.27</v>
      </c>
      <c r="AA122" s="1">
        <v>0</v>
      </c>
      <c r="AB122" s="23">
        <f t="shared" si="152"/>
        <v>0</v>
      </c>
      <c r="AC122" s="33"/>
      <c r="AD122" s="33"/>
      <c r="AE122" s="23">
        <f>S122+V122+Y122+AB122</f>
        <v>284813.40000000002</v>
      </c>
      <c r="AF122" s="34"/>
      <c r="AG122" s="26">
        <f t="shared" si="97"/>
        <v>284813.40000000002</v>
      </c>
      <c r="AH122" s="27" t="s">
        <v>585</v>
      </c>
      <c r="AI122" s="34"/>
      <c r="AJ122" s="23">
        <f>28481.34-3066.97+23120.26-3309.72+24950.16</f>
        <v>70175.069999999992</v>
      </c>
      <c r="AK122" s="23">
        <f>3066.97+3309.72</f>
        <v>6376.69</v>
      </c>
    </row>
    <row r="123" spans="1:37" s="154" customFormat="1" ht="237.75" customHeight="1" x14ac:dyDescent="0.25">
      <c r="A123" s="14">
        <v>119</v>
      </c>
      <c r="B123" s="35">
        <v>118562</v>
      </c>
      <c r="C123" s="18">
        <v>430</v>
      </c>
      <c r="D123" s="18" t="s">
        <v>684</v>
      </c>
      <c r="E123" s="15" t="s">
        <v>704</v>
      </c>
      <c r="F123" s="16" t="s">
        <v>610</v>
      </c>
      <c r="G123" s="15" t="s">
        <v>889</v>
      </c>
      <c r="H123" s="18" t="s">
        <v>890</v>
      </c>
      <c r="I123" s="9" t="s">
        <v>185</v>
      </c>
      <c r="J123" s="39" t="s">
        <v>891</v>
      </c>
      <c r="K123" s="20">
        <v>43318</v>
      </c>
      <c r="L123" s="32">
        <v>43683</v>
      </c>
      <c r="M123" s="21">
        <f t="shared" si="170"/>
        <v>85</v>
      </c>
      <c r="N123" s="9">
        <v>3</v>
      </c>
      <c r="O123" s="14" t="s">
        <v>287</v>
      </c>
      <c r="P123" s="18" t="s">
        <v>288</v>
      </c>
      <c r="Q123" s="42" t="s">
        <v>212</v>
      </c>
      <c r="R123" s="14" t="s">
        <v>36</v>
      </c>
      <c r="S123" s="23">
        <f>T123+U123</f>
        <v>244199.22</v>
      </c>
      <c r="T123" s="153">
        <v>244199.22</v>
      </c>
      <c r="U123" s="33">
        <v>0</v>
      </c>
      <c r="V123" s="25">
        <f>W123+X123</f>
        <v>37348.11</v>
      </c>
      <c r="W123" s="1">
        <v>37348.11</v>
      </c>
      <c r="X123" s="33">
        <v>0</v>
      </c>
      <c r="Y123" s="1">
        <f t="shared" ref="Y123:Y128" si="174">Z123+AA123</f>
        <v>5745.87</v>
      </c>
      <c r="Z123" s="1">
        <v>5745.87</v>
      </c>
      <c r="AA123" s="1">
        <v>0</v>
      </c>
      <c r="AC123" s="33">
        <v>0</v>
      </c>
      <c r="AD123" s="33">
        <v>0</v>
      </c>
      <c r="AE123" s="23">
        <f>S123+V123+Y123+AB124</f>
        <v>287293.2</v>
      </c>
      <c r="AF123" s="34">
        <v>0</v>
      </c>
      <c r="AG123" s="26">
        <f t="shared" si="97"/>
        <v>287293.2</v>
      </c>
      <c r="AH123" s="27" t="s">
        <v>585</v>
      </c>
      <c r="AI123" s="34"/>
      <c r="AJ123" s="23">
        <f>28906.01+15593.07</f>
        <v>44499.08</v>
      </c>
      <c r="AK123" s="23">
        <f>4420.92+2384.82</f>
        <v>6805.74</v>
      </c>
    </row>
    <row r="124" spans="1:37" s="154" customFormat="1" ht="237.75" customHeight="1" x14ac:dyDescent="0.25">
      <c r="A124" s="12">
        <v>120</v>
      </c>
      <c r="B124" s="35">
        <v>128788</v>
      </c>
      <c r="C124" s="18">
        <v>632</v>
      </c>
      <c r="D124" s="18" t="s">
        <v>173</v>
      </c>
      <c r="E124" s="15" t="s">
        <v>968</v>
      </c>
      <c r="F124" s="16" t="s">
        <v>1417</v>
      </c>
      <c r="G124" s="15" t="s">
        <v>1448</v>
      </c>
      <c r="H124" s="18" t="s">
        <v>1445</v>
      </c>
      <c r="I124" s="9" t="s">
        <v>185</v>
      </c>
      <c r="J124" s="39" t="s">
        <v>1447</v>
      </c>
      <c r="K124" s="20">
        <v>43622</v>
      </c>
      <c r="L124" s="32">
        <v>44475</v>
      </c>
      <c r="M124" s="21">
        <f>S124/AE124*100</f>
        <v>85.000000230035937</v>
      </c>
      <c r="N124" s="9">
        <v>3</v>
      </c>
      <c r="O124" s="14" t="s">
        <v>287</v>
      </c>
      <c r="P124" s="18" t="s">
        <v>1446</v>
      </c>
      <c r="Q124" s="42" t="s">
        <v>212</v>
      </c>
      <c r="R124" s="14" t="s">
        <v>36</v>
      </c>
      <c r="S124" s="23">
        <f>T124+U124</f>
        <v>1847537.48</v>
      </c>
      <c r="T124" s="153">
        <v>1847537.48</v>
      </c>
      <c r="U124" s="33">
        <v>0</v>
      </c>
      <c r="V124" s="25">
        <f>W124+X124</f>
        <v>282564.55</v>
      </c>
      <c r="W124" s="1">
        <v>282564.55</v>
      </c>
      <c r="X124" s="33">
        <v>0</v>
      </c>
      <c r="Y124" s="1">
        <f t="shared" si="174"/>
        <v>43471.47</v>
      </c>
      <c r="Z124" s="1">
        <v>43471.47</v>
      </c>
      <c r="AA124" s="1">
        <v>0</v>
      </c>
      <c r="AB124" s="1">
        <f>AC124+AD124</f>
        <v>0</v>
      </c>
      <c r="AC124" s="33">
        <v>0</v>
      </c>
      <c r="AD124" s="33">
        <v>0</v>
      </c>
      <c r="AE124" s="23">
        <f>S124+V124+Y124+AB124</f>
        <v>2173573.5</v>
      </c>
      <c r="AF124" s="34">
        <v>0</v>
      </c>
      <c r="AG124" s="26">
        <f t="shared" si="97"/>
        <v>2173573.5</v>
      </c>
      <c r="AH124" s="27" t="s">
        <v>585</v>
      </c>
      <c r="AI124" s="34"/>
      <c r="AJ124" s="23"/>
      <c r="AK124" s="23"/>
    </row>
    <row r="125" spans="1:37" s="154" customFormat="1" ht="232.5" customHeight="1" x14ac:dyDescent="0.25">
      <c r="A125" s="12">
        <v>121</v>
      </c>
      <c r="B125" s="35">
        <v>129218</v>
      </c>
      <c r="C125" s="18">
        <v>645</v>
      </c>
      <c r="D125" s="18" t="s">
        <v>177</v>
      </c>
      <c r="E125" s="15" t="s">
        <v>968</v>
      </c>
      <c r="F125" s="16" t="s">
        <v>1417</v>
      </c>
      <c r="G125" s="155" t="s">
        <v>1517</v>
      </c>
      <c r="H125" s="18" t="s">
        <v>1518</v>
      </c>
      <c r="I125" s="9" t="s">
        <v>185</v>
      </c>
      <c r="J125" s="39" t="s">
        <v>1519</v>
      </c>
      <c r="K125" s="20">
        <v>43643</v>
      </c>
      <c r="L125" s="32">
        <v>44192</v>
      </c>
      <c r="M125" s="21">
        <f>S125/AE125*100</f>
        <v>84.999999707660962</v>
      </c>
      <c r="N125" s="9">
        <v>3</v>
      </c>
      <c r="O125" s="14" t="s">
        <v>287</v>
      </c>
      <c r="P125" s="18" t="s">
        <v>467</v>
      </c>
      <c r="Q125" s="42" t="s">
        <v>212</v>
      </c>
      <c r="R125" s="14" t="s">
        <v>36</v>
      </c>
      <c r="S125" s="23">
        <f>T125+U125</f>
        <v>2326066.37</v>
      </c>
      <c r="T125" s="153">
        <v>2326066.37</v>
      </c>
      <c r="U125" s="33">
        <v>0</v>
      </c>
      <c r="V125" s="25">
        <f>W125+X125</f>
        <v>355751.33</v>
      </c>
      <c r="W125" s="1">
        <v>355751.33</v>
      </c>
      <c r="X125" s="33">
        <v>0</v>
      </c>
      <c r="Y125" s="1">
        <f t="shared" si="174"/>
        <v>54730.98</v>
      </c>
      <c r="Z125" s="1">
        <v>54730.98</v>
      </c>
      <c r="AA125" s="1">
        <v>0</v>
      </c>
      <c r="AB125" s="1">
        <f>AC125+AD125</f>
        <v>0</v>
      </c>
      <c r="AC125" s="33">
        <v>0</v>
      </c>
      <c r="AD125" s="33">
        <v>0</v>
      </c>
      <c r="AE125" s="23">
        <f>S125+V125+Y125+AB126</f>
        <v>2736548.68</v>
      </c>
      <c r="AF125" s="34">
        <v>0</v>
      </c>
      <c r="AG125" s="26">
        <f t="shared" si="97"/>
        <v>2736548.68</v>
      </c>
      <c r="AH125" s="27" t="s">
        <v>585</v>
      </c>
      <c r="AI125" s="34"/>
      <c r="AJ125" s="23"/>
      <c r="AK125" s="23"/>
    </row>
    <row r="126" spans="1:37" ht="155.25" customHeight="1" x14ac:dyDescent="0.25">
      <c r="A126" s="14">
        <v>122</v>
      </c>
      <c r="B126" s="13">
        <v>128275</v>
      </c>
      <c r="C126" s="67">
        <v>636</v>
      </c>
      <c r="D126" s="13" t="s">
        <v>174</v>
      </c>
      <c r="E126" s="15" t="s">
        <v>968</v>
      </c>
      <c r="F126" s="16" t="s">
        <v>1417</v>
      </c>
      <c r="G126" s="68" t="s">
        <v>1467</v>
      </c>
      <c r="H126" s="30" t="s">
        <v>1465</v>
      </c>
      <c r="I126" s="9" t="s">
        <v>185</v>
      </c>
      <c r="J126" s="19" t="s">
        <v>1472</v>
      </c>
      <c r="K126" s="20">
        <v>43629</v>
      </c>
      <c r="L126" s="20">
        <v>44360</v>
      </c>
      <c r="M126" s="21">
        <f>S126/AE126*100</f>
        <v>85.000000189128897</v>
      </c>
      <c r="N126" s="69">
        <v>1</v>
      </c>
      <c r="O126" s="14" t="s">
        <v>817</v>
      </c>
      <c r="P126" s="14" t="s">
        <v>1470</v>
      </c>
      <c r="Q126" s="70" t="s">
        <v>212</v>
      </c>
      <c r="R126" s="14" t="s">
        <v>36</v>
      </c>
      <c r="S126" s="23">
        <f>T126+U126</f>
        <v>2247144.58</v>
      </c>
      <c r="T126" s="153">
        <v>0</v>
      </c>
      <c r="U126" s="23">
        <v>2247144.58</v>
      </c>
      <c r="V126" s="25">
        <f t="shared" ref="V126" si="175">W126+X126</f>
        <v>343680.93</v>
      </c>
      <c r="W126" s="1">
        <v>0</v>
      </c>
      <c r="X126" s="33">
        <v>343680.93</v>
      </c>
      <c r="Y126" s="1">
        <f t="shared" si="174"/>
        <v>52873.99</v>
      </c>
      <c r="Z126" s="1">
        <v>0</v>
      </c>
      <c r="AA126" s="1">
        <v>52873.99</v>
      </c>
      <c r="AB126" s="1">
        <f>AC126+AD126</f>
        <v>0</v>
      </c>
      <c r="AC126" s="102">
        <v>0</v>
      </c>
      <c r="AD126" s="102">
        <v>0</v>
      </c>
      <c r="AE126" s="23">
        <f>S126+V126+Y126+AB126</f>
        <v>2643699.5000000005</v>
      </c>
      <c r="AF126" s="37">
        <v>0</v>
      </c>
      <c r="AG126" s="26">
        <f t="shared" si="97"/>
        <v>2643699.5000000005</v>
      </c>
      <c r="AH126" s="99" t="s">
        <v>871</v>
      </c>
      <c r="AI126" s="28"/>
      <c r="AJ126" s="29"/>
      <c r="AK126" s="29"/>
    </row>
    <row r="127" spans="1:37" ht="270" customHeight="1" x14ac:dyDescent="0.25">
      <c r="A127" s="12">
        <v>123</v>
      </c>
      <c r="B127" s="18">
        <v>119895</v>
      </c>
      <c r="C127" s="18">
        <v>458</v>
      </c>
      <c r="D127" s="18" t="s">
        <v>1074</v>
      </c>
      <c r="E127" s="18" t="s">
        <v>1041</v>
      </c>
      <c r="F127" s="41" t="s">
        <v>841</v>
      </c>
      <c r="G127" s="156" t="s">
        <v>850</v>
      </c>
      <c r="H127" s="156" t="s">
        <v>851</v>
      </c>
      <c r="I127" s="9" t="s">
        <v>185</v>
      </c>
      <c r="J127" s="15" t="s">
        <v>852</v>
      </c>
      <c r="K127" s="20">
        <v>43312</v>
      </c>
      <c r="L127" s="32">
        <v>43677</v>
      </c>
      <c r="M127" s="21">
        <f t="shared" ref="M127:M128" si="176">S127/AE127*100</f>
        <v>79.999998251321642</v>
      </c>
      <c r="N127" s="18">
        <v>8</v>
      </c>
      <c r="O127" s="14" t="s">
        <v>853</v>
      </c>
      <c r="P127" s="14" t="s">
        <v>854</v>
      </c>
      <c r="Q127" s="14" t="s">
        <v>212</v>
      </c>
      <c r="R127" s="14" t="s">
        <v>36</v>
      </c>
      <c r="S127" s="23">
        <f>T127+U127</f>
        <v>457488.35</v>
      </c>
      <c r="T127" s="157">
        <v>0</v>
      </c>
      <c r="U127" s="158">
        <v>457488.35</v>
      </c>
      <c r="V127" s="25">
        <f t="shared" si="150"/>
        <v>102934.89</v>
      </c>
      <c r="W127" s="158">
        <v>0</v>
      </c>
      <c r="X127" s="159">
        <v>102934.89</v>
      </c>
      <c r="Y127" s="23">
        <f t="shared" si="174"/>
        <v>11437.21</v>
      </c>
      <c r="Z127" s="158">
        <v>0</v>
      </c>
      <c r="AA127" s="160">
        <v>11437.21</v>
      </c>
      <c r="AB127" s="23">
        <f t="shared" si="152"/>
        <v>0</v>
      </c>
      <c r="AC127" s="158">
        <v>0</v>
      </c>
      <c r="AD127" s="160">
        <v>0</v>
      </c>
      <c r="AE127" s="23">
        <f>S127+V127+Y127+AB127</f>
        <v>571860.44999999995</v>
      </c>
      <c r="AF127" s="23">
        <v>0</v>
      </c>
      <c r="AG127" s="26">
        <f t="shared" si="97"/>
        <v>571860.44999999995</v>
      </c>
      <c r="AH127" s="27" t="s">
        <v>585</v>
      </c>
      <c r="AI127" s="34"/>
      <c r="AJ127" s="26">
        <v>26798.799999999999</v>
      </c>
      <c r="AK127" s="23">
        <v>6029.73</v>
      </c>
    </row>
    <row r="128" spans="1:37" ht="142.5" customHeight="1" x14ac:dyDescent="0.25">
      <c r="A128" s="12">
        <v>124</v>
      </c>
      <c r="B128" s="35">
        <v>126391</v>
      </c>
      <c r="C128" s="18">
        <v>508</v>
      </c>
      <c r="D128" s="18" t="s">
        <v>843</v>
      </c>
      <c r="E128" s="18" t="s">
        <v>968</v>
      </c>
      <c r="F128" s="14" t="s">
        <v>1142</v>
      </c>
      <c r="G128" s="15" t="s">
        <v>1203</v>
      </c>
      <c r="H128" s="156" t="s">
        <v>851</v>
      </c>
      <c r="I128" s="9" t="s">
        <v>185</v>
      </c>
      <c r="J128" s="15" t="s">
        <v>1204</v>
      </c>
      <c r="K128" s="20">
        <v>43452</v>
      </c>
      <c r="L128" s="32">
        <v>44365</v>
      </c>
      <c r="M128" s="21">
        <f t="shared" si="176"/>
        <v>80.000000098352359</v>
      </c>
      <c r="N128" s="18">
        <v>8</v>
      </c>
      <c r="O128" s="14" t="s">
        <v>853</v>
      </c>
      <c r="P128" s="14" t="s">
        <v>854</v>
      </c>
      <c r="Q128" s="14" t="s">
        <v>212</v>
      </c>
      <c r="R128" s="14" t="s">
        <v>36</v>
      </c>
      <c r="S128" s="23">
        <f t="shared" ref="S128" si="177">T128+U128</f>
        <v>1626803.97</v>
      </c>
      <c r="T128" s="161">
        <v>0</v>
      </c>
      <c r="U128" s="1">
        <v>1626803.97</v>
      </c>
      <c r="V128" s="25">
        <f t="shared" si="150"/>
        <v>366030.89</v>
      </c>
      <c r="W128" s="161">
        <v>0</v>
      </c>
      <c r="X128" s="29">
        <v>366030.89</v>
      </c>
      <c r="Y128" s="29">
        <f t="shared" si="174"/>
        <v>40670.1</v>
      </c>
      <c r="Z128" s="162">
        <v>0</v>
      </c>
      <c r="AA128" s="161">
        <v>40670.1</v>
      </c>
      <c r="AB128" s="23">
        <f t="shared" si="152"/>
        <v>0</v>
      </c>
      <c r="AC128" s="162">
        <v>0</v>
      </c>
      <c r="AD128" s="161">
        <v>0</v>
      </c>
      <c r="AE128" s="23">
        <f>S128+V128+Y128+AB128</f>
        <v>2033504.96</v>
      </c>
      <c r="AF128" s="37">
        <v>485522.74</v>
      </c>
      <c r="AG128" s="26">
        <f t="shared" si="97"/>
        <v>2519027.7000000002</v>
      </c>
      <c r="AH128" s="27" t="s">
        <v>585</v>
      </c>
      <c r="AI128" s="34"/>
      <c r="AJ128" s="23">
        <v>0</v>
      </c>
      <c r="AK128" s="23">
        <v>0</v>
      </c>
    </row>
    <row r="129" spans="1:37" ht="150" customHeight="1" x14ac:dyDescent="0.25">
      <c r="A129" s="14">
        <v>125</v>
      </c>
      <c r="B129" s="13">
        <v>122738</v>
      </c>
      <c r="C129" s="8">
        <v>73</v>
      </c>
      <c r="D129" s="14" t="s">
        <v>684</v>
      </c>
      <c r="E129" s="15" t="s">
        <v>968</v>
      </c>
      <c r="F129" s="16" t="s">
        <v>331</v>
      </c>
      <c r="G129" s="163" t="s">
        <v>705</v>
      </c>
      <c r="H129" s="15" t="s">
        <v>706</v>
      </c>
      <c r="I129" s="9" t="s">
        <v>185</v>
      </c>
      <c r="J129" s="15" t="s">
        <v>1382</v>
      </c>
      <c r="K129" s="20">
        <v>43284</v>
      </c>
      <c r="L129" s="32">
        <v>43772</v>
      </c>
      <c r="M129" s="21">
        <f t="shared" ref="M129:M130" si="178">S129/AE129*100</f>
        <v>85.000002334434541</v>
      </c>
      <c r="N129" s="14">
        <v>6</v>
      </c>
      <c r="O129" s="14" t="s">
        <v>707</v>
      </c>
      <c r="P129" s="14" t="s">
        <v>708</v>
      </c>
      <c r="Q129" s="42" t="s">
        <v>212</v>
      </c>
      <c r="R129" s="14" t="s">
        <v>36</v>
      </c>
      <c r="S129" s="25">
        <f t="shared" ref="S129" si="179">T129+U129</f>
        <v>527965.13</v>
      </c>
      <c r="T129" s="158">
        <v>527965.13</v>
      </c>
      <c r="U129" s="23">
        <v>0</v>
      </c>
      <c r="V129" s="25">
        <f t="shared" ref="V129" si="180">W129+X129</f>
        <v>80747.570000000007</v>
      </c>
      <c r="W129" s="158">
        <v>80747.570000000007</v>
      </c>
      <c r="X129" s="23">
        <v>0</v>
      </c>
      <c r="Y129" s="25">
        <f t="shared" ref="Y129" si="181">Z129+AA129</f>
        <v>12422.73</v>
      </c>
      <c r="Z129" s="164">
        <v>12422.73</v>
      </c>
      <c r="AA129" s="23">
        <v>0</v>
      </c>
      <c r="AB129" s="23">
        <f t="shared" ref="AB129" si="182">AC129+AD129</f>
        <v>0</v>
      </c>
      <c r="AC129" s="23">
        <v>0</v>
      </c>
      <c r="AD129" s="23">
        <v>0</v>
      </c>
      <c r="AE129" s="23">
        <f t="shared" ref="AE129" si="183">S129+V129+Y129+AB129</f>
        <v>621135.42999999993</v>
      </c>
      <c r="AF129" s="23">
        <v>0</v>
      </c>
      <c r="AG129" s="26">
        <f t="shared" si="97"/>
        <v>621135.42999999993</v>
      </c>
      <c r="AH129" s="27" t="s">
        <v>585</v>
      </c>
      <c r="AI129" s="28"/>
      <c r="AJ129" s="26">
        <f>21406.41+58309.25+17499.8</f>
        <v>97215.46</v>
      </c>
      <c r="AK129" s="23">
        <f>3273.92+8917.89+2676.44</f>
        <v>14868.25</v>
      </c>
    </row>
    <row r="130" spans="1:37" ht="315" x14ac:dyDescent="0.25">
      <c r="A130" s="12">
        <v>126</v>
      </c>
      <c r="B130" s="35">
        <v>126337</v>
      </c>
      <c r="C130" s="8">
        <v>556</v>
      </c>
      <c r="D130" s="9" t="s">
        <v>1074</v>
      </c>
      <c r="E130" s="18" t="s">
        <v>968</v>
      </c>
      <c r="F130" s="16" t="s">
        <v>1135</v>
      </c>
      <c r="G130" s="15" t="s">
        <v>1381</v>
      </c>
      <c r="H130" s="15" t="s">
        <v>706</v>
      </c>
      <c r="I130" s="9" t="s">
        <v>185</v>
      </c>
      <c r="J130" s="15" t="s">
        <v>1383</v>
      </c>
      <c r="K130" s="20">
        <v>43577</v>
      </c>
      <c r="L130" s="32">
        <v>44491</v>
      </c>
      <c r="M130" s="21">
        <f t="shared" si="178"/>
        <v>85.000000442818262</v>
      </c>
      <c r="N130" s="14">
        <v>6</v>
      </c>
      <c r="O130" s="14" t="s">
        <v>707</v>
      </c>
      <c r="P130" s="14" t="s">
        <v>708</v>
      </c>
      <c r="Q130" s="42" t="s">
        <v>212</v>
      </c>
      <c r="R130" s="14" t="s">
        <v>36</v>
      </c>
      <c r="S130" s="23">
        <f t="shared" ref="S130" si="184">T130+U130</f>
        <v>3359165.89</v>
      </c>
      <c r="T130" s="158">
        <v>3359165.89</v>
      </c>
      <c r="U130" s="23">
        <v>0</v>
      </c>
      <c r="V130" s="25">
        <f t="shared" si="150"/>
        <v>513754.76</v>
      </c>
      <c r="W130" s="158">
        <v>513754.76</v>
      </c>
      <c r="X130" s="23">
        <v>0</v>
      </c>
      <c r="Y130" s="153">
        <f>Z130+AA130</f>
        <v>79039.199999999997</v>
      </c>
      <c r="Z130" s="164">
        <v>79039.199999999997</v>
      </c>
      <c r="AA130" s="23">
        <v>0</v>
      </c>
      <c r="AB130" s="23">
        <f t="shared" si="152"/>
        <v>0</v>
      </c>
      <c r="AC130" s="23">
        <v>0</v>
      </c>
      <c r="AD130" s="23">
        <v>0</v>
      </c>
      <c r="AE130" s="23">
        <f t="shared" si="128"/>
        <v>3951959.8500000006</v>
      </c>
      <c r="AF130" s="23">
        <v>15981.7</v>
      </c>
      <c r="AG130" s="26">
        <f t="shared" si="97"/>
        <v>3967941.5500000007</v>
      </c>
      <c r="AH130" s="27" t="s">
        <v>585</v>
      </c>
      <c r="AI130" s="34"/>
      <c r="AJ130" s="23">
        <v>0</v>
      </c>
      <c r="AK130" s="23">
        <v>0</v>
      </c>
    </row>
    <row r="131" spans="1:37" ht="283.5" x14ac:dyDescent="0.25">
      <c r="A131" s="12">
        <v>127</v>
      </c>
      <c r="B131" s="13">
        <v>110238</v>
      </c>
      <c r="C131" s="8">
        <v>120</v>
      </c>
      <c r="D131" s="14" t="s">
        <v>172</v>
      </c>
      <c r="E131" s="15" t="s">
        <v>968</v>
      </c>
      <c r="F131" s="16" t="s">
        <v>331</v>
      </c>
      <c r="G131" s="165" t="s">
        <v>292</v>
      </c>
      <c r="H131" s="17" t="s">
        <v>293</v>
      </c>
      <c r="I131" s="14" t="s">
        <v>185</v>
      </c>
      <c r="J131" s="19" t="s">
        <v>309</v>
      </c>
      <c r="K131" s="20">
        <v>43166</v>
      </c>
      <c r="L131" s="32">
        <v>43836</v>
      </c>
      <c r="M131" s="21">
        <f t="shared" ref="M131:M132" si="185">S131/AE131*100</f>
        <v>85.000000235397167</v>
      </c>
      <c r="N131" s="14">
        <v>4</v>
      </c>
      <c r="O131" s="14" t="s">
        <v>295</v>
      </c>
      <c r="P131" s="14" t="s">
        <v>294</v>
      </c>
      <c r="Q131" s="42" t="s">
        <v>212</v>
      </c>
      <c r="R131" s="14" t="s">
        <v>36</v>
      </c>
      <c r="S131" s="25">
        <f t="shared" ref="S131:S132" si="186">T131+U131</f>
        <v>361091.85</v>
      </c>
      <c r="T131" s="159">
        <v>361091.85</v>
      </c>
      <c r="U131" s="23">
        <v>0</v>
      </c>
      <c r="V131" s="25">
        <f t="shared" si="150"/>
        <v>55225.82</v>
      </c>
      <c r="W131" s="159">
        <v>55225.82</v>
      </c>
      <c r="X131" s="23">
        <v>0</v>
      </c>
      <c r="Y131" s="25">
        <f t="shared" ref="Y131" si="187">Z131+AA131</f>
        <v>8496.27</v>
      </c>
      <c r="Z131" s="166">
        <v>8496.27</v>
      </c>
      <c r="AA131" s="23">
        <v>0</v>
      </c>
      <c r="AB131" s="23">
        <f t="shared" si="152"/>
        <v>0</v>
      </c>
      <c r="AC131" s="23"/>
      <c r="AD131" s="23"/>
      <c r="AE131" s="23">
        <f t="shared" si="128"/>
        <v>424813.94</v>
      </c>
      <c r="AF131" s="23">
        <v>0</v>
      </c>
      <c r="AG131" s="26">
        <f t="shared" si="97"/>
        <v>424813.94</v>
      </c>
      <c r="AH131" s="27" t="s">
        <v>585</v>
      </c>
      <c r="AI131" s="28" t="s">
        <v>1403</v>
      </c>
      <c r="AJ131" s="26">
        <f>36851.39+107373.8</f>
        <v>144225.19</v>
      </c>
      <c r="AK131" s="23">
        <f>5630+16427.98</f>
        <v>22057.98</v>
      </c>
    </row>
    <row r="132" spans="1:37" ht="236.25" x14ac:dyDescent="0.25">
      <c r="A132" s="14">
        <v>128</v>
      </c>
      <c r="B132" s="13">
        <v>117741</v>
      </c>
      <c r="C132" s="18">
        <v>415</v>
      </c>
      <c r="D132" s="14" t="s">
        <v>175</v>
      </c>
      <c r="E132" s="15" t="s">
        <v>704</v>
      </c>
      <c r="F132" s="17" t="s">
        <v>610</v>
      </c>
      <c r="G132" s="17" t="s">
        <v>844</v>
      </c>
      <c r="H132" s="17" t="s">
        <v>845</v>
      </c>
      <c r="I132" s="14" t="s">
        <v>746</v>
      </c>
      <c r="J132" s="17" t="s">
        <v>846</v>
      </c>
      <c r="K132" s="20">
        <v>43311</v>
      </c>
      <c r="L132" s="32">
        <v>43676</v>
      </c>
      <c r="M132" s="21">
        <f t="shared" si="185"/>
        <v>84.15024511492409</v>
      </c>
      <c r="N132" s="14">
        <v>4</v>
      </c>
      <c r="O132" s="14" t="s">
        <v>295</v>
      </c>
      <c r="P132" s="14" t="s">
        <v>294</v>
      </c>
      <c r="Q132" s="14" t="s">
        <v>212</v>
      </c>
      <c r="R132" s="14" t="s">
        <v>36</v>
      </c>
      <c r="S132" s="25">
        <f t="shared" si="186"/>
        <v>242958.31</v>
      </c>
      <c r="T132" s="29">
        <v>242958.31</v>
      </c>
      <c r="U132" s="43">
        <v>0</v>
      </c>
      <c r="V132" s="25">
        <f t="shared" si="150"/>
        <v>39986.97</v>
      </c>
      <c r="W132" s="29">
        <v>39986.97</v>
      </c>
      <c r="X132" s="43">
        <v>0</v>
      </c>
      <c r="Y132" s="29">
        <f>Z132+AA132</f>
        <v>2888.03</v>
      </c>
      <c r="Z132" s="29">
        <v>2888.03</v>
      </c>
      <c r="AA132" s="29">
        <v>0</v>
      </c>
      <c r="AB132" s="23">
        <f t="shared" si="152"/>
        <v>2886.36</v>
      </c>
      <c r="AC132" s="29">
        <v>2886.36</v>
      </c>
      <c r="AD132" s="43">
        <v>0</v>
      </c>
      <c r="AE132" s="23">
        <f t="shared" si="128"/>
        <v>288719.67000000004</v>
      </c>
      <c r="AF132" s="99"/>
      <c r="AG132" s="26">
        <f t="shared" si="97"/>
        <v>288719.67000000004</v>
      </c>
      <c r="AH132" s="27" t="s">
        <v>585</v>
      </c>
      <c r="AI132" s="99"/>
      <c r="AJ132" s="23">
        <f>28871.96-265.54+15843.66+15843.66+10893.14+20357.69</f>
        <v>91544.57</v>
      </c>
      <c r="AK132" s="23">
        <f>4137.44+2795.94+2795.94+1922.32+3592.53</f>
        <v>15244.17</v>
      </c>
    </row>
    <row r="133" spans="1:37" ht="172.5" customHeight="1" x14ac:dyDescent="0.25">
      <c r="A133" s="12">
        <v>129</v>
      </c>
      <c r="B133" s="7">
        <v>126246</v>
      </c>
      <c r="C133" s="8">
        <v>537</v>
      </c>
      <c r="D133" s="9" t="s">
        <v>176</v>
      </c>
      <c r="E133" s="18" t="s">
        <v>968</v>
      </c>
      <c r="F133" s="16" t="s">
        <v>1135</v>
      </c>
      <c r="G133" s="17" t="s">
        <v>1304</v>
      </c>
      <c r="H133" s="17" t="s">
        <v>845</v>
      </c>
      <c r="I133" s="14" t="s">
        <v>597</v>
      </c>
      <c r="J133" s="19" t="s">
        <v>1305</v>
      </c>
      <c r="K133" s="20">
        <v>43532</v>
      </c>
      <c r="L133" s="32">
        <v>44447</v>
      </c>
      <c r="M133" s="21">
        <f t="shared" ref="M133" si="188">S133/AE133*100</f>
        <v>84.376572868603944</v>
      </c>
      <c r="N133" s="14">
        <v>4</v>
      </c>
      <c r="O133" s="14" t="s">
        <v>295</v>
      </c>
      <c r="P133" s="14" t="s">
        <v>294</v>
      </c>
      <c r="Q133" s="14" t="s">
        <v>212</v>
      </c>
      <c r="R133" s="14" t="s">
        <v>36</v>
      </c>
      <c r="S133" s="25">
        <f t="shared" ref="S133" si="189">T133+U133</f>
        <v>3134478.71</v>
      </c>
      <c r="T133" s="57">
        <v>3134478.71</v>
      </c>
      <c r="U133" s="33">
        <v>0</v>
      </c>
      <c r="V133" s="25">
        <f t="shared" ref="V133" si="190">W133+X133</f>
        <v>506092.39</v>
      </c>
      <c r="W133" s="57">
        <v>506092.39</v>
      </c>
      <c r="X133" s="33">
        <v>0</v>
      </c>
      <c r="Y133" s="29">
        <f>Z133+AA133</f>
        <v>47050.879999999997</v>
      </c>
      <c r="Z133" s="57">
        <v>47050.879999999997</v>
      </c>
      <c r="AA133" s="57">
        <v>0</v>
      </c>
      <c r="AB133" s="23">
        <f t="shared" ref="AB133" si="191">AC133+AD133</f>
        <v>27246.5</v>
      </c>
      <c r="AC133" s="57">
        <v>27246.5</v>
      </c>
      <c r="AD133" s="33">
        <v>0</v>
      </c>
      <c r="AE133" s="23">
        <f t="shared" si="128"/>
        <v>3714868.48</v>
      </c>
      <c r="AF133" s="34">
        <v>0</v>
      </c>
      <c r="AG133" s="26">
        <f t="shared" si="97"/>
        <v>3714868.48</v>
      </c>
      <c r="AH133" s="27" t="s">
        <v>585</v>
      </c>
      <c r="AI133" s="34"/>
      <c r="AJ133" s="54">
        <v>283028.44</v>
      </c>
      <c r="AK133" s="54">
        <v>0</v>
      </c>
    </row>
    <row r="134" spans="1:37" s="66" customFormat="1" ht="252" x14ac:dyDescent="0.25">
      <c r="A134" s="12">
        <v>130</v>
      </c>
      <c r="B134" s="13">
        <v>120531</v>
      </c>
      <c r="C134" s="8">
        <v>76</v>
      </c>
      <c r="D134" s="15" t="s">
        <v>843</v>
      </c>
      <c r="E134" s="15" t="s">
        <v>968</v>
      </c>
      <c r="F134" s="16" t="s">
        <v>331</v>
      </c>
      <c r="G134" s="62" t="s">
        <v>231</v>
      </c>
      <c r="H134" s="62" t="s">
        <v>232</v>
      </c>
      <c r="I134" s="18" t="s">
        <v>185</v>
      </c>
      <c r="J134" s="15" t="s">
        <v>233</v>
      </c>
      <c r="K134" s="20">
        <v>43129</v>
      </c>
      <c r="L134" s="32">
        <v>43798</v>
      </c>
      <c r="M134" s="21">
        <f t="shared" ref="M134:M137" si="192">S134/AE134*100</f>
        <v>85.000000405063261</v>
      </c>
      <c r="N134" s="18">
        <v>3</v>
      </c>
      <c r="O134" s="18" t="s">
        <v>235</v>
      </c>
      <c r="P134" s="18" t="s">
        <v>234</v>
      </c>
      <c r="Q134" s="22" t="s">
        <v>212</v>
      </c>
      <c r="R134" s="18" t="s">
        <v>36</v>
      </c>
      <c r="S134" s="23">
        <f t="shared" ref="S134:S137" si="193">T134+U134</f>
        <v>524609.42000000004</v>
      </c>
      <c r="T134" s="64">
        <v>524609.42000000004</v>
      </c>
      <c r="U134" s="26">
        <v>0</v>
      </c>
      <c r="V134" s="25">
        <f t="shared" si="150"/>
        <v>80234.38</v>
      </c>
      <c r="W134" s="64">
        <v>80234.38</v>
      </c>
      <c r="X134" s="26">
        <v>0</v>
      </c>
      <c r="Y134" s="23">
        <f t="shared" ref="Y134:Y137" si="194">Z134+AA134</f>
        <v>12343.75</v>
      </c>
      <c r="Z134" s="64">
        <v>12343.75</v>
      </c>
      <c r="AA134" s="26">
        <v>0</v>
      </c>
      <c r="AB134" s="23">
        <f t="shared" si="152"/>
        <v>0</v>
      </c>
      <c r="AC134" s="26"/>
      <c r="AD134" s="26"/>
      <c r="AE134" s="23">
        <f t="shared" si="128"/>
        <v>617187.55000000005</v>
      </c>
      <c r="AF134" s="26">
        <v>0</v>
      </c>
      <c r="AG134" s="26">
        <f t="shared" ref="AG134:AG197" si="195">AE134+AF134</f>
        <v>617187.55000000005</v>
      </c>
      <c r="AH134" s="27" t="s">
        <v>585</v>
      </c>
      <c r="AI134" s="53" t="s">
        <v>185</v>
      </c>
      <c r="AJ134" s="1">
        <f>40294.21+38633.5</f>
        <v>78927.709999999992</v>
      </c>
      <c r="AK134" s="1">
        <f>6162.64+5908.66</f>
        <v>12071.3</v>
      </c>
    </row>
    <row r="135" spans="1:37" s="169" customFormat="1" ht="236.25" x14ac:dyDescent="0.25">
      <c r="A135" s="14">
        <v>131</v>
      </c>
      <c r="B135" s="35">
        <v>119702</v>
      </c>
      <c r="C135" s="8">
        <v>462</v>
      </c>
      <c r="D135" s="15" t="s">
        <v>684</v>
      </c>
      <c r="E135" s="18" t="s">
        <v>1041</v>
      </c>
      <c r="F135" s="167" t="s">
        <v>542</v>
      </c>
      <c r="G135" s="15" t="s">
        <v>603</v>
      </c>
      <c r="H135" s="15" t="s">
        <v>232</v>
      </c>
      <c r="I135" s="18" t="s">
        <v>185</v>
      </c>
      <c r="J135" s="15" t="s">
        <v>605</v>
      </c>
      <c r="K135" s="20">
        <v>43269</v>
      </c>
      <c r="L135" s="32">
        <v>43756</v>
      </c>
      <c r="M135" s="45">
        <f t="shared" si="192"/>
        <v>85.000000000000014</v>
      </c>
      <c r="N135" s="18">
        <v>3</v>
      </c>
      <c r="O135" s="18" t="s">
        <v>235</v>
      </c>
      <c r="P135" s="18" t="s">
        <v>234</v>
      </c>
      <c r="Q135" s="18" t="s">
        <v>212</v>
      </c>
      <c r="R135" s="18" t="s">
        <v>546</v>
      </c>
      <c r="S135" s="26">
        <f t="shared" si="193"/>
        <v>289363.96999999997</v>
      </c>
      <c r="T135" s="1">
        <v>289363.96999999997</v>
      </c>
      <c r="U135" s="26">
        <v>0</v>
      </c>
      <c r="V135" s="25">
        <f t="shared" ref="V135" si="196">W135+X135</f>
        <v>44255.67</v>
      </c>
      <c r="W135" s="1">
        <v>44255.67</v>
      </c>
      <c r="X135" s="26">
        <v>0</v>
      </c>
      <c r="Y135" s="26">
        <f t="shared" si="194"/>
        <v>6808.5599999999995</v>
      </c>
      <c r="Z135" s="1">
        <v>6808.5599999999995</v>
      </c>
      <c r="AA135" s="26">
        <v>0</v>
      </c>
      <c r="AB135" s="26">
        <f t="shared" ref="AB135" si="197">AC135+AD135</f>
        <v>0</v>
      </c>
      <c r="AC135" s="26">
        <v>0</v>
      </c>
      <c r="AD135" s="26">
        <v>0</v>
      </c>
      <c r="AE135" s="26">
        <f>S135+V135+Y135+AB135</f>
        <v>340428.19999999995</v>
      </c>
      <c r="AF135" s="26">
        <v>0</v>
      </c>
      <c r="AG135" s="26">
        <f t="shared" si="195"/>
        <v>340428.19999999995</v>
      </c>
      <c r="AH135" s="27" t="s">
        <v>585</v>
      </c>
      <c r="AI135" s="168" t="s">
        <v>1377</v>
      </c>
      <c r="AJ135" s="1">
        <f>29938.25-3891.97+46974.03+87210</f>
        <v>160230.31</v>
      </c>
      <c r="AK135" s="1">
        <f>3891.97+7275.84+13338</f>
        <v>24505.809999999998</v>
      </c>
    </row>
    <row r="136" spans="1:37" s="170" customFormat="1" ht="362.25" x14ac:dyDescent="0.25">
      <c r="A136" s="12">
        <v>132</v>
      </c>
      <c r="B136" s="35">
        <v>117960</v>
      </c>
      <c r="C136" s="18">
        <v>418</v>
      </c>
      <c r="D136" s="18" t="s">
        <v>843</v>
      </c>
      <c r="E136" s="15" t="s">
        <v>704</v>
      </c>
      <c r="F136" s="15" t="s">
        <v>610</v>
      </c>
      <c r="G136" s="15" t="s">
        <v>893</v>
      </c>
      <c r="H136" s="15" t="s">
        <v>232</v>
      </c>
      <c r="I136" s="18" t="s">
        <v>185</v>
      </c>
      <c r="J136" s="15" t="s">
        <v>894</v>
      </c>
      <c r="K136" s="32">
        <v>43318</v>
      </c>
      <c r="L136" s="32">
        <v>43805</v>
      </c>
      <c r="M136" s="45">
        <f t="shared" si="192"/>
        <v>85</v>
      </c>
      <c r="N136" s="18">
        <v>3</v>
      </c>
      <c r="O136" s="18" t="s">
        <v>235</v>
      </c>
      <c r="P136" s="18" t="s">
        <v>234</v>
      </c>
      <c r="Q136" s="18" t="s">
        <v>212</v>
      </c>
      <c r="R136" s="18" t="s">
        <v>546</v>
      </c>
      <c r="S136" s="26">
        <f t="shared" si="193"/>
        <v>339865.02</v>
      </c>
      <c r="T136" s="1">
        <v>339865.02</v>
      </c>
      <c r="U136" s="102">
        <v>0</v>
      </c>
      <c r="V136" s="25">
        <f t="shared" si="150"/>
        <v>51979.35</v>
      </c>
      <c r="W136" s="1">
        <v>51979.35</v>
      </c>
      <c r="X136" s="102">
        <v>0</v>
      </c>
      <c r="Y136" s="26">
        <f t="shared" si="194"/>
        <v>7996.83</v>
      </c>
      <c r="Z136" s="1">
        <v>7996.83</v>
      </c>
      <c r="AA136" s="1">
        <v>0</v>
      </c>
      <c r="AB136" s="26">
        <f t="shared" si="152"/>
        <v>0</v>
      </c>
      <c r="AC136" s="102">
        <v>0</v>
      </c>
      <c r="AD136" s="102">
        <v>0</v>
      </c>
      <c r="AE136" s="26">
        <f t="shared" si="128"/>
        <v>399841.2</v>
      </c>
      <c r="AF136" s="1">
        <v>0</v>
      </c>
      <c r="AG136" s="26">
        <f t="shared" si="195"/>
        <v>399841.2</v>
      </c>
      <c r="AH136" s="27" t="s">
        <v>585</v>
      </c>
      <c r="AI136" s="27"/>
      <c r="AJ136" s="1">
        <v>16106.21</v>
      </c>
      <c r="AK136" s="1">
        <v>2463.3000000000002</v>
      </c>
    </row>
    <row r="137" spans="1:37" s="170" customFormat="1" ht="141.75" x14ac:dyDescent="0.25">
      <c r="A137" s="12">
        <v>133</v>
      </c>
      <c r="B137" s="35">
        <v>126286</v>
      </c>
      <c r="C137" s="18">
        <v>513</v>
      </c>
      <c r="D137" s="18" t="s">
        <v>176</v>
      </c>
      <c r="E137" s="15" t="s">
        <v>968</v>
      </c>
      <c r="F137" s="15" t="s">
        <v>1135</v>
      </c>
      <c r="G137" s="15" t="s">
        <v>1205</v>
      </c>
      <c r="H137" s="15" t="s">
        <v>1206</v>
      </c>
      <c r="I137" s="18" t="s">
        <v>185</v>
      </c>
      <c r="J137" s="15" t="s">
        <v>1207</v>
      </c>
      <c r="K137" s="32">
        <v>43451</v>
      </c>
      <c r="L137" s="32">
        <v>44182</v>
      </c>
      <c r="M137" s="45">
        <f t="shared" si="192"/>
        <v>85.000000627550136</v>
      </c>
      <c r="N137" s="18">
        <v>3</v>
      </c>
      <c r="O137" s="18" t="s">
        <v>235</v>
      </c>
      <c r="P137" s="18" t="s">
        <v>1208</v>
      </c>
      <c r="Q137" s="18" t="s">
        <v>212</v>
      </c>
      <c r="R137" s="18" t="s">
        <v>546</v>
      </c>
      <c r="S137" s="26">
        <f t="shared" si="193"/>
        <v>2370328.59</v>
      </c>
      <c r="T137" s="1">
        <v>2370328.59</v>
      </c>
      <c r="U137" s="102">
        <v>0</v>
      </c>
      <c r="V137" s="25">
        <f t="shared" ref="V137" si="198">W137+X137</f>
        <v>362520.82</v>
      </c>
      <c r="W137" s="1">
        <v>362520.82</v>
      </c>
      <c r="X137" s="102">
        <v>0</v>
      </c>
      <c r="Y137" s="26">
        <f t="shared" si="194"/>
        <v>55772.44</v>
      </c>
      <c r="Z137" s="1">
        <v>55772.44</v>
      </c>
      <c r="AA137" s="1">
        <v>0</v>
      </c>
      <c r="AB137" s="26">
        <f t="shared" ref="AB137" si="199">AC137+AD137</f>
        <v>0</v>
      </c>
      <c r="AC137" s="102">
        <v>0</v>
      </c>
      <c r="AD137" s="102">
        <v>0</v>
      </c>
      <c r="AE137" s="26">
        <f t="shared" ref="AE137" si="200">S137+V137+Y137+AB137</f>
        <v>2788621.8499999996</v>
      </c>
      <c r="AF137" s="1">
        <v>0</v>
      </c>
      <c r="AG137" s="26">
        <f t="shared" si="195"/>
        <v>2788621.8499999996</v>
      </c>
      <c r="AH137" s="27" t="s">
        <v>585</v>
      </c>
      <c r="AI137" s="27"/>
      <c r="AJ137" s="1">
        <f>82670-5225.55</f>
        <v>77444.45</v>
      </c>
      <c r="AK137" s="1">
        <v>5225.55</v>
      </c>
    </row>
    <row r="138" spans="1:37" ht="126" customHeight="1" x14ac:dyDescent="0.25">
      <c r="A138" s="14">
        <v>134</v>
      </c>
      <c r="B138" s="13">
        <v>119208</v>
      </c>
      <c r="C138" s="8">
        <v>489</v>
      </c>
      <c r="D138" s="14" t="s">
        <v>168</v>
      </c>
      <c r="E138" s="15" t="s">
        <v>1041</v>
      </c>
      <c r="F138" s="16" t="s">
        <v>542</v>
      </c>
      <c r="G138" s="14" t="s">
        <v>1107</v>
      </c>
      <c r="H138" s="14" t="s">
        <v>1108</v>
      </c>
      <c r="I138" s="14" t="s">
        <v>422</v>
      </c>
      <c r="J138" s="19" t="s">
        <v>1109</v>
      </c>
      <c r="K138" s="32">
        <v>43396</v>
      </c>
      <c r="L138" s="32">
        <v>43884</v>
      </c>
      <c r="M138" s="45">
        <v>85</v>
      </c>
      <c r="N138" s="14">
        <v>1</v>
      </c>
      <c r="O138" s="14" t="s">
        <v>1106</v>
      </c>
      <c r="P138" s="14" t="s">
        <v>1110</v>
      </c>
      <c r="Q138" s="22" t="s">
        <v>212</v>
      </c>
      <c r="R138" s="14" t="s">
        <v>36</v>
      </c>
      <c r="S138" s="26">
        <f>T138+U138</f>
        <v>529360.44999999995</v>
      </c>
      <c r="T138" s="23">
        <v>529360.44999999995</v>
      </c>
      <c r="U138" s="23">
        <v>0</v>
      </c>
      <c r="V138" s="25">
        <f>W138+X138</f>
        <v>80961.009999999995</v>
      </c>
      <c r="W138" s="23">
        <v>80961.009999999995</v>
      </c>
      <c r="X138" s="23">
        <v>0</v>
      </c>
      <c r="Y138" s="25">
        <f>Z138+AA138</f>
        <v>12455.54</v>
      </c>
      <c r="Z138" s="23">
        <v>12455.54</v>
      </c>
      <c r="AA138" s="23">
        <v>0</v>
      </c>
      <c r="AB138" s="23">
        <f>AC138+AD138</f>
        <v>0</v>
      </c>
      <c r="AC138" s="23">
        <v>0</v>
      </c>
      <c r="AD138" s="23">
        <v>0</v>
      </c>
      <c r="AE138" s="26">
        <f>S138+V138+Y138+AB138</f>
        <v>622777</v>
      </c>
      <c r="AF138" s="23"/>
      <c r="AG138" s="26">
        <f t="shared" si="195"/>
        <v>622777</v>
      </c>
      <c r="AH138" s="27" t="s">
        <v>871</v>
      </c>
      <c r="AI138" s="28"/>
      <c r="AJ138" s="1">
        <f>20646.5+51929.52</f>
        <v>72576.01999999999</v>
      </c>
      <c r="AK138" s="29">
        <f>3157.7+7942.16</f>
        <v>11099.86</v>
      </c>
    </row>
    <row r="139" spans="1:37" ht="236.25" x14ac:dyDescent="0.25">
      <c r="A139" s="12">
        <v>135</v>
      </c>
      <c r="B139" s="13">
        <v>122867</v>
      </c>
      <c r="C139" s="67">
        <v>105</v>
      </c>
      <c r="D139" s="13" t="s">
        <v>843</v>
      </c>
      <c r="E139" s="15" t="s">
        <v>968</v>
      </c>
      <c r="F139" s="16" t="s">
        <v>331</v>
      </c>
      <c r="G139" s="30" t="s">
        <v>981</v>
      </c>
      <c r="H139" s="30" t="s">
        <v>980</v>
      </c>
      <c r="I139" s="18" t="s">
        <v>982</v>
      </c>
      <c r="J139" s="31" t="s">
        <v>983</v>
      </c>
      <c r="K139" s="20">
        <v>43342</v>
      </c>
      <c r="L139" s="32">
        <v>43707</v>
      </c>
      <c r="M139" s="21">
        <f>S139/AE139*100</f>
        <v>84.194914940710191</v>
      </c>
      <c r="N139" s="14">
        <v>1</v>
      </c>
      <c r="O139" s="14" t="s">
        <v>984</v>
      </c>
      <c r="P139" s="14" t="s">
        <v>985</v>
      </c>
      <c r="Q139" s="22" t="s">
        <v>212</v>
      </c>
      <c r="R139" s="14" t="s">
        <v>36</v>
      </c>
      <c r="S139" s="23">
        <f>T139+U139</f>
        <v>351606.78</v>
      </c>
      <c r="T139" s="23">
        <v>351606.78</v>
      </c>
      <c r="U139" s="23">
        <v>0</v>
      </c>
      <c r="V139" s="23">
        <f>W139+X139</f>
        <v>57651.47</v>
      </c>
      <c r="W139" s="23">
        <v>57651.47</v>
      </c>
      <c r="X139" s="23">
        <v>0</v>
      </c>
      <c r="Y139" s="23">
        <f>Z139+AA139</f>
        <v>8352.2199999999993</v>
      </c>
      <c r="Z139" s="23">
        <v>8352.2199999999993</v>
      </c>
      <c r="AA139" s="23">
        <v>0</v>
      </c>
      <c r="AB139" s="23">
        <f>AC139+AD139</f>
        <v>0</v>
      </c>
      <c r="AC139" s="23"/>
      <c r="AD139" s="23"/>
      <c r="AE139" s="23">
        <f>S139+V139+Y139+AB139</f>
        <v>417610.47</v>
      </c>
      <c r="AF139" s="23"/>
      <c r="AG139" s="26">
        <f t="shared" si="195"/>
        <v>417610.47</v>
      </c>
      <c r="AH139" s="27" t="s">
        <v>585</v>
      </c>
      <c r="AI139" s="28" t="s">
        <v>349</v>
      </c>
      <c r="AJ139" s="29">
        <f>41760.02+3682.21+18068.95+21982.99+19777.03+31928.54+41760.02+8276.15+41760.02</f>
        <v>228995.92999999996</v>
      </c>
      <c r="AK139" s="29">
        <f>6030.95+4165.9+11886.5+8211.11</f>
        <v>30294.46</v>
      </c>
    </row>
    <row r="140" spans="1:37" ht="267.75" x14ac:dyDescent="0.25">
      <c r="A140" s="12">
        <v>136</v>
      </c>
      <c r="B140" s="13">
        <v>126260</v>
      </c>
      <c r="C140" s="8">
        <v>526</v>
      </c>
      <c r="D140" s="14" t="s">
        <v>177</v>
      </c>
      <c r="E140" s="15" t="s">
        <v>968</v>
      </c>
      <c r="F140" s="16" t="s">
        <v>1135</v>
      </c>
      <c r="G140" s="17" t="s">
        <v>1147</v>
      </c>
      <c r="H140" s="17" t="s">
        <v>1146</v>
      </c>
      <c r="I140" s="14" t="s">
        <v>185</v>
      </c>
      <c r="J140" s="19" t="s">
        <v>1148</v>
      </c>
      <c r="K140" s="20">
        <v>43433</v>
      </c>
      <c r="L140" s="32">
        <v>44164</v>
      </c>
      <c r="M140" s="45">
        <f t="shared" ref="M140" si="201">S140/AE140*100</f>
        <v>84.999999887651384</v>
      </c>
      <c r="N140" s="14">
        <v>1</v>
      </c>
      <c r="O140" s="14" t="s">
        <v>984</v>
      </c>
      <c r="P140" s="14" t="s">
        <v>985</v>
      </c>
      <c r="Q140" s="22" t="s">
        <v>212</v>
      </c>
      <c r="R140" s="14" t="s">
        <v>36</v>
      </c>
      <c r="S140" s="26">
        <f t="shared" ref="S140" si="202">T140+U140</f>
        <v>2269720.81</v>
      </c>
      <c r="T140" s="23">
        <v>2269720.81</v>
      </c>
      <c r="U140" s="23">
        <v>0</v>
      </c>
      <c r="V140" s="25">
        <f t="shared" ref="V140" si="203">W140+X140</f>
        <v>347133.77</v>
      </c>
      <c r="W140" s="23">
        <v>347133.77</v>
      </c>
      <c r="X140" s="23">
        <v>0</v>
      </c>
      <c r="Y140" s="25">
        <f t="shared" ref="Y140" si="204">Z140+AA140</f>
        <v>53405.2</v>
      </c>
      <c r="Z140" s="23">
        <v>53405.2</v>
      </c>
      <c r="AA140" s="23">
        <v>0</v>
      </c>
      <c r="AB140" s="23">
        <f t="shared" ref="AB140" si="205">AC140+AD140</f>
        <v>0</v>
      </c>
      <c r="AC140" s="23">
        <v>0</v>
      </c>
      <c r="AD140" s="23">
        <v>0</v>
      </c>
      <c r="AE140" s="26">
        <f t="shared" ref="AE140" si="206">S140+V140+Y140+AB140</f>
        <v>2670259.7800000003</v>
      </c>
      <c r="AF140" s="23">
        <v>57120</v>
      </c>
      <c r="AG140" s="26">
        <f t="shared" si="195"/>
        <v>2727379.7800000003</v>
      </c>
      <c r="AH140" s="27" t="s">
        <v>585</v>
      </c>
      <c r="AI140" s="28"/>
      <c r="AJ140" s="1">
        <v>62163.9</v>
      </c>
      <c r="AK140" s="29">
        <v>9507.42</v>
      </c>
    </row>
    <row r="141" spans="1:37" ht="409.5" x14ac:dyDescent="0.25">
      <c r="A141" s="14">
        <v>137</v>
      </c>
      <c r="B141" s="13">
        <v>120572</v>
      </c>
      <c r="C141" s="8">
        <v>82</v>
      </c>
      <c r="D141" s="14" t="s">
        <v>684</v>
      </c>
      <c r="E141" s="15" t="s">
        <v>968</v>
      </c>
      <c r="F141" s="16" t="s">
        <v>331</v>
      </c>
      <c r="G141" s="17" t="s">
        <v>318</v>
      </c>
      <c r="H141" s="17" t="s">
        <v>319</v>
      </c>
      <c r="I141" s="14" t="s">
        <v>185</v>
      </c>
      <c r="J141" s="19" t="s">
        <v>748</v>
      </c>
      <c r="K141" s="20">
        <v>43171</v>
      </c>
      <c r="L141" s="32">
        <v>43658</v>
      </c>
      <c r="M141" s="21">
        <f t="shared" ref="M141:M143" si="207">S141/AE141*100</f>
        <v>85.000000359311386</v>
      </c>
      <c r="N141" s="14">
        <v>4</v>
      </c>
      <c r="O141" s="14" t="s">
        <v>320</v>
      </c>
      <c r="P141" s="14" t="s">
        <v>321</v>
      </c>
      <c r="Q141" s="22" t="s">
        <v>212</v>
      </c>
      <c r="R141" s="14" t="s">
        <v>36</v>
      </c>
      <c r="S141" s="25">
        <f t="shared" ref="S141:S143" si="208">T141+U141</f>
        <v>354845.43</v>
      </c>
      <c r="T141" s="23">
        <v>354845.43</v>
      </c>
      <c r="U141" s="23">
        <v>0</v>
      </c>
      <c r="V141" s="25">
        <f t="shared" si="150"/>
        <v>54270.48</v>
      </c>
      <c r="W141" s="23">
        <v>54270.48</v>
      </c>
      <c r="X141" s="23">
        <v>0</v>
      </c>
      <c r="Y141" s="25">
        <f t="shared" ref="Y141:Y143" si="209">Z141+AA141</f>
        <v>8349.2999999999993</v>
      </c>
      <c r="Z141" s="23">
        <v>8349.2999999999993</v>
      </c>
      <c r="AA141" s="23">
        <v>0</v>
      </c>
      <c r="AB141" s="23">
        <f t="shared" si="152"/>
        <v>0</v>
      </c>
      <c r="AC141" s="23"/>
      <c r="AD141" s="23"/>
      <c r="AE141" s="23">
        <f t="shared" si="128"/>
        <v>417465.20999999996</v>
      </c>
      <c r="AF141" s="23">
        <v>0</v>
      </c>
      <c r="AG141" s="26">
        <f t="shared" si="195"/>
        <v>417465.20999999996</v>
      </c>
      <c r="AH141" s="27" t="s">
        <v>585</v>
      </c>
      <c r="AI141" s="28" t="s">
        <v>185</v>
      </c>
      <c r="AJ141" s="1">
        <f>14375+7002.3+6416.65+7759.57+9685.75+10731.25</f>
        <v>55970.52</v>
      </c>
      <c r="AK141" s="29">
        <f>2198.53+1070.94+981.37+1186.75+1481.35+1641.25</f>
        <v>8560.19</v>
      </c>
    </row>
    <row r="142" spans="1:37" ht="204.75" x14ac:dyDescent="0.25">
      <c r="A142" s="12">
        <v>138</v>
      </c>
      <c r="B142" s="13">
        <v>118183</v>
      </c>
      <c r="C142" s="18">
        <v>422</v>
      </c>
      <c r="D142" s="14" t="s">
        <v>170</v>
      </c>
      <c r="E142" s="15" t="s">
        <v>704</v>
      </c>
      <c r="F142" s="16" t="s">
        <v>610</v>
      </c>
      <c r="G142" s="17" t="s">
        <v>747</v>
      </c>
      <c r="H142" s="17" t="s">
        <v>319</v>
      </c>
      <c r="I142" s="14" t="s">
        <v>185</v>
      </c>
      <c r="J142" s="15" t="s">
        <v>749</v>
      </c>
      <c r="K142" s="20">
        <v>43290</v>
      </c>
      <c r="L142" s="32">
        <v>43778</v>
      </c>
      <c r="M142" s="21">
        <f t="shared" si="207"/>
        <v>85.000012009815109</v>
      </c>
      <c r="N142" s="14">
        <v>4</v>
      </c>
      <c r="O142" s="14" t="s">
        <v>320</v>
      </c>
      <c r="P142" s="14" t="s">
        <v>321</v>
      </c>
      <c r="Q142" s="22" t="s">
        <v>212</v>
      </c>
      <c r="R142" s="18" t="s">
        <v>750</v>
      </c>
      <c r="S142" s="25">
        <f t="shared" si="208"/>
        <v>247714.09</v>
      </c>
      <c r="T142" s="23">
        <v>247714.09</v>
      </c>
      <c r="U142" s="23">
        <v>0</v>
      </c>
      <c r="V142" s="25">
        <f t="shared" si="150"/>
        <v>37885.64</v>
      </c>
      <c r="W142" s="1">
        <v>37885.64</v>
      </c>
      <c r="X142" s="23">
        <v>0</v>
      </c>
      <c r="Y142" s="25">
        <f t="shared" si="209"/>
        <v>5828.57</v>
      </c>
      <c r="Z142" s="1">
        <v>5828.57</v>
      </c>
      <c r="AA142" s="23">
        <v>0</v>
      </c>
      <c r="AB142" s="23">
        <f t="shared" si="152"/>
        <v>0</v>
      </c>
      <c r="AC142" s="33"/>
      <c r="AD142" s="33"/>
      <c r="AE142" s="23">
        <f t="shared" si="128"/>
        <v>291428.3</v>
      </c>
      <c r="AF142" s="23">
        <v>0</v>
      </c>
      <c r="AG142" s="26">
        <f t="shared" si="195"/>
        <v>291428.3</v>
      </c>
      <c r="AH142" s="27" t="s">
        <v>585</v>
      </c>
      <c r="AI142" s="28" t="s">
        <v>1321</v>
      </c>
      <c r="AJ142" s="23">
        <f>31913.97+11281.2+7318.5+6479.55</f>
        <v>56993.22</v>
      </c>
      <c r="AK142" s="23">
        <f>5112.75+1725.36+1119.3+990.99</f>
        <v>8948.4</v>
      </c>
    </row>
    <row r="143" spans="1:37" ht="220.5" x14ac:dyDescent="0.25">
      <c r="A143" s="12">
        <v>139</v>
      </c>
      <c r="B143" s="13">
        <v>126174</v>
      </c>
      <c r="C143" s="18">
        <v>534</v>
      </c>
      <c r="D143" s="18" t="s">
        <v>174</v>
      </c>
      <c r="E143" s="15" t="s">
        <v>968</v>
      </c>
      <c r="F143" s="18" t="s">
        <v>1135</v>
      </c>
      <c r="G143" s="17" t="s">
        <v>1195</v>
      </c>
      <c r="H143" s="17" t="s">
        <v>1196</v>
      </c>
      <c r="I143" s="14" t="s">
        <v>185</v>
      </c>
      <c r="J143" s="19" t="s">
        <v>1197</v>
      </c>
      <c r="K143" s="20">
        <v>43447</v>
      </c>
      <c r="L143" s="32">
        <v>43995</v>
      </c>
      <c r="M143" s="21">
        <f t="shared" si="207"/>
        <v>85.000000333995757</v>
      </c>
      <c r="N143" s="14">
        <v>4</v>
      </c>
      <c r="O143" s="14" t="s">
        <v>320</v>
      </c>
      <c r="P143" s="14" t="s">
        <v>321</v>
      </c>
      <c r="Q143" s="22" t="s">
        <v>212</v>
      </c>
      <c r="R143" s="14" t="s">
        <v>36</v>
      </c>
      <c r="S143" s="25">
        <f t="shared" si="208"/>
        <v>2544942.5099999998</v>
      </c>
      <c r="T143" s="23">
        <v>2544942.5099999998</v>
      </c>
      <c r="U143" s="23">
        <v>0</v>
      </c>
      <c r="V143" s="25">
        <f t="shared" si="150"/>
        <v>389226.49</v>
      </c>
      <c r="W143" s="1">
        <v>389226.49</v>
      </c>
      <c r="X143" s="23">
        <v>0</v>
      </c>
      <c r="Y143" s="25">
        <f t="shared" si="209"/>
        <v>59881</v>
      </c>
      <c r="Z143" s="1">
        <v>59881</v>
      </c>
      <c r="AA143" s="23">
        <v>0</v>
      </c>
      <c r="AB143" s="23">
        <f t="shared" si="152"/>
        <v>0</v>
      </c>
      <c r="AC143" s="26">
        <v>0</v>
      </c>
      <c r="AD143" s="26">
        <v>0</v>
      </c>
      <c r="AE143" s="23">
        <f t="shared" si="128"/>
        <v>2994050</v>
      </c>
      <c r="AF143" s="23">
        <v>0</v>
      </c>
      <c r="AG143" s="26">
        <f t="shared" si="195"/>
        <v>2994050</v>
      </c>
      <c r="AH143" s="27" t="s">
        <v>585</v>
      </c>
      <c r="AI143" s="34"/>
      <c r="AJ143" s="23">
        <v>0</v>
      </c>
      <c r="AK143" s="23">
        <v>0</v>
      </c>
    </row>
    <row r="144" spans="1:37" ht="299.25" x14ac:dyDescent="0.25">
      <c r="A144" s="14">
        <v>140</v>
      </c>
      <c r="B144" s="13">
        <v>120801</v>
      </c>
      <c r="C144" s="8">
        <v>87</v>
      </c>
      <c r="D144" s="14" t="s">
        <v>175</v>
      </c>
      <c r="E144" s="15" t="s">
        <v>968</v>
      </c>
      <c r="F144" s="16" t="s">
        <v>331</v>
      </c>
      <c r="G144" s="17" t="s">
        <v>299</v>
      </c>
      <c r="H144" s="17" t="s">
        <v>300</v>
      </c>
      <c r="I144" s="14" t="s">
        <v>301</v>
      </c>
      <c r="J144" s="19" t="s">
        <v>302</v>
      </c>
      <c r="K144" s="20">
        <v>43166</v>
      </c>
      <c r="L144" s="32">
        <v>43653</v>
      </c>
      <c r="M144" s="21">
        <f t="shared" ref="M144:M152" si="210">S144/AE144*100</f>
        <v>84.168038598864953</v>
      </c>
      <c r="N144" s="14">
        <v>3</v>
      </c>
      <c r="O144" s="14" t="s">
        <v>303</v>
      </c>
      <c r="P144" s="14" t="s">
        <v>304</v>
      </c>
      <c r="Q144" s="42" t="s">
        <v>212</v>
      </c>
      <c r="R144" s="14" t="s">
        <v>36</v>
      </c>
      <c r="S144" s="25">
        <f t="shared" ref="S144:S148" si="211">T144+U144</f>
        <v>357481.33</v>
      </c>
      <c r="T144" s="23">
        <v>357481.33</v>
      </c>
      <c r="U144" s="23">
        <v>0</v>
      </c>
      <c r="V144" s="25">
        <f t="shared" si="150"/>
        <v>58747.57</v>
      </c>
      <c r="W144" s="23">
        <v>58747.57</v>
      </c>
      <c r="X144" s="23">
        <v>0</v>
      </c>
      <c r="Y144" s="25">
        <f t="shared" ref="Y144:Y148" si="212">Z144+AA144</f>
        <v>8494.4699999999993</v>
      </c>
      <c r="Z144" s="23">
        <v>8494.4699999999993</v>
      </c>
      <c r="AA144" s="23">
        <v>0</v>
      </c>
      <c r="AB144" s="23">
        <f t="shared" si="152"/>
        <v>0</v>
      </c>
      <c r="AC144" s="23"/>
      <c r="AD144" s="23"/>
      <c r="AE144" s="23">
        <f t="shared" si="128"/>
        <v>424723.37</v>
      </c>
      <c r="AF144" s="23">
        <v>0</v>
      </c>
      <c r="AG144" s="26">
        <f t="shared" si="195"/>
        <v>424723.37</v>
      </c>
      <c r="AH144" s="27" t="s">
        <v>585</v>
      </c>
      <c r="AI144" s="28" t="s">
        <v>185</v>
      </c>
      <c r="AJ144" s="1">
        <f>70082.64+38337.49-1246.56+48094.29</f>
        <v>155267.86000000002</v>
      </c>
      <c r="AK144" s="29">
        <f>4618.03+6264.08+1246.56+6443.69</f>
        <v>18572.36</v>
      </c>
    </row>
    <row r="145" spans="1:37" ht="346.5" x14ac:dyDescent="0.25">
      <c r="A145" s="12">
        <v>141</v>
      </c>
      <c r="B145" s="13">
        <v>119511</v>
      </c>
      <c r="C145" s="18">
        <v>464</v>
      </c>
      <c r="D145" s="14" t="s">
        <v>172</v>
      </c>
      <c r="E145" s="18" t="s">
        <v>1041</v>
      </c>
      <c r="F145" s="14" t="s">
        <v>542</v>
      </c>
      <c r="G145" s="17" t="s">
        <v>543</v>
      </c>
      <c r="H145" s="17" t="s">
        <v>544</v>
      </c>
      <c r="I145" s="14" t="s">
        <v>349</v>
      </c>
      <c r="J145" s="17" t="s">
        <v>545</v>
      </c>
      <c r="K145" s="20">
        <v>43257</v>
      </c>
      <c r="L145" s="32">
        <v>43744</v>
      </c>
      <c r="M145" s="21">
        <f t="shared" si="210"/>
        <v>85.000000259943448</v>
      </c>
      <c r="N145" s="9">
        <v>3</v>
      </c>
      <c r="O145" s="18" t="s">
        <v>429</v>
      </c>
      <c r="P145" s="18" t="s">
        <v>304</v>
      </c>
      <c r="Q145" s="18" t="s">
        <v>212</v>
      </c>
      <c r="R145" s="18" t="s">
        <v>546</v>
      </c>
      <c r="S145" s="25">
        <f t="shared" si="211"/>
        <v>490491.32</v>
      </c>
      <c r="T145" s="23">
        <v>490491.32</v>
      </c>
      <c r="U145" s="23">
        <v>0</v>
      </c>
      <c r="V145" s="25">
        <f t="shared" si="150"/>
        <v>75016.320000000007</v>
      </c>
      <c r="W145" s="23">
        <v>75016.320000000007</v>
      </c>
      <c r="X145" s="23">
        <v>0</v>
      </c>
      <c r="Y145" s="25">
        <f t="shared" si="212"/>
        <v>11540.97</v>
      </c>
      <c r="Z145" s="29">
        <v>11540.97</v>
      </c>
      <c r="AA145" s="29">
        <v>0</v>
      </c>
      <c r="AB145" s="23">
        <f t="shared" si="152"/>
        <v>0</v>
      </c>
      <c r="AC145" s="26">
        <v>0</v>
      </c>
      <c r="AD145" s="26">
        <v>0</v>
      </c>
      <c r="AE145" s="23">
        <f>S145+V145+Y145+AB145</f>
        <v>577048.61</v>
      </c>
      <c r="AF145" s="99">
        <v>0</v>
      </c>
      <c r="AG145" s="26">
        <f t="shared" si="195"/>
        <v>577048.61</v>
      </c>
      <c r="AH145" s="27" t="s">
        <v>585</v>
      </c>
      <c r="AI145" s="34" t="s">
        <v>1285</v>
      </c>
      <c r="AJ145" s="38">
        <f>57677.81+46119.33+94319.49+91972.76</f>
        <v>290089.39</v>
      </c>
      <c r="AK145" s="29">
        <f>8821.31+7053.55+14425.33+14066.43</f>
        <v>44366.62</v>
      </c>
    </row>
    <row r="146" spans="1:37" s="171" customFormat="1" ht="299.25" x14ac:dyDescent="0.25">
      <c r="A146" s="12">
        <v>142</v>
      </c>
      <c r="B146" s="35">
        <v>118799</v>
      </c>
      <c r="C146" s="18">
        <v>447</v>
      </c>
      <c r="D146" s="18" t="s">
        <v>843</v>
      </c>
      <c r="E146" s="15" t="s">
        <v>704</v>
      </c>
      <c r="F146" s="15" t="s">
        <v>610</v>
      </c>
      <c r="G146" s="15" t="s">
        <v>1132</v>
      </c>
      <c r="H146" s="17" t="s">
        <v>300</v>
      </c>
      <c r="I146" s="18" t="s">
        <v>1133</v>
      </c>
      <c r="J146" s="15" t="s">
        <v>1134</v>
      </c>
      <c r="K146" s="32">
        <v>43425</v>
      </c>
      <c r="L146" s="32">
        <v>43911</v>
      </c>
      <c r="M146" s="45">
        <f t="shared" si="210"/>
        <v>84.156465769886722</v>
      </c>
      <c r="N146" s="14">
        <v>3</v>
      </c>
      <c r="O146" s="14" t="s">
        <v>303</v>
      </c>
      <c r="P146" s="14" t="s">
        <v>304</v>
      </c>
      <c r="Q146" s="42" t="s">
        <v>212</v>
      </c>
      <c r="R146" s="14" t="s">
        <v>36</v>
      </c>
      <c r="S146" s="25">
        <f t="shared" si="211"/>
        <v>242273.69</v>
      </c>
      <c r="T146" s="26">
        <v>242273.69</v>
      </c>
      <c r="U146" s="26">
        <v>0</v>
      </c>
      <c r="V146" s="25">
        <f t="shared" si="150"/>
        <v>39853.42</v>
      </c>
      <c r="W146" s="26">
        <v>39853.42</v>
      </c>
      <c r="X146" s="26">
        <v>0</v>
      </c>
      <c r="Y146" s="25">
        <f t="shared" si="212"/>
        <v>2900.77</v>
      </c>
      <c r="Z146" s="1">
        <v>2900.77</v>
      </c>
      <c r="AA146" s="1">
        <v>0</v>
      </c>
      <c r="AB146" s="26">
        <f t="shared" si="152"/>
        <v>2856.94</v>
      </c>
      <c r="AC146" s="26">
        <v>2856.94</v>
      </c>
      <c r="AD146" s="26">
        <v>0</v>
      </c>
      <c r="AE146" s="26">
        <f t="shared" ref="AE146:AE148" si="213">S146+V146+Y146+AB146</f>
        <v>287884.82</v>
      </c>
      <c r="AF146" s="27">
        <v>0</v>
      </c>
      <c r="AG146" s="26">
        <f t="shared" si="195"/>
        <v>287884.82</v>
      </c>
      <c r="AH146" s="27" t="s">
        <v>585</v>
      </c>
      <c r="AI146" s="27"/>
      <c r="AJ146" s="38">
        <f>14394.24+4020.28+12528.17+14000</f>
        <v>44942.69</v>
      </c>
      <c r="AK146" s="29">
        <v>2871.93</v>
      </c>
    </row>
    <row r="147" spans="1:37" ht="255" customHeight="1" x14ac:dyDescent="0.25">
      <c r="A147" s="14">
        <v>143</v>
      </c>
      <c r="B147" s="13">
        <v>126115</v>
      </c>
      <c r="C147" s="18">
        <v>542</v>
      </c>
      <c r="D147" s="14" t="s">
        <v>175</v>
      </c>
      <c r="E147" s="15" t="s">
        <v>968</v>
      </c>
      <c r="F147" s="17" t="s">
        <v>1135</v>
      </c>
      <c r="G147" s="17" t="s">
        <v>1362</v>
      </c>
      <c r="H147" s="17" t="s">
        <v>544</v>
      </c>
      <c r="I147" s="14" t="s">
        <v>422</v>
      </c>
      <c r="J147" s="73" t="s">
        <v>1363</v>
      </c>
      <c r="K147" s="20">
        <v>43564</v>
      </c>
      <c r="L147" s="32">
        <v>44173</v>
      </c>
      <c r="M147" s="21">
        <f t="shared" si="210"/>
        <v>85.000000984188233</v>
      </c>
      <c r="N147" s="14">
        <v>3</v>
      </c>
      <c r="O147" s="14" t="s">
        <v>303</v>
      </c>
      <c r="P147" s="14" t="s">
        <v>544</v>
      </c>
      <c r="Q147" s="42" t="s">
        <v>212</v>
      </c>
      <c r="R147" s="14" t="s">
        <v>36</v>
      </c>
      <c r="S147" s="25">
        <f t="shared" si="211"/>
        <v>431827.97</v>
      </c>
      <c r="T147" s="23">
        <v>431827.97</v>
      </c>
      <c r="U147" s="23">
        <v>0</v>
      </c>
      <c r="V147" s="25">
        <f t="shared" si="150"/>
        <v>66044.27</v>
      </c>
      <c r="W147" s="23">
        <v>66044.27</v>
      </c>
      <c r="X147" s="23">
        <v>0</v>
      </c>
      <c r="Y147" s="25">
        <f t="shared" si="212"/>
        <v>10160.66</v>
      </c>
      <c r="Z147" s="29">
        <v>10160.66</v>
      </c>
      <c r="AA147" s="29">
        <v>0</v>
      </c>
      <c r="AB147" s="23">
        <f t="shared" si="152"/>
        <v>0</v>
      </c>
      <c r="AC147" s="172">
        <v>0</v>
      </c>
      <c r="AD147" s="172">
        <v>0</v>
      </c>
      <c r="AE147" s="23">
        <f t="shared" si="213"/>
        <v>508032.89999999997</v>
      </c>
      <c r="AF147" s="29">
        <v>0</v>
      </c>
      <c r="AG147" s="26">
        <f t="shared" si="195"/>
        <v>508032.89999999997</v>
      </c>
      <c r="AH147" s="27" t="s">
        <v>585</v>
      </c>
      <c r="AI147" s="34"/>
      <c r="AJ147" s="38">
        <v>0</v>
      </c>
      <c r="AK147" s="38">
        <v>0</v>
      </c>
    </row>
    <row r="148" spans="1:37" ht="141.75" x14ac:dyDescent="0.25">
      <c r="A148" s="12">
        <v>144</v>
      </c>
      <c r="B148" s="13">
        <v>129261</v>
      </c>
      <c r="C148" s="18">
        <v>648</v>
      </c>
      <c r="D148" s="14" t="s">
        <v>163</v>
      </c>
      <c r="E148" s="15" t="s">
        <v>968</v>
      </c>
      <c r="F148" s="17" t="s">
        <v>1417</v>
      </c>
      <c r="G148" s="56" t="s">
        <v>1507</v>
      </c>
      <c r="H148" s="17" t="s">
        <v>1506</v>
      </c>
      <c r="I148" s="14" t="s">
        <v>185</v>
      </c>
      <c r="J148" s="17" t="s">
        <v>1508</v>
      </c>
      <c r="K148" s="20">
        <v>43643</v>
      </c>
      <c r="L148" s="32">
        <v>44192</v>
      </c>
      <c r="M148" s="21">
        <f t="shared" si="210"/>
        <v>84.999999897463027</v>
      </c>
      <c r="N148" s="14">
        <v>3</v>
      </c>
      <c r="O148" s="14" t="s">
        <v>303</v>
      </c>
      <c r="P148" s="14" t="s">
        <v>544</v>
      </c>
      <c r="Q148" s="42" t="s">
        <v>212</v>
      </c>
      <c r="R148" s="14" t="s">
        <v>36</v>
      </c>
      <c r="S148" s="25">
        <f t="shared" si="211"/>
        <v>2486907.71</v>
      </c>
      <c r="T148" s="23">
        <v>2486907.71</v>
      </c>
      <c r="U148" s="23">
        <v>0</v>
      </c>
      <c r="V148" s="25">
        <f t="shared" si="150"/>
        <v>380350.59</v>
      </c>
      <c r="W148" s="23">
        <v>380350.59</v>
      </c>
      <c r="X148" s="23">
        <v>0</v>
      </c>
      <c r="Y148" s="25">
        <f t="shared" si="212"/>
        <v>58515.48</v>
      </c>
      <c r="Z148" s="29">
        <v>58515.48</v>
      </c>
      <c r="AA148" s="29">
        <v>0</v>
      </c>
      <c r="AB148" s="23">
        <f t="shared" si="152"/>
        <v>0</v>
      </c>
      <c r="AC148" s="172">
        <v>0</v>
      </c>
      <c r="AD148" s="172">
        <v>0</v>
      </c>
      <c r="AE148" s="23">
        <f t="shared" si="213"/>
        <v>2925773.78</v>
      </c>
      <c r="AF148" s="29">
        <v>0</v>
      </c>
      <c r="AG148" s="26">
        <f t="shared" si="195"/>
        <v>2925773.78</v>
      </c>
      <c r="AH148" s="27" t="s">
        <v>585</v>
      </c>
      <c r="AI148" s="34"/>
      <c r="AJ148" s="38"/>
      <c r="AK148" s="38"/>
    </row>
    <row r="149" spans="1:37" ht="220.5" x14ac:dyDescent="0.25">
      <c r="A149" s="12">
        <v>145</v>
      </c>
      <c r="B149" s="13">
        <v>118062</v>
      </c>
      <c r="C149" s="8">
        <v>421</v>
      </c>
      <c r="D149" s="9" t="s">
        <v>171</v>
      </c>
      <c r="E149" s="15" t="s">
        <v>704</v>
      </c>
      <c r="F149" s="16" t="s">
        <v>610</v>
      </c>
      <c r="G149" s="69" t="s">
        <v>1124</v>
      </c>
      <c r="H149" s="173" t="s">
        <v>1125</v>
      </c>
      <c r="I149" s="9" t="s">
        <v>940</v>
      </c>
      <c r="J149" s="17" t="s">
        <v>1127</v>
      </c>
      <c r="K149" s="20">
        <v>43412</v>
      </c>
      <c r="L149" s="32">
        <v>43807</v>
      </c>
      <c r="M149" s="9">
        <f t="shared" si="210"/>
        <v>85.000007860659679</v>
      </c>
      <c r="N149" s="9">
        <v>6</v>
      </c>
      <c r="O149" s="9" t="s">
        <v>430</v>
      </c>
      <c r="P149" s="9" t="s">
        <v>350</v>
      </c>
      <c r="Q149" s="174" t="s">
        <v>212</v>
      </c>
      <c r="R149" s="69" t="s">
        <v>36</v>
      </c>
      <c r="S149" s="25">
        <f>T149+U149</f>
        <v>308180.27</v>
      </c>
      <c r="T149" s="33">
        <v>308180.27</v>
      </c>
      <c r="U149" s="33">
        <v>0</v>
      </c>
      <c r="V149" s="25">
        <f t="shared" si="150"/>
        <v>47133.4</v>
      </c>
      <c r="W149" s="33">
        <v>47133.4</v>
      </c>
      <c r="X149" s="33">
        <v>0</v>
      </c>
      <c r="Y149" s="57">
        <f>Z149+AA149</f>
        <v>7251.32</v>
      </c>
      <c r="Z149" s="57">
        <v>7251.32</v>
      </c>
      <c r="AA149" s="57">
        <v>0</v>
      </c>
      <c r="AB149" s="23">
        <f t="shared" si="152"/>
        <v>0</v>
      </c>
      <c r="AC149" s="175">
        <v>0</v>
      </c>
      <c r="AD149" s="175">
        <v>0</v>
      </c>
      <c r="AE149" s="23">
        <f t="shared" ref="AE149:AE205" si="214">S149+V149+Y149+AB149</f>
        <v>362564.99000000005</v>
      </c>
      <c r="AF149" s="175">
        <v>0</v>
      </c>
      <c r="AG149" s="26">
        <f t="shared" si="195"/>
        <v>362564.99000000005</v>
      </c>
      <c r="AH149" s="27" t="s">
        <v>871</v>
      </c>
      <c r="AI149" s="34" t="s">
        <v>940</v>
      </c>
      <c r="AJ149" s="38">
        <v>6448.1</v>
      </c>
      <c r="AK149" s="1">
        <v>986.18</v>
      </c>
    </row>
    <row r="150" spans="1:37" ht="151.5" customHeight="1" x14ac:dyDescent="0.25">
      <c r="A150" s="14">
        <v>146</v>
      </c>
      <c r="B150" s="14">
        <v>126302</v>
      </c>
      <c r="C150" s="8">
        <v>521</v>
      </c>
      <c r="D150" s="9" t="s">
        <v>177</v>
      </c>
      <c r="E150" s="15" t="s">
        <v>968</v>
      </c>
      <c r="F150" s="17" t="s">
        <v>1135</v>
      </c>
      <c r="G150" s="71" t="s">
        <v>1186</v>
      </c>
      <c r="H150" s="71" t="s">
        <v>348</v>
      </c>
      <c r="I150" s="18" t="s">
        <v>185</v>
      </c>
      <c r="J150" s="19" t="s">
        <v>1187</v>
      </c>
      <c r="K150" s="20">
        <v>43447</v>
      </c>
      <c r="L150" s="32">
        <v>44360</v>
      </c>
      <c r="M150" s="21">
        <f>S150/AE150*100</f>
        <v>85.000000283587156</v>
      </c>
      <c r="N150" s="14">
        <v>6</v>
      </c>
      <c r="O150" s="9" t="s">
        <v>430</v>
      </c>
      <c r="P150" s="14" t="s">
        <v>350</v>
      </c>
      <c r="Q150" s="22" t="s">
        <v>212</v>
      </c>
      <c r="R150" s="14" t="s">
        <v>36</v>
      </c>
      <c r="S150" s="25">
        <f>T150+U150</f>
        <v>2697583.52</v>
      </c>
      <c r="T150" s="23">
        <v>2697583.52</v>
      </c>
      <c r="U150" s="23">
        <v>0</v>
      </c>
      <c r="V150" s="25">
        <f>W150+X150</f>
        <v>412571.59</v>
      </c>
      <c r="W150" s="23">
        <v>412571.59</v>
      </c>
      <c r="X150" s="23">
        <v>0</v>
      </c>
      <c r="Y150" s="25">
        <f>Z150+AA150</f>
        <v>63472.55</v>
      </c>
      <c r="Z150" s="23">
        <v>63472.55</v>
      </c>
      <c r="AA150" s="1">
        <v>0</v>
      </c>
      <c r="AB150" s="23">
        <f>AC150+AD150</f>
        <v>0</v>
      </c>
      <c r="AC150" s="23">
        <v>0</v>
      </c>
      <c r="AD150" s="23">
        <v>0</v>
      </c>
      <c r="AE150" s="23">
        <f>S150+V150+Y150+AB150</f>
        <v>3173627.6599999997</v>
      </c>
      <c r="AF150" s="23">
        <v>44744</v>
      </c>
      <c r="AG150" s="26">
        <f t="shared" si="195"/>
        <v>3218371.6599999997</v>
      </c>
      <c r="AH150" s="27" t="s">
        <v>585</v>
      </c>
      <c r="AI150" s="34"/>
      <c r="AJ150" s="38">
        <v>317362.76</v>
      </c>
      <c r="AK150" s="1">
        <v>0</v>
      </c>
    </row>
    <row r="151" spans="1:37" ht="409.5" x14ac:dyDescent="0.25">
      <c r="A151" s="12">
        <v>147</v>
      </c>
      <c r="B151" s="7">
        <v>126243</v>
      </c>
      <c r="C151" s="8">
        <v>549</v>
      </c>
      <c r="D151" s="9" t="s">
        <v>175</v>
      </c>
      <c r="E151" s="18" t="s">
        <v>968</v>
      </c>
      <c r="F151" s="14" t="s">
        <v>1135</v>
      </c>
      <c r="G151" s="71" t="s">
        <v>1348</v>
      </c>
      <c r="H151" s="71" t="s">
        <v>1125</v>
      </c>
      <c r="I151" s="18" t="s">
        <v>422</v>
      </c>
      <c r="J151" s="71" t="s">
        <v>1349</v>
      </c>
      <c r="K151" s="20">
        <v>43556</v>
      </c>
      <c r="L151" s="32">
        <v>44316</v>
      </c>
      <c r="M151" s="9">
        <f t="shared" si="210"/>
        <v>84.9999995883324</v>
      </c>
      <c r="N151" s="9">
        <v>6</v>
      </c>
      <c r="O151" s="9" t="s">
        <v>430</v>
      </c>
      <c r="P151" s="9" t="s">
        <v>354</v>
      </c>
      <c r="Q151" s="9" t="s">
        <v>212</v>
      </c>
      <c r="R151" s="14" t="s">
        <v>1158</v>
      </c>
      <c r="S151" s="25">
        <f>T151+U151</f>
        <v>2477727.14</v>
      </c>
      <c r="T151" s="23">
        <v>2477727.14</v>
      </c>
      <c r="U151" s="23">
        <v>0</v>
      </c>
      <c r="V151" s="25">
        <f t="shared" si="150"/>
        <v>378946.5</v>
      </c>
      <c r="W151" s="23">
        <v>378946.5</v>
      </c>
      <c r="X151" s="23">
        <v>0</v>
      </c>
      <c r="Y151" s="25">
        <f>Z151+AA151</f>
        <v>58299.48</v>
      </c>
      <c r="Z151" s="23">
        <v>58299.48</v>
      </c>
      <c r="AA151" s="23">
        <v>0</v>
      </c>
      <c r="AB151" s="23">
        <f t="shared" si="152"/>
        <v>0</v>
      </c>
      <c r="AC151" s="23">
        <v>0</v>
      </c>
      <c r="AD151" s="23">
        <v>0</v>
      </c>
      <c r="AE151" s="23">
        <f t="shared" si="214"/>
        <v>2914973.12</v>
      </c>
      <c r="AF151" s="23">
        <v>16660</v>
      </c>
      <c r="AG151" s="26">
        <f t="shared" si="195"/>
        <v>2931633.12</v>
      </c>
      <c r="AH151" s="27" t="s">
        <v>585</v>
      </c>
      <c r="AI151" s="34"/>
      <c r="AJ151" s="1">
        <v>0</v>
      </c>
      <c r="AK151" s="1">
        <v>0</v>
      </c>
    </row>
    <row r="152" spans="1:37" ht="220.5" x14ac:dyDescent="0.25">
      <c r="A152" s="12">
        <v>148</v>
      </c>
      <c r="B152" s="13">
        <v>119377</v>
      </c>
      <c r="C152" s="8">
        <v>463</v>
      </c>
      <c r="D152" s="9" t="s">
        <v>171</v>
      </c>
      <c r="E152" s="18" t="s">
        <v>1041</v>
      </c>
      <c r="F152" s="14" t="s">
        <v>542</v>
      </c>
      <c r="G152" s="69" t="s">
        <v>945</v>
      </c>
      <c r="H152" s="176" t="s">
        <v>942</v>
      </c>
      <c r="I152" s="9" t="s">
        <v>940</v>
      </c>
      <c r="J152" s="17" t="s">
        <v>943</v>
      </c>
      <c r="K152" s="20">
        <v>43332</v>
      </c>
      <c r="L152" s="32">
        <v>43819</v>
      </c>
      <c r="M152" s="18">
        <f t="shared" si="210"/>
        <v>85.000001900439869</v>
      </c>
      <c r="N152" s="18">
        <v>6</v>
      </c>
      <c r="O152" s="18" t="s">
        <v>431</v>
      </c>
      <c r="P152" s="18" t="s">
        <v>944</v>
      </c>
      <c r="Q152" s="18" t="s">
        <v>212</v>
      </c>
      <c r="R152" s="69" t="s">
        <v>36</v>
      </c>
      <c r="S152" s="25">
        <f t="shared" ref="S152" si="215">T152+U152</f>
        <v>313085.42</v>
      </c>
      <c r="T152" s="23">
        <v>313085.42</v>
      </c>
      <c r="U152" s="23">
        <v>0</v>
      </c>
      <c r="V152" s="25">
        <f t="shared" si="150"/>
        <v>47883.64</v>
      </c>
      <c r="W152" s="23">
        <v>47883.64</v>
      </c>
      <c r="X152" s="23">
        <v>0</v>
      </c>
      <c r="Y152" s="29">
        <f>Z152+AA152</f>
        <v>7366.72</v>
      </c>
      <c r="Z152" s="29">
        <v>7366.72</v>
      </c>
      <c r="AA152" s="29">
        <v>0</v>
      </c>
      <c r="AB152" s="23">
        <f t="shared" si="152"/>
        <v>0</v>
      </c>
      <c r="AC152" s="37">
        <v>0</v>
      </c>
      <c r="AD152" s="37">
        <v>0</v>
      </c>
      <c r="AE152" s="23">
        <f t="shared" si="214"/>
        <v>368335.77999999997</v>
      </c>
      <c r="AF152" s="57">
        <v>4938.5</v>
      </c>
      <c r="AG152" s="26">
        <f t="shared" si="195"/>
        <v>373274.27999999997</v>
      </c>
      <c r="AH152" s="27" t="s">
        <v>871</v>
      </c>
      <c r="AI152" s="34" t="s">
        <v>185</v>
      </c>
      <c r="AJ152" s="29">
        <f>21878.75+1547.93</f>
        <v>23426.68</v>
      </c>
      <c r="AK152" s="29">
        <f>3346.16+236.74</f>
        <v>3582.8999999999996</v>
      </c>
    </row>
    <row r="153" spans="1:37" ht="252" x14ac:dyDescent="0.25">
      <c r="A153" s="14">
        <v>149</v>
      </c>
      <c r="B153" s="13">
        <v>126124</v>
      </c>
      <c r="C153" s="8">
        <v>532</v>
      </c>
      <c r="D153" s="9" t="s">
        <v>174</v>
      </c>
      <c r="E153" s="18" t="s">
        <v>968</v>
      </c>
      <c r="F153" s="14" t="s">
        <v>1135</v>
      </c>
      <c r="G153" s="69" t="s">
        <v>1216</v>
      </c>
      <c r="H153" s="176" t="s">
        <v>942</v>
      </c>
      <c r="I153" s="9" t="s">
        <v>940</v>
      </c>
      <c r="J153" s="17" t="s">
        <v>1217</v>
      </c>
      <c r="K153" s="20">
        <v>43462</v>
      </c>
      <c r="L153" s="32">
        <v>44375</v>
      </c>
      <c r="M153" s="18">
        <f t="shared" ref="M153" si="216">S153/AE153*100</f>
        <v>84.999999694403598</v>
      </c>
      <c r="N153" s="18">
        <v>6</v>
      </c>
      <c r="O153" s="18" t="s">
        <v>431</v>
      </c>
      <c r="P153" s="18" t="s">
        <v>944</v>
      </c>
      <c r="Q153" s="18" t="s">
        <v>212</v>
      </c>
      <c r="R153" s="69" t="s">
        <v>36</v>
      </c>
      <c r="S153" s="25">
        <f t="shared" ref="S153" si="217">T153+U153</f>
        <v>2086084.74</v>
      </c>
      <c r="T153" s="23">
        <v>2086084.74</v>
      </c>
      <c r="U153" s="23">
        <v>0</v>
      </c>
      <c r="V153" s="25">
        <f t="shared" ref="V153" si="218">W153+X153</f>
        <v>319048.28000000003</v>
      </c>
      <c r="W153" s="23">
        <v>319048.28000000003</v>
      </c>
      <c r="X153" s="23">
        <v>0</v>
      </c>
      <c r="Y153" s="29">
        <f>Z153+AA153</f>
        <v>49084.33</v>
      </c>
      <c r="Z153" s="29">
        <v>49084.33</v>
      </c>
      <c r="AA153" s="29">
        <v>0</v>
      </c>
      <c r="AB153" s="23">
        <f t="shared" ref="AB153" si="219">AC153+AD153</f>
        <v>0</v>
      </c>
      <c r="AC153" s="37">
        <v>0</v>
      </c>
      <c r="AD153" s="37">
        <v>0</v>
      </c>
      <c r="AE153" s="23">
        <f t="shared" ref="AE153" si="220">S153+V153+Y153+AB153</f>
        <v>2454217.35</v>
      </c>
      <c r="AF153" s="57">
        <v>0</v>
      </c>
      <c r="AG153" s="26">
        <f t="shared" si="195"/>
        <v>2454217.35</v>
      </c>
      <c r="AH153" s="27" t="s">
        <v>871</v>
      </c>
      <c r="AI153" s="34" t="s">
        <v>185</v>
      </c>
      <c r="AJ153" s="29">
        <v>0</v>
      </c>
      <c r="AK153" s="29">
        <v>0</v>
      </c>
    </row>
    <row r="154" spans="1:37" ht="150.75" customHeight="1" x14ac:dyDescent="0.25">
      <c r="A154" s="12">
        <v>150</v>
      </c>
      <c r="B154" s="14">
        <v>118759</v>
      </c>
      <c r="C154" s="8">
        <v>439</v>
      </c>
      <c r="D154" s="9" t="s">
        <v>1320</v>
      </c>
      <c r="E154" s="15" t="s">
        <v>704</v>
      </c>
      <c r="F154" s="15" t="s">
        <v>610</v>
      </c>
      <c r="G154" s="69" t="s">
        <v>805</v>
      </c>
      <c r="H154" s="17" t="s">
        <v>806</v>
      </c>
      <c r="I154" s="14" t="s">
        <v>807</v>
      </c>
      <c r="J154" s="17" t="s">
        <v>808</v>
      </c>
      <c r="K154" s="20">
        <v>43304</v>
      </c>
      <c r="L154" s="32">
        <v>43792</v>
      </c>
      <c r="M154" s="21">
        <f>S154/AE154*100</f>
        <v>84.213980856539493</v>
      </c>
      <c r="N154" s="69">
        <v>7</v>
      </c>
      <c r="O154" s="69" t="s">
        <v>809</v>
      </c>
      <c r="P154" s="69" t="s">
        <v>809</v>
      </c>
      <c r="Q154" s="69" t="s">
        <v>212</v>
      </c>
      <c r="R154" s="69" t="s">
        <v>36</v>
      </c>
      <c r="S154" s="25">
        <f t="shared" ref="S154" si="221">T154+U154</f>
        <v>288260.65000000002</v>
      </c>
      <c r="T154" s="177">
        <v>288260.65000000002</v>
      </c>
      <c r="U154" s="122">
        <v>0</v>
      </c>
      <c r="V154" s="25">
        <v>47188.93</v>
      </c>
      <c r="W154" s="122">
        <v>47188.93</v>
      </c>
      <c r="X154" s="122" t="s">
        <v>812</v>
      </c>
      <c r="Y154" s="25">
        <v>6845.9</v>
      </c>
      <c r="Z154" s="122">
        <v>6845.9</v>
      </c>
      <c r="AA154" s="122" t="s">
        <v>812</v>
      </c>
      <c r="AB154" s="23">
        <f t="shared" ref="AB154:AB201" si="222">AC154+AD154</f>
        <v>0</v>
      </c>
      <c r="AC154" s="37"/>
      <c r="AD154" s="37"/>
      <c r="AE154" s="23">
        <f>S154+V154+Y154+AB154</f>
        <v>342295.48000000004</v>
      </c>
      <c r="AF154" s="34"/>
      <c r="AG154" s="26">
        <f t="shared" si="195"/>
        <v>342295.48000000004</v>
      </c>
      <c r="AH154" s="27" t="s">
        <v>585</v>
      </c>
      <c r="AI154" s="28" t="s">
        <v>185</v>
      </c>
      <c r="AJ154" s="29">
        <f>34229.54+12542.88+12551.87+33546.82</f>
        <v>92871.11</v>
      </c>
      <c r="AK154" s="29">
        <f>2950.38+2215.05+10126.08</f>
        <v>15291.51</v>
      </c>
    </row>
    <row r="155" spans="1:37" ht="139.5" customHeight="1" x14ac:dyDescent="0.25">
      <c r="A155" s="12">
        <v>151</v>
      </c>
      <c r="B155" s="7">
        <v>119841</v>
      </c>
      <c r="C155" s="8">
        <v>477</v>
      </c>
      <c r="D155" s="9" t="s">
        <v>843</v>
      </c>
      <c r="E155" s="18" t="s">
        <v>1041</v>
      </c>
      <c r="F155" s="15" t="s">
        <v>542</v>
      </c>
      <c r="G155" s="15" t="s">
        <v>826</v>
      </c>
      <c r="H155" s="17" t="s">
        <v>806</v>
      </c>
      <c r="I155" s="14" t="s">
        <v>807</v>
      </c>
      <c r="J155" s="15" t="s">
        <v>827</v>
      </c>
      <c r="K155" s="20">
        <v>43304</v>
      </c>
      <c r="L155" s="32">
        <v>43792</v>
      </c>
      <c r="M155" s="21">
        <f>S155/AE155*100</f>
        <v>84.227561665534452</v>
      </c>
      <c r="N155" s="69">
        <v>7</v>
      </c>
      <c r="O155" s="69" t="s">
        <v>809</v>
      </c>
      <c r="P155" s="69" t="s">
        <v>809</v>
      </c>
      <c r="Q155" s="69" t="s">
        <v>212</v>
      </c>
      <c r="R155" s="14" t="s">
        <v>36</v>
      </c>
      <c r="S155" s="25">
        <f>T155+U155</f>
        <v>486941.45</v>
      </c>
      <c r="T155" s="1">
        <v>486941.45</v>
      </c>
      <c r="U155" s="64">
        <v>0</v>
      </c>
      <c r="V155" s="25">
        <f t="shared" ref="V155:V181" si="223">W155+X155</f>
        <v>79622</v>
      </c>
      <c r="W155" s="99">
        <v>79622</v>
      </c>
      <c r="X155" s="64">
        <v>0</v>
      </c>
      <c r="Y155" s="25">
        <v>11562.57</v>
      </c>
      <c r="Z155" s="29">
        <v>11562.57</v>
      </c>
      <c r="AA155" s="64">
        <v>0</v>
      </c>
      <c r="AB155" s="23">
        <f t="shared" si="222"/>
        <v>0</v>
      </c>
      <c r="AC155" s="37">
        <v>0</v>
      </c>
      <c r="AD155" s="37">
        <v>0</v>
      </c>
      <c r="AE155" s="23">
        <f t="shared" si="214"/>
        <v>578126.0199999999</v>
      </c>
      <c r="AF155" s="34"/>
      <c r="AG155" s="26">
        <f t="shared" si="195"/>
        <v>578126.0199999999</v>
      </c>
      <c r="AH155" s="27" t="s">
        <v>585</v>
      </c>
      <c r="AI155" s="28" t="s">
        <v>185</v>
      </c>
      <c r="AJ155" s="1">
        <f>55280.09+14628.07+12852.81+21538.21-3653.49+43635.51</f>
        <v>144281.19999999998</v>
      </c>
      <c r="AK155" s="29">
        <f>2532.51+2255.31+2268.14+3800.86+3653.49+5711.67</f>
        <v>20221.98</v>
      </c>
    </row>
    <row r="156" spans="1:37" ht="288.75" customHeight="1" x14ac:dyDescent="0.25">
      <c r="A156" s="14">
        <v>152</v>
      </c>
      <c r="B156" s="7">
        <v>126267</v>
      </c>
      <c r="C156" s="8">
        <v>540</v>
      </c>
      <c r="D156" s="9" t="s">
        <v>171</v>
      </c>
      <c r="E156" s="18" t="s">
        <v>968</v>
      </c>
      <c r="F156" s="14" t="s">
        <v>1135</v>
      </c>
      <c r="G156" s="15" t="s">
        <v>1313</v>
      </c>
      <c r="H156" s="17" t="s">
        <v>1314</v>
      </c>
      <c r="I156" s="14" t="s">
        <v>185</v>
      </c>
      <c r="J156" s="17" t="s">
        <v>1315</v>
      </c>
      <c r="K156" s="20">
        <v>43544</v>
      </c>
      <c r="L156" s="32">
        <v>44459</v>
      </c>
      <c r="M156" s="21">
        <f>S156/AE156*100</f>
        <v>85.000000823943722</v>
      </c>
      <c r="N156" s="69">
        <v>7</v>
      </c>
      <c r="O156" s="69" t="s">
        <v>809</v>
      </c>
      <c r="P156" s="69" t="s">
        <v>809</v>
      </c>
      <c r="Q156" s="69" t="s">
        <v>212</v>
      </c>
      <c r="R156" s="14" t="s">
        <v>36</v>
      </c>
      <c r="S156" s="25">
        <f>T156+U156</f>
        <v>2630640.86</v>
      </c>
      <c r="T156" s="1">
        <v>2630640.86</v>
      </c>
      <c r="U156" s="64">
        <v>0</v>
      </c>
      <c r="V156" s="25">
        <f t="shared" si="223"/>
        <v>402333.28</v>
      </c>
      <c r="W156" s="29">
        <v>402333.28</v>
      </c>
      <c r="X156" s="64">
        <v>0</v>
      </c>
      <c r="Y156" s="25">
        <f>Z156+AA156</f>
        <v>61897.43</v>
      </c>
      <c r="Z156" s="29">
        <v>61897.43</v>
      </c>
      <c r="AA156" s="64">
        <v>0</v>
      </c>
      <c r="AB156" s="23">
        <f t="shared" si="222"/>
        <v>0</v>
      </c>
      <c r="AC156" s="37">
        <v>0</v>
      </c>
      <c r="AD156" s="37">
        <v>0</v>
      </c>
      <c r="AE156" s="23">
        <f t="shared" si="214"/>
        <v>3094871.57</v>
      </c>
      <c r="AF156" s="23">
        <v>7140</v>
      </c>
      <c r="AG156" s="26">
        <f t="shared" si="195"/>
        <v>3102011.57</v>
      </c>
      <c r="AH156" s="27" t="s">
        <v>585</v>
      </c>
      <c r="AI156" s="28" t="s">
        <v>185</v>
      </c>
      <c r="AJ156" s="38">
        <v>0</v>
      </c>
      <c r="AK156" s="29">
        <v>0</v>
      </c>
    </row>
    <row r="157" spans="1:37" ht="262.5" customHeight="1" x14ac:dyDescent="0.25">
      <c r="A157" s="12">
        <v>153</v>
      </c>
      <c r="B157" s="7">
        <v>126475</v>
      </c>
      <c r="C157" s="8">
        <v>563</v>
      </c>
      <c r="D157" s="9" t="s">
        <v>176</v>
      </c>
      <c r="E157" s="18" t="s">
        <v>968</v>
      </c>
      <c r="F157" s="14" t="s">
        <v>1135</v>
      </c>
      <c r="G157" s="15" t="s">
        <v>1317</v>
      </c>
      <c r="H157" s="17" t="s">
        <v>1316</v>
      </c>
      <c r="I157" s="14" t="s">
        <v>807</v>
      </c>
      <c r="J157" s="15" t="s">
        <v>1318</v>
      </c>
      <c r="K157" s="20">
        <v>43546</v>
      </c>
      <c r="L157" s="32">
        <v>44277</v>
      </c>
      <c r="M157" s="21">
        <f>S157/AE157*100</f>
        <v>84.852694687750144</v>
      </c>
      <c r="N157" s="69">
        <v>7</v>
      </c>
      <c r="O157" s="69" t="s">
        <v>809</v>
      </c>
      <c r="P157" s="69" t="s">
        <v>809</v>
      </c>
      <c r="Q157" s="69" t="s">
        <v>212</v>
      </c>
      <c r="R157" s="14" t="s">
        <v>36</v>
      </c>
      <c r="S157" s="25">
        <f>T157+U157</f>
        <v>3141080.48</v>
      </c>
      <c r="T157" s="1">
        <v>3141080.48</v>
      </c>
      <c r="U157" s="64">
        <v>0</v>
      </c>
      <c r="V157" s="25">
        <f t="shared" si="223"/>
        <v>486687.45</v>
      </c>
      <c r="W157" s="99">
        <v>486687.45</v>
      </c>
      <c r="X157" s="64">
        <v>0</v>
      </c>
      <c r="Y157" s="25">
        <f>Z157+AA157</f>
        <v>67620.820000000007</v>
      </c>
      <c r="Z157" s="29">
        <v>67620.820000000007</v>
      </c>
      <c r="AA157" s="64">
        <v>0</v>
      </c>
      <c r="AB157" s="23">
        <f>AC157+AD157</f>
        <v>6415.29</v>
      </c>
      <c r="AC157" s="37">
        <v>6415.29</v>
      </c>
      <c r="AD157" s="37">
        <v>0</v>
      </c>
      <c r="AE157" s="23">
        <f t="shared" si="214"/>
        <v>3701804.04</v>
      </c>
      <c r="AF157" s="34">
        <v>0</v>
      </c>
      <c r="AG157" s="26">
        <f t="shared" si="195"/>
        <v>3701804.04</v>
      </c>
      <c r="AH157" s="27" t="s">
        <v>585</v>
      </c>
      <c r="AI157" s="28" t="s">
        <v>185</v>
      </c>
      <c r="AJ157" s="38">
        <v>32076</v>
      </c>
      <c r="AK157" s="29">
        <v>0</v>
      </c>
    </row>
    <row r="158" spans="1:37" ht="120" x14ac:dyDescent="0.25">
      <c r="A158" s="12">
        <v>154</v>
      </c>
      <c r="B158" s="13">
        <v>117764</v>
      </c>
      <c r="C158" s="18">
        <v>416</v>
      </c>
      <c r="D158" s="14" t="s">
        <v>684</v>
      </c>
      <c r="E158" s="15" t="s">
        <v>704</v>
      </c>
      <c r="F158" s="17" t="s">
        <v>610</v>
      </c>
      <c r="G158" s="17" t="s">
        <v>918</v>
      </c>
      <c r="H158" s="14" t="s">
        <v>919</v>
      </c>
      <c r="I158" s="14" t="s">
        <v>185</v>
      </c>
      <c r="J158" s="14"/>
      <c r="K158" s="20">
        <v>43326</v>
      </c>
      <c r="L158" s="32">
        <v>43813</v>
      </c>
      <c r="M158" s="14">
        <f t="shared" ref="M158" si="224">S158/AE158*100</f>
        <v>85.000000298812211</v>
      </c>
      <c r="N158" s="14">
        <v>1</v>
      </c>
      <c r="O158" s="14" t="s">
        <v>490</v>
      </c>
      <c r="P158" s="14" t="s">
        <v>490</v>
      </c>
      <c r="Q158" s="14" t="s">
        <v>212</v>
      </c>
      <c r="R158" s="69" t="s">
        <v>36</v>
      </c>
      <c r="S158" s="25">
        <f t="shared" ref="S158" si="225">T158+U158</f>
        <v>284459.59000000003</v>
      </c>
      <c r="T158" s="29">
        <v>284459.59000000003</v>
      </c>
      <c r="U158" s="64">
        <v>0</v>
      </c>
      <c r="V158" s="25">
        <f t="shared" si="223"/>
        <v>43505.58</v>
      </c>
      <c r="W158" s="29">
        <v>43505.58</v>
      </c>
      <c r="X158" s="64">
        <v>0</v>
      </c>
      <c r="Y158" s="29">
        <f>Z158+AA158</f>
        <v>6693.17</v>
      </c>
      <c r="Z158" s="29">
        <v>6693.17</v>
      </c>
      <c r="AA158" s="64">
        <v>0</v>
      </c>
      <c r="AB158" s="23">
        <f t="shared" si="222"/>
        <v>0</v>
      </c>
      <c r="AC158" s="43">
        <v>0</v>
      </c>
      <c r="AD158" s="43">
        <v>0</v>
      </c>
      <c r="AE158" s="23">
        <f t="shared" si="214"/>
        <v>334658.34000000003</v>
      </c>
      <c r="AF158" s="99">
        <v>0</v>
      </c>
      <c r="AG158" s="26">
        <f t="shared" si="195"/>
        <v>334658.34000000003</v>
      </c>
      <c r="AH158" s="27" t="s">
        <v>585</v>
      </c>
      <c r="AI158" s="99" t="s">
        <v>185</v>
      </c>
      <c r="AJ158" s="23">
        <f>33465.83-3352.6-821.73</f>
        <v>29291.500000000004</v>
      </c>
      <c r="AK158" s="23">
        <f>3352.6+821.73</f>
        <v>4174.33</v>
      </c>
    </row>
    <row r="159" spans="1:37" ht="159" customHeight="1" x14ac:dyDescent="0.25">
      <c r="A159" s="14">
        <v>155</v>
      </c>
      <c r="B159" s="13">
        <v>110909</v>
      </c>
      <c r="C159" s="8">
        <v>115</v>
      </c>
      <c r="D159" s="14" t="s">
        <v>168</v>
      </c>
      <c r="E159" s="15" t="s">
        <v>968</v>
      </c>
      <c r="F159" s="75" t="s">
        <v>331</v>
      </c>
      <c r="G159" s="69" t="s">
        <v>415</v>
      </c>
      <c r="H159" s="30" t="s">
        <v>414</v>
      </c>
      <c r="I159" s="18" t="s">
        <v>185</v>
      </c>
      <c r="J159" s="19" t="s">
        <v>416</v>
      </c>
      <c r="K159" s="20">
        <v>43214</v>
      </c>
      <c r="L159" s="32">
        <v>43701</v>
      </c>
      <c r="M159" s="21">
        <f t="shared" ref="M159:M160" si="226">S159/AE159*100</f>
        <v>85.000000000000014</v>
      </c>
      <c r="N159" s="14">
        <v>3</v>
      </c>
      <c r="O159" s="14" t="s">
        <v>417</v>
      </c>
      <c r="P159" s="14" t="s">
        <v>426</v>
      </c>
      <c r="Q159" s="22" t="s">
        <v>212</v>
      </c>
      <c r="R159" s="18" t="s">
        <v>36</v>
      </c>
      <c r="S159" s="25">
        <f t="shared" ref="S159:S161" si="227">T159+U159</f>
        <v>349633.9</v>
      </c>
      <c r="T159" s="178">
        <v>349633.9</v>
      </c>
      <c r="U159" s="64">
        <v>0</v>
      </c>
      <c r="V159" s="25">
        <f t="shared" si="223"/>
        <v>53473.42</v>
      </c>
      <c r="W159" s="179">
        <v>53473.42</v>
      </c>
      <c r="X159" s="64">
        <v>0</v>
      </c>
      <c r="Y159" s="25">
        <f t="shared" ref="Y159:Y161" si="228">Z159+AA159</f>
        <v>8226.68</v>
      </c>
      <c r="Z159" s="179">
        <v>8226.68</v>
      </c>
      <c r="AA159" s="64">
        <v>0</v>
      </c>
      <c r="AB159" s="23">
        <f t="shared" si="222"/>
        <v>0</v>
      </c>
      <c r="AC159" s="180">
        <v>0</v>
      </c>
      <c r="AD159" s="180">
        <v>0</v>
      </c>
      <c r="AE159" s="23">
        <f t="shared" si="214"/>
        <v>411334</v>
      </c>
      <c r="AF159" s="23">
        <v>0</v>
      </c>
      <c r="AG159" s="26">
        <f t="shared" si="195"/>
        <v>411334</v>
      </c>
      <c r="AH159" s="27" t="s">
        <v>585</v>
      </c>
      <c r="AI159" s="28" t="s">
        <v>185</v>
      </c>
      <c r="AJ159" s="1">
        <f>41133.4+12089.93+41133.4-2141.81-1436.89</f>
        <v>90778.030000000013</v>
      </c>
      <c r="AK159" s="29">
        <f>8140.04+2141.81+1436.89</f>
        <v>11718.74</v>
      </c>
    </row>
    <row r="160" spans="1:37" ht="315" x14ac:dyDescent="0.25">
      <c r="A160" s="12">
        <v>156</v>
      </c>
      <c r="B160" s="13">
        <v>126118</v>
      </c>
      <c r="C160" s="8">
        <v>530</v>
      </c>
      <c r="D160" s="14" t="s">
        <v>175</v>
      </c>
      <c r="E160" s="15" t="s">
        <v>1188</v>
      </c>
      <c r="F160" s="75" t="s">
        <v>1135</v>
      </c>
      <c r="G160" s="69" t="s">
        <v>1189</v>
      </c>
      <c r="H160" s="69" t="s">
        <v>1190</v>
      </c>
      <c r="I160" s="18" t="s">
        <v>422</v>
      </c>
      <c r="J160" s="19" t="s">
        <v>1191</v>
      </c>
      <c r="K160" s="20">
        <v>43447</v>
      </c>
      <c r="L160" s="32">
        <v>44116</v>
      </c>
      <c r="M160" s="21">
        <f t="shared" si="226"/>
        <v>85.000000836129914</v>
      </c>
      <c r="N160" s="9">
        <v>3</v>
      </c>
      <c r="O160" s="14" t="s">
        <v>417</v>
      </c>
      <c r="P160" s="14" t="s">
        <v>417</v>
      </c>
      <c r="Q160" s="22" t="s">
        <v>212</v>
      </c>
      <c r="R160" s="18" t="s">
        <v>36</v>
      </c>
      <c r="S160" s="25">
        <f t="shared" si="227"/>
        <v>813270.76</v>
      </c>
      <c r="T160" s="178">
        <v>813270.76</v>
      </c>
      <c r="U160" s="64">
        <v>0</v>
      </c>
      <c r="V160" s="25">
        <f t="shared" si="223"/>
        <v>124382.58</v>
      </c>
      <c r="W160" s="179">
        <v>124382.58</v>
      </c>
      <c r="X160" s="179">
        <v>0</v>
      </c>
      <c r="Y160" s="25">
        <f t="shared" si="228"/>
        <v>19135.78</v>
      </c>
      <c r="Z160" s="179">
        <v>19135.78</v>
      </c>
      <c r="AA160" s="179">
        <v>0</v>
      </c>
      <c r="AB160" s="23">
        <f t="shared" si="222"/>
        <v>0</v>
      </c>
      <c r="AC160" s="26">
        <v>0</v>
      </c>
      <c r="AD160" s="26">
        <v>0</v>
      </c>
      <c r="AE160" s="23">
        <f t="shared" si="214"/>
        <v>956789.12</v>
      </c>
      <c r="AF160" s="34"/>
      <c r="AG160" s="26">
        <f t="shared" si="195"/>
        <v>956789.12</v>
      </c>
      <c r="AH160" s="27" t="s">
        <v>871</v>
      </c>
      <c r="AI160" s="34"/>
      <c r="AJ160" s="1">
        <v>39091.35</v>
      </c>
      <c r="AK160" s="1">
        <v>5978.68</v>
      </c>
    </row>
    <row r="161" spans="1:37" ht="362.25" x14ac:dyDescent="0.25">
      <c r="A161" s="12">
        <v>157</v>
      </c>
      <c r="B161" s="13">
        <v>129759</v>
      </c>
      <c r="C161" s="8">
        <v>675</v>
      </c>
      <c r="D161" s="14" t="s">
        <v>177</v>
      </c>
      <c r="E161" s="15" t="s">
        <v>1188</v>
      </c>
      <c r="F161" s="75" t="s">
        <v>1417</v>
      </c>
      <c r="G161" s="181" t="s">
        <v>1462</v>
      </c>
      <c r="H161" s="69" t="s">
        <v>1478</v>
      </c>
      <c r="I161" s="18" t="s">
        <v>422</v>
      </c>
      <c r="J161" s="19" t="s">
        <v>1463</v>
      </c>
      <c r="K161" s="20">
        <v>43622</v>
      </c>
      <c r="L161" s="32">
        <v>44261</v>
      </c>
      <c r="M161" s="21">
        <f t="shared" ref="M161" si="229">S161/AE161*100</f>
        <v>85.000000231937065</v>
      </c>
      <c r="N161" s="9">
        <v>3</v>
      </c>
      <c r="O161" s="14" t="s">
        <v>417</v>
      </c>
      <c r="P161" s="14" t="s">
        <v>417</v>
      </c>
      <c r="Q161" s="22" t="s">
        <v>212</v>
      </c>
      <c r="R161" s="18" t="s">
        <v>1158</v>
      </c>
      <c r="S161" s="25">
        <f t="shared" si="227"/>
        <v>3298308.61</v>
      </c>
      <c r="T161" s="178">
        <v>3298308.61</v>
      </c>
      <c r="U161" s="64">
        <v>0</v>
      </c>
      <c r="V161" s="25">
        <f t="shared" si="223"/>
        <v>504447.19</v>
      </c>
      <c r="W161" s="179">
        <v>504447.19</v>
      </c>
      <c r="X161" s="179">
        <v>0</v>
      </c>
      <c r="Y161" s="25">
        <f t="shared" si="228"/>
        <v>77607.259999999995</v>
      </c>
      <c r="Z161" s="179">
        <v>77607.259999999995</v>
      </c>
      <c r="AA161" s="179">
        <v>0</v>
      </c>
      <c r="AB161" s="23">
        <f t="shared" si="222"/>
        <v>0</v>
      </c>
      <c r="AC161" s="26">
        <v>0</v>
      </c>
      <c r="AD161" s="26">
        <v>0</v>
      </c>
      <c r="AE161" s="23">
        <f t="shared" si="214"/>
        <v>3880363.0599999996</v>
      </c>
      <c r="AF161" s="34"/>
      <c r="AG161" s="26">
        <f t="shared" si="195"/>
        <v>3880363.0599999996</v>
      </c>
      <c r="AH161" s="27" t="s">
        <v>871</v>
      </c>
      <c r="AI161" s="34"/>
      <c r="AJ161" s="1"/>
      <c r="AK161" s="1"/>
    </row>
    <row r="162" spans="1:37" ht="267.75" x14ac:dyDescent="0.25">
      <c r="A162" s="14">
        <v>158</v>
      </c>
      <c r="B162" s="13">
        <v>129754</v>
      </c>
      <c r="C162" s="8">
        <v>674</v>
      </c>
      <c r="D162" s="14" t="s">
        <v>174</v>
      </c>
      <c r="E162" s="15" t="s">
        <v>1188</v>
      </c>
      <c r="F162" s="75" t="s">
        <v>1417</v>
      </c>
      <c r="G162" s="181" t="s">
        <v>1476</v>
      </c>
      <c r="H162" s="69" t="s">
        <v>1190</v>
      </c>
      <c r="I162" s="18" t="s">
        <v>422</v>
      </c>
      <c r="J162" s="19" t="s">
        <v>1477</v>
      </c>
      <c r="K162" s="20">
        <v>43634</v>
      </c>
      <c r="L162" s="32">
        <v>44245</v>
      </c>
      <c r="M162" s="21">
        <f t="shared" ref="M162:M167" si="230">S162/AE162*100</f>
        <v>85.000000138264667</v>
      </c>
      <c r="N162" s="9">
        <v>3</v>
      </c>
      <c r="O162" s="14" t="s">
        <v>417</v>
      </c>
      <c r="P162" s="14" t="s">
        <v>417</v>
      </c>
      <c r="Q162" s="22" t="s">
        <v>212</v>
      </c>
      <c r="R162" s="18" t="s">
        <v>1158</v>
      </c>
      <c r="S162" s="25">
        <f t="shared" ref="S162" si="231">T162+U162</f>
        <v>2459052.1800000002</v>
      </c>
      <c r="T162" s="178">
        <v>2459052.1800000002</v>
      </c>
      <c r="U162" s="64">
        <v>0</v>
      </c>
      <c r="V162" s="25">
        <f t="shared" ref="V162" si="232">W162+X162</f>
        <v>376090.33</v>
      </c>
      <c r="W162" s="179">
        <v>376090.33</v>
      </c>
      <c r="X162" s="179">
        <v>0</v>
      </c>
      <c r="Y162" s="25">
        <f t="shared" ref="Y162" si="233">Z162+AA162</f>
        <v>57860.05</v>
      </c>
      <c r="Z162" s="179">
        <v>57860.05</v>
      </c>
      <c r="AA162" s="179">
        <v>0</v>
      </c>
      <c r="AB162" s="23">
        <f t="shared" ref="AB162" si="234">AC162+AD162</f>
        <v>0</v>
      </c>
      <c r="AC162" s="26">
        <v>0</v>
      </c>
      <c r="AD162" s="26">
        <v>0</v>
      </c>
      <c r="AE162" s="23">
        <f t="shared" ref="AE162" si="235">S162+V162+Y162+AB162</f>
        <v>2893002.56</v>
      </c>
      <c r="AF162" s="34">
        <v>0</v>
      </c>
      <c r="AG162" s="26">
        <f t="shared" si="195"/>
        <v>2893002.56</v>
      </c>
      <c r="AH162" s="27" t="s">
        <v>871</v>
      </c>
      <c r="AI162" s="34"/>
      <c r="AJ162" s="1"/>
      <c r="AK162" s="1"/>
    </row>
    <row r="163" spans="1:37" ht="283.5" x14ac:dyDescent="0.25">
      <c r="A163" s="12">
        <v>159</v>
      </c>
      <c r="B163" s="7">
        <v>119235</v>
      </c>
      <c r="C163" s="8">
        <v>479</v>
      </c>
      <c r="D163" s="9" t="s">
        <v>171</v>
      </c>
      <c r="E163" s="18" t="s">
        <v>1041</v>
      </c>
      <c r="F163" s="17" t="s">
        <v>542</v>
      </c>
      <c r="G163" s="17" t="s">
        <v>647</v>
      </c>
      <c r="H163" s="94" t="s">
        <v>648</v>
      </c>
      <c r="I163" s="14" t="s">
        <v>185</v>
      </c>
      <c r="J163" s="17" t="s">
        <v>649</v>
      </c>
      <c r="K163" s="32">
        <v>43276</v>
      </c>
      <c r="L163" s="32">
        <v>43702</v>
      </c>
      <c r="M163" s="45">
        <f t="shared" si="230"/>
        <v>84.999999139224727</v>
      </c>
      <c r="N163" s="69">
        <v>5</v>
      </c>
      <c r="O163" s="69" t="s">
        <v>650</v>
      </c>
      <c r="P163" s="69" t="s">
        <v>651</v>
      </c>
      <c r="Q163" s="69" t="s">
        <v>212</v>
      </c>
      <c r="R163" s="69" t="s">
        <v>546</v>
      </c>
      <c r="S163" s="25">
        <f>T163+U163</f>
        <v>246870.47</v>
      </c>
      <c r="T163" s="29">
        <v>246870.47</v>
      </c>
      <c r="U163" s="64">
        <v>0</v>
      </c>
      <c r="V163" s="25">
        <f>W163+X163</f>
        <v>37756.660000000003</v>
      </c>
      <c r="W163" s="99">
        <v>37756.660000000003</v>
      </c>
      <c r="X163" s="64">
        <v>0</v>
      </c>
      <c r="Y163" s="25">
        <f>Z163+AA163</f>
        <v>5808.72</v>
      </c>
      <c r="Z163" s="29">
        <v>5808.72</v>
      </c>
      <c r="AA163" s="64">
        <v>0</v>
      </c>
      <c r="AB163" s="23">
        <f>AC163+AD163</f>
        <v>0</v>
      </c>
      <c r="AC163" s="182">
        <v>0</v>
      </c>
      <c r="AD163" s="182">
        <v>0</v>
      </c>
      <c r="AE163" s="23">
        <f>S163+V163+Y163+AB163</f>
        <v>290435.84999999998</v>
      </c>
      <c r="AF163" s="34"/>
      <c r="AG163" s="26">
        <f t="shared" si="195"/>
        <v>290435.84999999998</v>
      </c>
      <c r="AH163" s="27" t="s">
        <v>585</v>
      </c>
      <c r="AI163" s="86"/>
      <c r="AJ163" s="1">
        <f>28682+46411.17+11794.6</f>
        <v>86887.77</v>
      </c>
      <c r="AK163" s="29">
        <f>11484.84+1803.88</f>
        <v>13288.720000000001</v>
      </c>
    </row>
    <row r="164" spans="1:37" ht="141.75" x14ac:dyDescent="0.25">
      <c r="A164" s="12">
        <v>160</v>
      </c>
      <c r="B164" s="7">
        <v>119160</v>
      </c>
      <c r="C164" s="8">
        <v>482</v>
      </c>
      <c r="D164" s="9" t="s">
        <v>843</v>
      </c>
      <c r="E164" s="18" t="s">
        <v>1041</v>
      </c>
      <c r="F164" s="17" t="s">
        <v>542</v>
      </c>
      <c r="G164" s="15" t="s">
        <v>818</v>
      </c>
      <c r="H164" s="15" t="s">
        <v>819</v>
      </c>
      <c r="I164" s="14" t="s">
        <v>185</v>
      </c>
      <c r="J164" s="15" t="s">
        <v>820</v>
      </c>
      <c r="K164" s="32">
        <v>43304</v>
      </c>
      <c r="L164" s="32">
        <v>43792</v>
      </c>
      <c r="M164" s="45">
        <f t="shared" si="230"/>
        <v>84.99999840000666</v>
      </c>
      <c r="N164" s="69">
        <v>5</v>
      </c>
      <c r="O164" s="69" t="s">
        <v>650</v>
      </c>
      <c r="P164" s="69" t="s">
        <v>821</v>
      </c>
      <c r="Q164" s="69" t="s">
        <v>212</v>
      </c>
      <c r="R164" s="14" t="s">
        <v>36</v>
      </c>
      <c r="S164" s="25">
        <f>T164+U164</f>
        <v>212500.88</v>
      </c>
      <c r="T164" s="29">
        <v>212500.88</v>
      </c>
      <c r="U164" s="64">
        <v>0</v>
      </c>
      <c r="V164" s="25">
        <f>W164+X164</f>
        <v>32500.1</v>
      </c>
      <c r="W164" s="99">
        <v>32500.1</v>
      </c>
      <c r="X164" s="64">
        <v>0</v>
      </c>
      <c r="Y164" s="25">
        <f>Z164+AA164</f>
        <v>5000.0600000000004</v>
      </c>
      <c r="Z164" s="29">
        <v>5000.0600000000004</v>
      </c>
      <c r="AA164" s="64">
        <v>0</v>
      </c>
      <c r="AB164" s="23">
        <f>AC164+AD164</f>
        <v>0</v>
      </c>
      <c r="AC164" s="37">
        <v>0</v>
      </c>
      <c r="AD164" s="37"/>
      <c r="AE164" s="23">
        <f>S164+V164+Y164+AB164</f>
        <v>250001.04</v>
      </c>
      <c r="AF164" s="34"/>
      <c r="AG164" s="26">
        <f t="shared" si="195"/>
        <v>250001.04</v>
      </c>
      <c r="AH164" s="27" t="s">
        <v>585</v>
      </c>
      <c r="AI164" s="86"/>
      <c r="AJ164" s="1">
        <v>30115.11</v>
      </c>
      <c r="AK164" s="29">
        <v>4605.84</v>
      </c>
    </row>
    <row r="165" spans="1:37" ht="252" x14ac:dyDescent="0.25">
      <c r="A165" s="14">
        <v>161</v>
      </c>
      <c r="B165" s="13">
        <v>117063</v>
      </c>
      <c r="C165" s="18">
        <v>411</v>
      </c>
      <c r="D165" s="14" t="s">
        <v>684</v>
      </c>
      <c r="E165" s="15" t="s">
        <v>704</v>
      </c>
      <c r="F165" s="14" t="s">
        <v>610</v>
      </c>
      <c r="G165" s="15" t="s">
        <v>876</v>
      </c>
      <c r="H165" s="18" t="s">
        <v>819</v>
      </c>
      <c r="I165" s="9" t="s">
        <v>185</v>
      </c>
      <c r="J165" s="15" t="s">
        <v>877</v>
      </c>
      <c r="K165" s="32">
        <v>43313</v>
      </c>
      <c r="L165" s="32">
        <v>43677</v>
      </c>
      <c r="M165" s="45">
        <f t="shared" si="230"/>
        <v>85</v>
      </c>
      <c r="N165" s="18">
        <v>5</v>
      </c>
      <c r="O165" s="18" t="s">
        <v>650</v>
      </c>
      <c r="P165" s="18" t="s">
        <v>821</v>
      </c>
      <c r="Q165" s="18" t="s">
        <v>212</v>
      </c>
      <c r="R165" s="14" t="s">
        <v>546</v>
      </c>
      <c r="S165" s="25">
        <f t="shared" ref="S165:S166" si="236">T165+U165</f>
        <v>213015.1</v>
      </c>
      <c r="T165" s="33">
        <v>213015.1</v>
      </c>
      <c r="U165" s="33">
        <v>0</v>
      </c>
      <c r="V165" s="25">
        <f t="shared" si="223"/>
        <v>32578.78</v>
      </c>
      <c r="W165" s="33">
        <v>32578.78</v>
      </c>
      <c r="X165" s="64">
        <v>0</v>
      </c>
      <c r="Y165" s="25">
        <f t="shared" ref="Y165:Y166" si="237">Z165+AA165</f>
        <v>5012.12</v>
      </c>
      <c r="Z165" s="57">
        <v>5012.12</v>
      </c>
      <c r="AA165" s="57">
        <v>0</v>
      </c>
      <c r="AB165" s="23">
        <f t="shared" si="222"/>
        <v>0</v>
      </c>
      <c r="AC165" s="23">
        <v>0</v>
      </c>
      <c r="AD165" s="23">
        <v>0</v>
      </c>
      <c r="AE165" s="23">
        <f t="shared" si="214"/>
        <v>250606</v>
      </c>
      <c r="AF165" s="34"/>
      <c r="AG165" s="26">
        <f t="shared" si="195"/>
        <v>250606</v>
      </c>
      <c r="AH165" s="27" t="s">
        <v>585</v>
      </c>
      <c r="AI165" s="34"/>
      <c r="AJ165" s="38">
        <v>38751.5</v>
      </c>
      <c r="AK165" s="38">
        <v>5926.7</v>
      </c>
    </row>
    <row r="166" spans="1:37" ht="299.25" x14ac:dyDescent="0.3">
      <c r="A166" s="12">
        <v>162</v>
      </c>
      <c r="B166" s="13">
        <v>126522</v>
      </c>
      <c r="C166" s="18">
        <v>554</v>
      </c>
      <c r="D166" s="14" t="s">
        <v>177</v>
      </c>
      <c r="E166" s="15" t="s">
        <v>1188</v>
      </c>
      <c r="F166" s="75" t="s">
        <v>1135</v>
      </c>
      <c r="G166" s="111" t="s">
        <v>1345</v>
      </c>
      <c r="H166" s="18" t="s">
        <v>1346</v>
      </c>
      <c r="I166" s="9" t="s">
        <v>185</v>
      </c>
      <c r="J166" s="15" t="s">
        <v>1347</v>
      </c>
      <c r="K166" s="32">
        <v>43556</v>
      </c>
      <c r="L166" s="32">
        <v>44440</v>
      </c>
      <c r="M166" s="45">
        <f t="shared" si="230"/>
        <v>85.0000001266326</v>
      </c>
      <c r="N166" s="18">
        <v>5</v>
      </c>
      <c r="O166" s="18" t="s">
        <v>650</v>
      </c>
      <c r="P166" s="18" t="s">
        <v>651</v>
      </c>
      <c r="Q166" s="18" t="s">
        <v>212</v>
      </c>
      <c r="R166" s="14" t="s">
        <v>546</v>
      </c>
      <c r="S166" s="25">
        <f t="shared" si="236"/>
        <v>3356165.93</v>
      </c>
      <c r="T166" s="33">
        <v>3356165.93</v>
      </c>
      <c r="U166" s="33">
        <v>0</v>
      </c>
      <c r="V166" s="25">
        <f t="shared" si="223"/>
        <v>513295.96</v>
      </c>
      <c r="W166" s="33">
        <v>513295.96</v>
      </c>
      <c r="X166" s="64">
        <v>0</v>
      </c>
      <c r="Y166" s="25">
        <f t="shared" si="237"/>
        <v>78968.61</v>
      </c>
      <c r="Z166" s="57">
        <v>78968.61</v>
      </c>
      <c r="AA166" s="57">
        <v>0</v>
      </c>
      <c r="AB166" s="23">
        <v>0</v>
      </c>
      <c r="AC166" s="23">
        <v>0</v>
      </c>
      <c r="AD166" s="23">
        <v>0</v>
      </c>
      <c r="AE166" s="23">
        <f t="shared" si="214"/>
        <v>3948430.5</v>
      </c>
      <c r="AF166" s="34"/>
      <c r="AG166" s="26">
        <f t="shared" si="195"/>
        <v>3948430.5</v>
      </c>
      <c r="AH166" s="27" t="s">
        <v>585</v>
      </c>
      <c r="AI166" s="34"/>
      <c r="AJ166" s="38">
        <v>0</v>
      </c>
      <c r="AK166" s="38">
        <v>0</v>
      </c>
    </row>
    <row r="167" spans="1:37" ht="315" x14ac:dyDescent="0.25">
      <c r="A167" s="12">
        <v>163</v>
      </c>
      <c r="B167" s="13">
        <v>119289</v>
      </c>
      <c r="C167" s="18">
        <v>484</v>
      </c>
      <c r="D167" s="14" t="s">
        <v>684</v>
      </c>
      <c r="E167" s="18" t="s">
        <v>1041</v>
      </c>
      <c r="F167" s="14" t="s">
        <v>542</v>
      </c>
      <c r="G167" s="17" t="s">
        <v>624</v>
      </c>
      <c r="H167" s="17" t="s">
        <v>625</v>
      </c>
      <c r="I167" s="14" t="s">
        <v>349</v>
      </c>
      <c r="J167" s="48" t="s">
        <v>626</v>
      </c>
      <c r="K167" s="20">
        <v>43271</v>
      </c>
      <c r="L167" s="32">
        <v>43758</v>
      </c>
      <c r="M167" s="21">
        <f t="shared" si="230"/>
        <v>85.000003319296809</v>
      </c>
      <c r="N167" s="9">
        <v>3</v>
      </c>
      <c r="O167" s="14" t="s">
        <v>432</v>
      </c>
      <c r="P167" s="14" t="s">
        <v>584</v>
      </c>
      <c r="Q167" s="14" t="s">
        <v>212</v>
      </c>
      <c r="R167" s="14" t="s">
        <v>546</v>
      </c>
      <c r="S167" s="25">
        <f>T167+U167</f>
        <v>332901.85000000009</v>
      </c>
      <c r="T167" s="37">
        <v>332901.85000000009</v>
      </c>
      <c r="U167" s="37">
        <v>0</v>
      </c>
      <c r="V167" s="25">
        <f>W167+X167</f>
        <v>50914.380000000005</v>
      </c>
      <c r="W167" s="37">
        <v>50914.380000000005</v>
      </c>
      <c r="X167" s="37">
        <v>0</v>
      </c>
      <c r="Y167" s="25">
        <f>Z167+AA167</f>
        <v>7832.9900000000016</v>
      </c>
      <c r="Z167" s="29">
        <v>7832.9900000000016</v>
      </c>
      <c r="AA167" s="29">
        <v>0</v>
      </c>
      <c r="AB167" s="23">
        <f>AC167+AD167</f>
        <v>0</v>
      </c>
      <c r="AC167" s="43">
        <v>0</v>
      </c>
      <c r="AD167" s="43">
        <v>0</v>
      </c>
      <c r="AE167" s="23">
        <f>S167+V167+Y167+AB167</f>
        <v>391649.22000000009</v>
      </c>
      <c r="AF167" s="37">
        <v>0</v>
      </c>
      <c r="AG167" s="26">
        <f t="shared" si="195"/>
        <v>391649.22000000009</v>
      </c>
      <c r="AH167" s="27" t="s">
        <v>585</v>
      </c>
      <c r="AI167" s="34"/>
      <c r="AJ167" s="38">
        <f>38381.62-1141.39+34311.47</f>
        <v>71551.700000000012</v>
      </c>
      <c r="AK167" s="29">
        <f>5695.57+5247.64</f>
        <v>10943.21</v>
      </c>
    </row>
    <row r="168" spans="1:37" ht="409.5" x14ac:dyDescent="0.25">
      <c r="A168" s="14">
        <v>164</v>
      </c>
      <c r="B168" s="7">
        <v>118717</v>
      </c>
      <c r="C168" s="8">
        <v>435</v>
      </c>
      <c r="D168" s="9" t="s">
        <v>684</v>
      </c>
      <c r="E168" s="15" t="s">
        <v>704</v>
      </c>
      <c r="F168" s="16" t="s">
        <v>610</v>
      </c>
      <c r="G168" s="17" t="s">
        <v>961</v>
      </c>
      <c r="H168" s="14" t="s">
        <v>625</v>
      </c>
      <c r="I168" s="14" t="s">
        <v>349</v>
      </c>
      <c r="J168" s="19" t="s">
        <v>962</v>
      </c>
      <c r="K168" s="20">
        <v>43333</v>
      </c>
      <c r="L168" s="32">
        <v>43790</v>
      </c>
      <c r="M168" s="21">
        <f t="shared" ref="M168:M169" si="238">S168/AE168*100</f>
        <v>84.999995136543049</v>
      </c>
      <c r="N168" s="18">
        <v>3</v>
      </c>
      <c r="O168" s="14" t="s">
        <v>432</v>
      </c>
      <c r="P168" s="14" t="s">
        <v>584</v>
      </c>
      <c r="Q168" s="14" t="s">
        <v>212</v>
      </c>
      <c r="R168" s="14" t="s">
        <v>546</v>
      </c>
      <c r="S168" s="25">
        <f t="shared" ref="S168:S169" si="239">T168+U168</f>
        <v>227204.63</v>
      </c>
      <c r="T168" s="33">
        <v>227204.63</v>
      </c>
      <c r="U168" s="37">
        <v>0</v>
      </c>
      <c r="V168" s="25">
        <f t="shared" si="223"/>
        <v>34748.959999999999</v>
      </c>
      <c r="W168" s="33">
        <v>34748.959999999999</v>
      </c>
      <c r="X168" s="64">
        <v>0</v>
      </c>
      <c r="Y168" s="25">
        <f t="shared" ref="Y168:Y169" si="240">Z168+AA168</f>
        <v>5345.99</v>
      </c>
      <c r="Z168" s="57">
        <v>5345.99</v>
      </c>
      <c r="AA168" s="57">
        <v>0</v>
      </c>
      <c r="AB168" s="23">
        <f t="shared" si="222"/>
        <v>0</v>
      </c>
      <c r="AC168" s="33"/>
      <c r="AD168" s="33"/>
      <c r="AE168" s="23">
        <f t="shared" si="214"/>
        <v>267299.58</v>
      </c>
      <c r="AF168" s="34">
        <v>37391</v>
      </c>
      <c r="AG168" s="26">
        <f t="shared" si="195"/>
        <v>304690.58</v>
      </c>
      <c r="AH168" s="27" t="s">
        <v>585</v>
      </c>
      <c r="AI168" s="27" t="s">
        <v>1192</v>
      </c>
      <c r="AJ168" s="38">
        <f>26729+12123.33+40308.88</f>
        <v>79161.209999999992</v>
      </c>
      <c r="AK168" s="38">
        <f>5942.12+6164.89</f>
        <v>12107.01</v>
      </c>
    </row>
    <row r="169" spans="1:37" ht="409.5" x14ac:dyDescent="0.25">
      <c r="A169" s="12">
        <v>165</v>
      </c>
      <c r="B169" s="7">
        <v>129688</v>
      </c>
      <c r="C169" s="8">
        <v>686</v>
      </c>
      <c r="D169" s="9" t="s">
        <v>163</v>
      </c>
      <c r="E169" s="15" t="s">
        <v>968</v>
      </c>
      <c r="F169" s="9" t="s">
        <v>1417</v>
      </c>
      <c r="G169" s="17" t="s">
        <v>1433</v>
      </c>
      <c r="H169" s="14" t="s">
        <v>1434</v>
      </c>
      <c r="I169" s="14" t="s">
        <v>349</v>
      </c>
      <c r="J169" s="19" t="s">
        <v>1435</v>
      </c>
      <c r="K169" s="20">
        <v>43614</v>
      </c>
      <c r="L169" s="32">
        <v>44345</v>
      </c>
      <c r="M169" s="21">
        <f t="shared" si="238"/>
        <v>84.999999952929599</v>
      </c>
      <c r="N169" s="18">
        <v>3</v>
      </c>
      <c r="O169" s="14" t="s">
        <v>432</v>
      </c>
      <c r="P169" s="14" t="s">
        <v>584</v>
      </c>
      <c r="Q169" s="14" t="s">
        <v>212</v>
      </c>
      <c r="R169" s="14" t="s">
        <v>546</v>
      </c>
      <c r="S169" s="25">
        <f t="shared" si="239"/>
        <v>2708708.76</v>
      </c>
      <c r="T169" s="33">
        <v>2708708.76</v>
      </c>
      <c r="U169" s="37">
        <v>0</v>
      </c>
      <c r="V169" s="25">
        <f t="shared" si="223"/>
        <v>414273.1</v>
      </c>
      <c r="W169" s="33">
        <v>414273.1</v>
      </c>
      <c r="X169" s="64">
        <v>0</v>
      </c>
      <c r="Y169" s="25">
        <f t="shared" si="240"/>
        <v>63734.33</v>
      </c>
      <c r="Z169" s="57">
        <v>63734.33</v>
      </c>
      <c r="AA169" s="57">
        <v>0</v>
      </c>
      <c r="AB169" s="23">
        <f t="shared" si="222"/>
        <v>0</v>
      </c>
      <c r="AC169" s="57">
        <v>0</v>
      </c>
      <c r="AD169" s="57">
        <v>0</v>
      </c>
      <c r="AE169" s="23">
        <f t="shared" si="214"/>
        <v>3186716.19</v>
      </c>
      <c r="AF169" s="34">
        <v>0</v>
      </c>
      <c r="AG169" s="26">
        <f t="shared" si="195"/>
        <v>3186716.19</v>
      </c>
      <c r="AH169" s="27" t="s">
        <v>585</v>
      </c>
      <c r="AI169" s="34"/>
      <c r="AJ169" s="183"/>
      <c r="AK169" s="34"/>
    </row>
    <row r="170" spans="1:37" ht="362.25" x14ac:dyDescent="0.25">
      <c r="A170" s="12">
        <v>166</v>
      </c>
      <c r="B170" s="13">
        <v>119720</v>
      </c>
      <c r="C170" s="18">
        <v>481</v>
      </c>
      <c r="D170" s="14" t="s">
        <v>684</v>
      </c>
      <c r="E170" s="18" t="s">
        <v>1041</v>
      </c>
      <c r="F170" s="14" t="s">
        <v>542</v>
      </c>
      <c r="G170" s="17" t="s">
        <v>586</v>
      </c>
      <c r="H170" s="17" t="s">
        <v>587</v>
      </c>
      <c r="I170" s="14" t="s">
        <v>349</v>
      </c>
      <c r="J170" s="48" t="s">
        <v>589</v>
      </c>
      <c r="K170" s="20">
        <v>43264</v>
      </c>
      <c r="L170" s="32">
        <v>43903</v>
      </c>
      <c r="M170" s="21">
        <f>S170/AE170*100</f>
        <v>85.00000159999999</v>
      </c>
      <c r="N170" s="9">
        <v>3</v>
      </c>
      <c r="O170" s="14" t="s">
        <v>433</v>
      </c>
      <c r="P170" s="14" t="s">
        <v>588</v>
      </c>
      <c r="Q170" s="14" t="s">
        <v>212</v>
      </c>
      <c r="R170" s="14" t="s">
        <v>546</v>
      </c>
      <c r="S170" s="25">
        <f>T170+U170</f>
        <v>531250.01</v>
      </c>
      <c r="T170" s="37">
        <v>531250.01</v>
      </c>
      <c r="U170" s="37">
        <v>0</v>
      </c>
      <c r="V170" s="25">
        <f>W170+X170</f>
        <v>81249.989999999991</v>
      </c>
      <c r="W170" s="37">
        <v>81249.989999999991</v>
      </c>
      <c r="X170" s="37">
        <v>0</v>
      </c>
      <c r="Y170" s="25">
        <f>Z170+AA170</f>
        <v>12500</v>
      </c>
      <c r="Z170" s="29">
        <v>12500</v>
      </c>
      <c r="AA170" s="29">
        <v>0</v>
      </c>
      <c r="AB170" s="23">
        <f>AC170+AD170</f>
        <v>0</v>
      </c>
      <c r="AC170" s="43">
        <v>0</v>
      </c>
      <c r="AD170" s="43">
        <v>0</v>
      </c>
      <c r="AE170" s="23">
        <f>S170+V170+Y170+AB170</f>
        <v>625000</v>
      </c>
      <c r="AF170" s="37">
        <v>19813.5</v>
      </c>
      <c r="AG170" s="26">
        <f t="shared" si="195"/>
        <v>644813.5</v>
      </c>
      <c r="AH170" s="27" t="s">
        <v>585</v>
      </c>
      <c r="AI170" s="34" t="s">
        <v>1373</v>
      </c>
      <c r="AJ170" s="38">
        <f>37222.35+21641</f>
        <v>58863.35</v>
      </c>
      <c r="AK170" s="29">
        <f>5692.83+3309.8</f>
        <v>9002.630000000001</v>
      </c>
    </row>
    <row r="171" spans="1:37" s="170" customFormat="1" ht="307.5" customHeight="1" x14ac:dyDescent="0.25">
      <c r="A171" s="14">
        <v>167</v>
      </c>
      <c r="B171" s="35">
        <v>118770</v>
      </c>
      <c r="C171" s="18">
        <v>440</v>
      </c>
      <c r="D171" s="18" t="s">
        <v>175</v>
      </c>
      <c r="E171" s="15" t="s">
        <v>704</v>
      </c>
      <c r="F171" s="15" t="s">
        <v>610</v>
      </c>
      <c r="G171" s="15" t="s">
        <v>895</v>
      </c>
      <c r="H171" s="18" t="s">
        <v>896</v>
      </c>
      <c r="I171" s="18" t="s">
        <v>185</v>
      </c>
      <c r="J171" s="15" t="s">
        <v>898</v>
      </c>
      <c r="K171" s="32">
        <v>43318</v>
      </c>
      <c r="L171" s="32">
        <v>43683</v>
      </c>
      <c r="M171" s="45">
        <f t="shared" ref="M171:M173" si="241">S171/AE171*100</f>
        <v>85</v>
      </c>
      <c r="N171" s="18">
        <v>3</v>
      </c>
      <c r="O171" s="18" t="s">
        <v>433</v>
      </c>
      <c r="P171" s="18" t="s">
        <v>897</v>
      </c>
      <c r="Q171" s="18" t="s">
        <v>212</v>
      </c>
      <c r="R171" s="18" t="s">
        <v>546</v>
      </c>
      <c r="S171" s="25">
        <f t="shared" ref="S171:S173" si="242">T171+U171</f>
        <v>254981.3</v>
      </c>
      <c r="T171" s="1">
        <v>254981.3</v>
      </c>
      <c r="U171" s="46">
        <v>0</v>
      </c>
      <c r="V171" s="25">
        <f t="shared" si="223"/>
        <v>38997.14</v>
      </c>
      <c r="W171" s="1">
        <v>38997.14</v>
      </c>
      <c r="X171" s="46">
        <v>0</v>
      </c>
      <c r="Y171" s="25">
        <f t="shared" ref="Y171:Y173" si="243">Z171+AA171</f>
        <v>5999.56</v>
      </c>
      <c r="Z171" s="1">
        <v>5999.56</v>
      </c>
      <c r="AA171" s="1">
        <v>0</v>
      </c>
      <c r="AB171" s="26">
        <f t="shared" si="222"/>
        <v>0</v>
      </c>
      <c r="AC171" s="46">
        <v>0</v>
      </c>
      <c r="AD171" s="46">
        <v>0</v>
      </c>
      <c r="AE171" s="26">
        <f t="shared" si="214"/>
        <v>299978</v>
      </c>
      <c r="AF171" s="27">
        <v>0</v>
      </c>
      <c r="AG171" s="26">
        <f t="shared" si="195"/>
        <v>299978</v>
      </c>
      <c r="AH171" s="27" t="s">
        <v>585</v>
      </c>
      <c r="AI171" s="27" t="s">
        <v>1286</v>
      </c>
      <c r="AJ171" s="38">
        <f>29900+23800.54+29900+16017.04+29900</f>
        <v>129517.58000000002</v>
      </c>
      <c r="AK171" s="38">
        <f>8213.02+7022.61</f>
        <v>15235.630000000001</v>
      </c>
    </row>
    <row r="172" spans="1:37" s="170" customFormat="1" ht="378" x14ac:dyDescent="0.25">
      <c r="A172" s="12">
        <v>168</v>
      </c>
      <c r="B172" s="35">
        <v>126498</v>
      </c>
      <c r="C172" s="18">
        <v>572</v>
      </c>
      <c r="D172" s="18" t="s">
        <v>174</v>
      </c>
      <c r="E172" s="15" t="s">
        <v>968</v>
      </c>
      <c r="F172" s="15" t="s">
        <v>1135</v>
      </c>
      <c r="G172" s="15" t="s">
        <v>1329</v>
      </c>
      <c r="H172" s="18" t="s">
        <v>896</v>
      </c>
      <c r="I172" s="18" t="s">
        <v>185</v>
      </c>
      <c r="J172" s="15" t="s">
        <v>1330</v>
      </c>
      <c r="K172" s="32">
        <v>43552</v>
      </c>
      <c r="L172" s="32">
        <v>44467</v>
      </c>
      <c r="M172" s="45">
        <f t="shared" ref="M172" si="244">S172/AE172*100</f>
        <v>85.000000127055301</v>
      </c>
      <c r="N172" s="18">
        <v>3</v>
      </c>
      <c r="O172" s="18" t="s">
        <v>433</v>
      </c>
      <c r="P172" s="18" t="s">
        <v>897</v>
      </c>
      <c r="Q172" s="18" t="s">
        <v>212</v>
      </c>
      <c r="R172" s="18" t="s">
        <v>546</v>
      </c>
      <c r="S172" s="25">
        <f t="shared" ref="S172" si="245">T172+U172</f>
        <v>3345000.16</v>
      </c>
      <c r="T172" s="1">
        <v>3345000.16</v>
      </c>
      <c r="U172" s="46">
        <v>0</v>
      </c>
      <c r="V172" s="25">
        <f t="shared" ref="V172" si="246">W172+X172</f>
        <v>516462.97</v>
      </c>
      <c r="W172" s="1">
        <v>516462.97</v>
      </c>
      <c r="X172" s="46">
        <v>0</v>
      </c>
      <c r="Y172" s="25">
        <f t="shared" ref="Y172" si="247">Z172+AA172</f>
        <v>73831.17</v>
      </c>
      <c r="Z172" s="1">
        <v>73831.17</v>
      </c>
      <c r="AA172" s="1">
        <v>0</v>
      </c>
      <c r="AB172" s="26">
        <f t="shared" ref="AB172" si="248">AC172+AD172</f>
        <v>0</v>
      </c>
      <c r="AC172" s="46">
        <v>0</v>
      </c>
      <c r="AD172" s="46">
        <v>0</v>
      </c>
      <c r="AE172" s="26">
        <f t="shared" ref="AE172" si="249">S172+V172+Y172+AB172</f>
        <v>3935294.3</v>
      </c>
      <c r="AF172" s="27">
        <v>4974.2</v>
      </c>
      <c r="AG172" s="26">
        <f t="shared" si="195"/>
        <v>3940268.5</v>
      </c>
      <c r="AH172" s="27" t="s">
        <v>585</v>
      </c>
      <c r="AI172" s="27" t="s">
        <v>1286</v>
      </c>
      <c r="AJ172" s="38">
        <v>0</v>
      </c>
      <c r="AK172" s="38">
        <v>0</v>
      </c>
    </row>
    <row r="173" spans="1:37" ht="265.5" customHeight="1" x14ac:dyDescent="0.25">
      <c r="A173" s="12">
        <v>169</v>
      </c>
      <c r="B173" s="35">
        <v>126289</v>
      </c>
      <c r="C173" s="18">
        <v>492</v>
      </c>
      <c r="D173" s="18" t="s">
        <v>175</v>
      </c>
      <c r="E173" s="15" t="s">
        <v>968</v>
      </c>
      <c r="F173" s="15" t="s">
        <v>1135</v>
      </c>
      <c r="G173" s="15" t="s">
        <v>1358</v>
      </c>
      <c r="H173" s="18" t="s">
        <v>1359</v>
      </c>
      <c r="I173" s="18" t="s">
        <v>422</v>
      </c>
      <c r="J173" s="15" t="s">
        <v>1360</v>
      </c>
      <c r="K173" s="20">
        <v>43563</v>
      </c>
      <c r="L173" s="32">
        <v>44476</v>
      </c>
      <c r="M173" s="21">
        <f t="shared" si="241"/>
        <v>85.000000203645214</v>
      </c>
      <c r="N173" s="9">
        <v>3</v>
      </c>
      <c r="O173" s="18" t="s">
        <v>433</v>
      </c>
      <c r="P173" s="18" t="s">
        <v>588</v>
      </c>
      <c r="Q173" s="18" t="s">
        <v>212</v>
      </c>
      <c r="R173" s="18" t="s">
        <v>1361</v>
      </c>
      <c r="S173" s="25">
        <f t="shared" si="242"/>
        <v>2504355.21</v>
      </c>
      <c r="T173" s="23">
        <v>2504355.21</v>
      </c>
      <c r="U173" s="23">
        <v>0</v>
      </c>
      <c r="V173" s="25">
        <f t="shared" si="223"/>
        <v>383019.03</v>
      </c>
      <c r="W173" s="23">
        <v>383019.03</v>
      </c>
      <c r="X173" s="23">
        <v>0</v>
      </c>
      <c r="Y173" s="25">
        <f t="shared" si="243"/>
        <v>58926</v>
      </c>
      <c r="Z173" s="23">
        <v>58926</v>
      </c>
      <c r="AA173" s="23">
        <v>0</v>
      </c>
      <c r="AB173" s="23">
        <f t="shared" si="222"/>
        <v>0</v>
      </c>
      <c r="AC173" s="33"/>
      <c r="AD173" s="33"/>
      <c r="AE173" s="23">
        <f t="shared" si="214"/>
        <v>2946300.24</v>
      </c>
      <c r="AF173" s="23">
        <v>3255.78</v>
      </c>
      <c r="AG173" s="26">
        <f t="shared" si="195"/>
        <v>2949556.02</v>
      </c>
      <c r="AH173" s="27" t="s">
        <v>585</v>
      </c>
      <c r="AI173" s="34"/>
      <c r="AJ173" s="38">
        <v>0</v>
      </c>
      <c r="AK173" s="38">
        <v>0</v>
      </c>
    </row>
    <row r="174" spans="1:37" ht="299.25" x14ac:dyDescent="0.25">
      <c r="A174" s="14">
        <v>170</v>
      </c>
      <c r="B174" s="13">
        <v>120582</v>
      </c>
      <c r="C174" s="8">
        <v>109</v>
      </c>
      <c r="D174" s="14" t="s">
        <v>684</v>
      </c>
      <c r="E174" s="15" t="s">
        <v>968</v>
      </c>
      <c r="F174" s="16" t="s">
        <v>331</v>
      </c>
      <c r="G174" s="17" t="s">
        <v>215</v>
      </c>
      <c r="H174" s="17" t="s">
        <v>218</v>
      </c>
      <c r="I174" s="14" t="s">
        <v>185</v>
      </c>
      <c r="J174" s="48" t="s">
        <v>221</v>
      </c>
      <c r="K174" s="20">
        <v>43129</v>
      </c>
      <c r="L174" s="32">
        <v>43675</v>
      </c>
      <c r="M174" s="21">
        <f t="shared" ref="M174:M182" si="250">S174/AE174*100</f>
        <v>85.000000819683009</v>
      </c>
      <c r="N174" s="14">
        <v>1</v>
      </c>
      <c r="O174" s="14" t="s">
        <v>225</v>
      </c>
      <c r="P174" s="14" t="s">
        <v>225</v>
      </c>
      <c r="Q174" s="42" t="s">
        <v>212</v>
      </c>
      <c r="R174" s="14" t="s">
        <v>36</v>
      </c>
      <c r="S174" s="23">
        <f>T174+U174</f>
        <v>518493.12</v>
      </c>
      <c r="T174" s="23">
        <v>518493.12</v>
      </c>
      <c r="U174" s="23">
        <v>0</v>
      </c>
      <c r="V174" s="25">
        <f t="shared" si="223"/>
        <v>79298.94</v>
      </c>
      <c r="W174" s="23">
        <v>79298.94</v>
      </c>
      <c r="X174" s="23">
        <v>0</v>
      </c>
      <c r="Y174" s="23">
        <f>Z174+AA174</f>
        <v>12199.84</v>
      </c>
      <c r="Z174" s="23">
        <v>12199.84</v>
      </c>
      <c r="AA174" s="23">
        <v>0</v>
      </c>
      <c r="AB174" s="23">
        <f t="shared" si="222"/>
        <v>0</v>
      </c>
      <c r="AC174" s="23"/>
      <c r="AD174" s="23"/>
      <c r="AE174" s="23">
        <f t="shared" si="214"/>
        <v>609991.9</v>
      </c>
      <c r="AF174" s="23">
        <v>0</v>
      </c>
      <c r="AG174" s="26">
        <f t="shared" si="195"/>
        <v>609991.9</v>
      </c>
      <c r="AH174" s="27" t="s">
        <v>585</v>
      </c>
      <c r="AI174" s="28" t="s">
        <v>1375</v>
      </c>
      <c r="AJ174" s="1">
        <f>120214.04+104774.33+39837.96</f>
        <v>264826.33</v>
      </c>
      <c r="AK174" s="49">
        <f>18385.68+16024.31+6092.87</f>
        <v>40502.86</v>
      </c>
    </row>
    <row r="175" spans="1:37" ht="299.25" x14ac:dyDescent="0.25">
      <c r="A175" s="12">
        <v>171</v>
      </c>
      <c r="B175" s="13">
        <v>120630</v>
      </c>
      <c r="C175" s="8">
        <v>101</v>
      </c>
      <c r="D175" s="14" t="s">
        <v>684</v>
      </c>
      <c r="E175" s="15" t="s">
        <v>968</v>
      </c>
      <c r="F175" s="16" t="s">
        <v>331</v>
      </c>
      <c r="G175" s="17" t="s">
        <v>281</v>
      </c>
      <c r="H175" s="17" t="s">
        <v>284</v>
      </c>
      <c r="I175" s="14" t="s">
        <v>185</v>
      </c>
      <c r="J175" s="19" t="s">
        <v>290</v>
      </c>
      <c r="K175" s="20">
        <v>43145</v>
      </c>
      <c r="L175" s="32">
        <v>43630</v>
      </c>
      <c r="M175" s="21">
        <f t="shared" si="250"/>
        <v>85.000000236289679</v>
      </c>
      <c r="N175" s="14">
        <v>1</v>
      </c>
      <c r="O175" s="14" t="s">
        <v>225</v>
      </c>
      <c r="P175" s="14" t="s">
        <v>289</v>
      </c>
      <c r="Q175" s="42" t="s">
        <v>212</v>
      </c>
      <c r="R175" s="14" t="s">
        <v>36</v>
      </c>
      <c r="S175" s="23">
        <f t="shared" ref="S175:S181" si="251">T175+U175</f>
        <v>359727.94</v>
      </c>
      <c r="T175" s="23">
        <v>359727.94</v>
      </c>
      <c r="U175" s="23">
        <v>0</v>
      </c>
      <c r="V175" s="25">
        <f t="shared" si="223"/>
        <v>55017.21</v>
      </c>
      <c r="W175" s="23">
        <v>55017.21</v>
      </c>
      <c r="X175" s="23">
        <v>0</v>
      </c>
      <c r="Y175" s="23">
        <f t="shared" ref="Y175:Y181" si="252">Z175+AA175</f>
        <v>8464.19</v>
      </c>
      <c r="Z175" s="23">
        <v>8464.19</v>
      </c>
      <c r="AA175" s="23">
        <v>0</v>
      </c>
      <c r="AB175" s="23">
        <f t="shared" si="222"/>
        <v>0</v>
      </c>
      <c r="AC175" s="23"/>
      <c r="AD175" s="23"/>
      <c r="AE175" s="23">
        <f t="shared" si="214"/>
        <v>423209.34</v>
      </c>
      <c r="AF175" s="23">
        <v>0</v>
      </c>
      <c r="AG175" s="26">
        <f t="shared" si="195"/>
        <v>423209.34</v>
      </c>
      <c r="AH175" s="27" t="s">
        <v>585</v>
      </c>
      <c r="AI175" s="28"/>
      <c r="AJ175" s="1">
        <f>172923.58+1813.03+21160-1356.83+11126.5-1232.65+26252.82+7940.28+37890.56</f>
        <v>276517.29000000004</v>
      </c>
      <c r="AK175" s="29">
        <f>21665.98+2851.77+1356.83+1701.7+1232.65+1214.39+5795.03</f>
        <v>35818.350000000006</v>
      </c>
    </row>
    <row r="176" spans="1:37" ht="283.5" x14ac:dyDescent="0.25">
      <c r="A176" s="12">
        <v>172</v>
      </c>
      <c r="B176" s="13">
        <v>120672</v>
      </c>
      <c r="C176" s="8">
        <v>106</v>
      </c>
      <c r="D176" s="14" t="s">
        <v>684</v>
      </c>
      <c r="E176" s="15" t="s">
        <v>968</v>
      </c>
      <c r="F176" s="16" t="s">
        <v>331</v>
      </c>
      <c r="G176" s="17" t="s">
        <v>282</v>
      </c>
      <c r="H176" s="17" t="s">
        <v>285</v>
      </c>
      <c r="I176" s="14" t="s">
        <v>185</v>
      </c>
      <c r="J176" s="19" t="s">
        <v>291</v>
      </c>
      <c r="K176" s="20">
        <v>43145</v>
      </c>
      <c r="L176" s="32">
        <v>43630</v>
      </c>
      <c r="M176" s="21">
        <f t="shared" si="250"/>
        <v>84.999999174149096</v>
      </c>
      <c r="N176" s="14">
        <v>1</v>
      </c>
      <c r="O176" s="14" t="s">
        <v>225</v>
      </c>
      <c r="P176" s="14" t="s">
        <v>225</v>
      </c>
      <c r="Q176" s="42" t="s">
        <v>212</v>
      </c>
      <c r="R176" s="14" t="s">
        <v>36</v>
      </c>
      <c r="S176" s="23">
        <f t="shared" si="251"/>
        <v>360234.51</v>
      </c>
      <c r="T176" s="4">
        <v>360234.51</v>
      </c>
      <c r="U176" s="23">
        <v>0</v>
      </c>
      <c r="V176" s="25">
        <f t="shared" si="223"/>
        <v>55094.69</v>
      </c>
      <c r="W176" s="184">
        <v>55094.69</v>
      </c>
      <c r="X176" s="23">
        <v>0</v>
      </c>
      <c r="Y176" s="141">
        <f t="shared" si="252"/>
        <v>8476.11</v>
      </c>
      <c r="Z176" s="37">
        <v>8476.11</v>
      </c>
      <c r="AA176" s="141">
        <v>0</v>
      </c>
      <c r="AB176" s="141">
        <f t="shared" si="222"/>
        <v>0</v>
      </c>
      <c r="AC176" s="23"/>
      <c r="AD176" s="23"/>
      <c r="AE176" s="23">
        <f t="shared" si="214"/>
        <v>423805.31</v>
      </c>
      <c r="AF176" s="23">
        <v>0</v>
      </c>
      <c r="AG176" s="26">
        <f t="shared" si="195"/>
        <v>423805.31</v>
      </c>
      <c r="AH176" s="27" t="s">
        <v>585</v>
      </c>
      <c r="AI176" s="28"/>
      <c r="AJ176" s="1">
        <f>63226.44+99468.28</f>
        <v>162694.72</v>
      </c>
      <c r="AK176" s="29">
        <f>9669.93+15212.79</f>
        <v>24882.720000000001</v>
      </c>
    </row>
    <row r="177" spans="1:37" ht="173.25" x14ac:dyDescent="0.25">
      <c r="A177" s="14">
        <v>173</v>
      </c>
      <c r="B177" s="13">
        <v>118196</v>
      </c>
      <c r="C177" s="9">
        <v>425</v>
      </c>
      <c r="D177" s="14" t="s">
        <v>684</v>
      </c>
      <c r="E177" s="15" t="s">
        <v>704</v>
      </c>
      <c r="F177" s="16" t="s">
        <v>610</v>
      </c>
      <c r="G177" s="17" t="s">
        <v>601</v>
      </c>
      <c r="H177" s="17" t="s">
        <v>604</v>
      </c>
      <c r="I177" s="14" t="s">
        <v>422</v>
      </c>
      <c r="J177" s="19" t="s">
        <v>602</v>
      </c>
      <c r="K177" s="20">
        <v>43269</v>
      </c>
      <c r="L177" s="20">
        <v>43756</v>
      </c>
      <c r="M177" s="21">
        <f t="shared" si="250"/>
        <v>85</v>
      </c>
      <c r="N177" s="14">
        <v>1</v>
      </c>
      <c r="O177" s="14" t="s">
        <v>225</v>
      </c>
      <c r="P177" s="14" t="s">
        <v>225</v>
      </c>
      <c r="Q177" s="42" t="s">
        <v>212</v>
      </c>
      <c r="R177" s="14" t="s">
        <v>36</v>
      </c>
      <c r="S177" s="37">
        <f>T177+U177</f>
        <v>339668.5</v>
      </c>
      <c r="T177" s="37">
        <v>339668.5</v>
      </c>
      <c r="U177" s="37">
        <v>0</v>
      </c>
      <c r="V177" s="25">
        <f t="shared" si="223"/>
        <v>51949.3</v>
      </c>
      <c r="W177" s="37">
        <v>51949.3</v>
      </c>
      <c r="X177" s="37">
        <v>0</v>
      </c>
      <c r="Y177" s="141">
        <f t="shared" si="252"/>
        <v>7992.2</v>
      </c>
      <c r="Z177" s="37">
        <v>7992.2</v>
      </c>
      <c r="AA177" s="37">
        <v>0</v>
      </c>
      <c r="AB177" s="23">
        <f>AC177+AD177</f>
        <v>0</v>
      </c>
      <c r="AC177" s="37"/>
      <c r="AD177" s="37"/>
      <c r="AE177" s="23">
        <f>S177+V177+Y177+AB177</f>
        <v>399610</v>
      </c>
      <c r="AF177" s="37">
        <v>0</v>
      </c>
      <c r="AG177" s="26">
        <f t="shared" si="195"/>
        <v>399610</v>
      </c>
      <c r="AH177" s="27" t="s">
        <v>585</v>
      </c>
      <c r="AI177" s="28"/>
      <c r="AJ177" s="29">
        <f>16507.97+46617.76+57150.6</f>
        <v>120276.33</v>
      </c>
      <c r="AK177" s="29">
        <f>2524.75+7129.77+8740.68</f>
        <v>18395.2</v>
      </c>
    </row>
    <row r="178" spans="1:37" ht="141.75" x14ac:dyDescent="0.25">
      <c r="A178" s="12">
        <v>174</v>
      </c>
      <c r="B178" s="13">
        <v>126155</v>
      </c>
      <c r="C178" s="9">
        <v>544</v>
      </c>
      <c r="D178" s="14" t="s">
        <v>176</v>
      </c>
      <c r="E178" s="15" t="s">
        <v>968</v>
      </c>
      <c r="F178" s="16" t="s">
        <v>1135</v>
      </c>
      <c r="G178" s="17" t="s">
        <v>1151</v>
      </c>
      <c r="H178" s="17" t="s">
        <v>1152</v>
      </c>
      <c r="I178" s="14" t="s">
        <v>422</v>
      </c>
      <c r="J178" s="19" t="s">
        <v>1153</v>
      </c>
      <c r="K178" s="20">
        <v>43437</v>
      </c>
      <c r="L178" s="32">
        <v>44411</v>
      </c>
      <c r="M178" s="21">
        <f t="shared" si="250"/>
        <v>85.000000318097122</v>
      </c>
      <c r="N178" s="14">
        <v>1</v>
      </c>
      <c r="O178" s="14" t="s">
        <v>225</v>
      </c>
      <c r="P178" s="14" t="s">
        <v>225</v>
      </c>
      <c r="Q178" s="42" t="s">
        <v>212</v>
      </c>
      <c r="R178" s="14" t="s">
        <v>36</v>
      </c>
      <c r="S178" s="37">
        <f t="shared" ref="S178:S180" si="253">T178+U178</f>
        <v>2672139.91</v>
      </c>
      <c r="T178" s="37">
        <v>2672139.91</v>
      </c>
      <c r="U178" s="37">
        <v>0</v>
      </c>
      <c r="V178" s="25">
        <f t="shared" si="223"/>
        <v>408680.21</v>
      </c>
      <c r="W178" s="37">
        <v>408680.21</v>
      </c>
      <c r="X178" s="37">
        <v>0</v>
      </c>
      <c r="Y178" s="141">
        <f t="shared" si="252"/>
        <v>62873.88</v>
      </c>
      <c r="Z178" s="37">
        <v>62873.88</v>
      </c>
      <c r="AA178" s="37">
        <v>0</v>
      </c>
      <c r="AB178" s="23">
        <f t="shared" ref="AB178:AB180" si="254">AC178+AD178</f>
        <v>0</v>
      </c>
      <c r="AC178" s="26">
        <v>0</v>
      </c>
      <c r="AD178" s="26">
        <v>0</v>
      </c>
      <c r="AE178" s="23">
        <f t="shared" ref="AE178:AE180" si="255">S178+V178+Y178+AB178</f>
        <v>3143694</v>
      </c>
      <c r="AF178" s="37">
        <v>0</v>
      </c>
      <c r="AG178" s="26">
        <f t="shared" si="195"/>
        <v>3143694</v>
      </c>
      <c r="AH178" s="27" t="s">
        <v>585</v>
      </c>
      <c r="AI178" s="28"/>
      <c r="AJ178" s="29">
        <v>0</v>
      </c>
      <c r="AK178" s="29">
        <v>0</v>
      </c>
    </row>
    <row r="179" spans="1:37" ht="138" customHeight="1" x14ac:dyDescent="0.25">
      <c r="A179" s="12">
        <v>175</v>
      </c>
      <c r="B179" s="13">
        <v>125900</v>
      </c>
      <c r="C179" s="9">
        <v>518</v>
      </c>
      <c r="D179" s="14" t="s">
        <v>1074</v>
      </c>
      <c r="E179" s="15" t="s">
        <v>968</v>
      </c>
      <c r="F179" s="16" t="s">
        <v>1135</v>
      </c>
      <c r="G179" s="17" t="s">
        <v>1159</v>
      </c>
      <c r="H179" s="17" t="s">
        <v>1160</v>
      </c>
      <c r="I179" s="14" t="s">
        <v>422</v>
      </c>
      <c r="J179" s="19" t="s">
        <v>1161</v>
      </c>
      <c r="K179" s="20">
        <v>43439</v>
      </c>
      <c r="L179" s="32">
        <v>43987</v>
      </c>
      <c r="M179" s="21">
        <f t="shared" si="250"/>
        <v>85.000001224772731</v>
      </c>
      <c r="N179" s="14">
        <v>1</v>
      </c>
      <c r="O179" s="14" t="s">
        <v>225</v>
      </c>
      <c r="P179" s="14" t="s">
        <v>225</v>
      </c>
      <c r="Q179" s="42" t="s">
        <v>212</v>
      </c>
      <c r="R179" s="14" t="s">
        <v>36</v>
      </c>
      <c r="S179" s="37">
        <f t="shared" si="253"/>
        <v>694006.31</v>
      </c>
      <c r="T179" s="37">
        <v>694006.31</v>
      </c>
      <c r="U179" s="37">
        <v>0</v>
      </c>
      <c r="V179" s="25">
        <f t="shared" si="223"/>
        <v>106142.13</v>
      </c>
      <c r="W179" s="37">
        <v>106142.13</v>
      </c>
      <c r="X179" s="37">
        <v>0</v>
      </c>
      <c r="Y179" s="141">
        <f t="shared" si="252"/>
        <v>16329.56</v>
      </c>
      <c r="Z179" s="37">
        <v>16329.56</v>
      </c>
      <c r="AA179" s="37">
        <v>0</v>
      </c>
      <c r="AB179" s="23">
        <f t="shared" si="254"/>
        <v>0</v>
      </c>
      <c r="AC179" s="37">
        <v>0</v>
      </c>
      <c r="AD179" s="37">
        <v>0</v>
      </c>
      <c r="AE179" s="23">
        <f t="shared" si="255"/>
        <v>816478.00000000012</v>
      </c>
      <c r="AF179" s="37">
        <v>0</v>
      </c>
      <c r="AG179" s="26">
        <f t="shared" si="195"/>
        <v>816478.00000000012</v>
      </c>
      <c r="AH179" s="27" t="s">
        <v>585</v>
      </c>
      <c r="AI179" s="28"/>
      <c r="AJ179" s="29">
        <v>22112.75</v>
      </c>
      <c r="AK179" s="29">
        <v>3381.95</v>
      </c>
    </row>
    <row r="180" spans="1:37" ht="252" x14ac:dyDescent="0.25">
      <c r="A180" s="14">
        <v>176</v>
      </c>
      <c r="B180" s="13">
        <v>126350</v>
      </c>
      <c r="C180" s="9">
        <v>570</v>
      </c>
      <c r="D180" s="14" t="s">
        <v>175</v>
      </c>
      <c r="E180" s="15" t="s">
        <v>968</v>
      </c>
      <c r="F180" s="16" t="s">
        <v>1135</v>
      </c>
      <c r="G180" s="17" t="s">
        <v>1366</v>
      </c>
      <c r="H180" s="17" t="s">
        <v>1160</v>
      </c>
      <c r="I180" s="14" t="s">
        <v>422</v>
      </c>
      <c r="J180" s="19" t="s">
        <v>1367</v>
      </c>
      <c r="K180" s="20">
        <v>43564</v>
      </c>
      <c r="L180" s="32">
        <v>44386</v>
      </c>
      <c r="M180" s="21">
        <f t="shared" si="250"/>
        <v>84.999999916591278</v>
      </c>
      <c r="N180" s="14">
        <v>1</v>
      </c>
      <c r="O180" s="14" t="s">
        <v>225</v>
      </c>
      <c r="P180" s="14" t="s">
        <v>225</v>
      </c>
      <c r="Q180" s="42" t="s">
        <v>212</v>
      </c>
      <c r="R180" s="14" t="s">
        <v>1368</v>
      </c>
      <c r="S180" s="37">
        <f t="shared" si="253"/>
        <v>2038156.45</v>
      </c>
      <c r="T180" s="37">
        <v>2038156.45</v>
      </c>
      <c r="U180" s="37">
        <v>0</v>
      </c>
      <c r="V180" s="25">
        <f t="shared" si="223"/>
        <v>311718.05</v>
      </c>
      <c r="W180" s="37">
        <v>311718.05</v>
      </c>
      <c r="X180" s="37"/>
      <c r="Y180" s="141">
        <f t="shared" si="252"/>
        <v>47956.62</v>
      </c>
      <c r="Z180" s="37">
        <v>47956.62</v>
      </c>
      <c r="AA180" s="37">
        <v>0</v>
      </c>
      <c r="AB180" s="23">
        <f t="shared" si="254"/>
        <v>0</v>
      </c>
      <c r="AC180" s="37"/>
      <c r="AD180" s="37"/>
      <c r="AE180" s="23">
        <f t="shared" si="255"/>
        <v>2397831.12</v>
      </c>
      <c r="AF180" s="37">
        <v>35700</v>
      </c>
      <c r="AG180" s="26">
        <f t="shared" si="195"/>
        <v>2433531.12</v>
      </c>
      <c r="AH180" s="27" t="s">
        <v>585</v>
      </c>
      <c r="AI180" s="28"/>
      <c r="AJ180" s="29">
        <v>0</v>
      </c>
      <c r="AK180" s="29">
        <v>0</v>
      </c>
    </row>
    <row r="181" spans="1:37" ht="252" x14ac:dyDescent="0.25">
      <c r="A181" s="12">
        <v>177</v>
      </c>
      <c r="B181" s="13">
        <v>128787</v>
      </c>
      <c r="C181" s="9">
        <v>631</v>
      </c>
      <c r="D181" s="14" t="s">
        <v>173</v>
      </c>
      <c r="E181" s="15" t="s">
        <v>968</v>
      </c>
      <c r="F181" s="16" t="s">
        <v>1417</v>
      </c>
      <c r="G181" s="17" t="s">
        <v>1450</v>
      </c>
      <c r="H181" s="17" t="s">
        <v>1520</v>
      </c>
      <c r="I181" s="14" t="s">
        <v>422</v>
      </c>
      <c r="J181" s="19" t="s">
        <v>1451</v>
      </c>
      <c r="K181" s="20">
        <v>43622</v>
      </c>
      <c r="L181" s="32">
        <v>44536</v>
      </c>
      <c r="M181" s="21">
        <f t="shared" si="250"/>
        <v>84.999999929965156</v>
      </c>
      <c r="N181" s="14">
        <v>1</v>
      </c>
      <c r="O181" s="14" t="s">
        <v>225</v>
      </c>
      <c r="P181" s="14" t="s">
        <v>289</v>
      </c>
      <c r="Q181" s="42" t="s">
        <v>212</v>
      </c>
      <c r="R181" s="14" t="s">
        <v>1368</v>
      </c>
      <c r="S181" s="37">
        <f t="shared" si="251"/>
        <v>3034203.56</v>
      </c>
      <c r="T181" s="37">
        <v>3034203.56</v>
      </c>
      <c r="U181" s="37">
        <v>0</v>
      </c>
      <c r="V181" s="37">
        <f t="shared" si="223"/>
        <v>464054.66</v>
      </c>
      <c r="W181" s="37">
        <v>464054.66</v>
      </c>
      <c r="X181" s="37">
        <v>0</v>
      </c>
      <c r="Y181" s="185">
        <f t="shared" si="252"/>
        <v>71393.03</v>
      </c>
      <c r="Z181" s="186">
        <v>71393.03</v>
      </c>
      <c r="AA181" s="37">
        <v>0</v>
      </c>
      <c r="AB181" s="23">
        <f t="shared" si="222"/>
        <v>0</v>
      </c>
      <c r="AC181" s="37">
        <v>0</v>
      </c>
      <c r="AD181" s="37">
        <v>0</v>
      </c>
      <c r="AE181" s="23">
        <f t="shared" si="214"/>
        <v>3569651.25</v>
      </c>
      <c r="AF181" s="37">
        <v>0</v>
      </c>
      <c r="AG181" s="26">
        <f t="shared" si="195"/>
        <v>3569651.25</v>
      </c>
      <c r="AH181" s="27" t="s">
        <v>585</v>
      </c>
      <c r="AI181" s="28"/>
      <c r="AJ181" s="29"/>
      <c r="AK181" s="29"/>
    </row>
    <row r="182" spans="1:37" ht="409.5" x14ac:dyDescent="0.25">
      <c r="A182" s="12">
        <v>178</v>
      </c>
      <c r="B182" s="13">
        <v>118788</v>
      </c>
      <c r="C182" s="18">
        <v>445</v>
      </c>
      <c r="D182" s="14" t="s">
        <v>843</v>
      </c>
      <c r="E182" s="15" t="s">
        <v>704</v>
      </c>
      <c r="F182" s="17" t="s">
        <v>610</v>
      </c>
      <c r="G182" s="17" t="s">
        <v>914</v>
      </c>
      <c r="H182" s="14" t="s">
        <v>915</v>
      </c>
      <c r="I182" s="14" t="s">
        <v>185</v>
      </c>
      <c r="J182" s="17" t="s">
        <v>916</v>
      </c>
      <c r="K182" s="20">
        <v>43325</v>
      </c>
      <c r="L182" s="32">
        <v>43690</v>
      </c>
      <c r="M182" s="14">
        <f t="shared" si="250"/>
        <v>85.000001253240569</v>
      </c>
      <c r="N182" s="14">
        <v>2</v>
      </c>
      <c r="O182" s="14" t="s">
        <v>434</v>
      </c>
      <c r="P182" s="14" t="s">
        <v>917</v>
      </c>
      <c r="Q182" s="14" t="s">
        <v>212</v>
      </c>
      <c r="R182" s="14" t="s">
        <v>36</v>
      </c>
      <c r="S182" s="29">
        <f>T182+U182</f>
        <v>339120.85</v>
      </c>
      <c r="T182" s="29">
        <v>339120.85</v>
      </c>
      <c r="U182" s="43">
        <v>0</v>
      </c>
      <c r="V182" s="29">
        <f>W182+X182</f>
        <v>51865.54</v>
      </c>
      <c r="W182" s="29">
        <v>51865.54</v>
      </c>
      <c r="X182" s="43">
        <v>0</v>
      </c>
      <c r="Y182" s="29">
        <f>Z182+AA182</f>
        <v>7979.31</v>
      </c>
      <c r="Z182" s="29">
        <v>7979.31</v>
      </c>
      <c r="AA182" s="29">
        <v>0</v>
      </c>
      <c r="AB182" s="23">
        <f>AC182+AD182</f>
        <v>0</v>
      </c>
      <c r="AC182" s="43"/>
      <c r="AD182" s="43"/>
      <c r="AE182" s="23">
        <f t="shared" si="214"/>
        <v>398965.69999999995</v>
      </c>
      <c r="AF182" s="99"/>
      <c r="AG182" s="26">
        <f t="shared" si="195"/>
        <v>398965.69999999995</v>
      </c>
      <c r="AH182" s="27" t="s">
        <v>585</v>
      </c>
      <c r="AI182" s="99" t="s">
        <v>185</v>
      </c>
      <c r="AJ182" s="29">
        <f>74317.96+82151.06</f>
        <v>156469.02000000002</v>
      </c>
      <c r="AK182" s="29">
        <f>11366.28+12564.27</f>
        <v>23930.550000000003</v>
      </c>
    </row>
    <row r="183" spans="1:37" ht="409.5" x14ac:dyDescent="0.25">
      <c r="A183" s="14">
        <v>179</v>
      </c>
      <c r="B183" s="13">
        <v>125665</v>
      </c>
      <c r="C183" s="18">
        <v>557</v>
      </c>
      <c r="D183" s="14" t="s">
        <v>174</v>
      </c>
      <c r="E183" s="15" t="s">
        <v>968</v>
      </c>
      <c r="F183" s="17" t="s">
        <v>1135</v>
      </c>
      <c r="G183" s="17" t="s">
        <v>1136</v>
      </c>
      <c r="H183" s="14" t="s">
        <v>915</v>
      </c>
      <c r="I183" s="14" t="s">
        <v>185</v>
      </c>
      <c r="J183" s="17" t="s">
        <v>1137</v>
      </c>
      <c r="K183" s="20">
        <v>43425</v>
      </c>
      <c r="L183" s="32">
        <v>44248</v>
      </c>
      <c r="M183" s="14">
        <f t="shared" ref="M183" si="256">S183/AE183*100</f>
        <v>84.999999890649349</v>
      </c>
      <c r="N183" s="14">
        <v>2</v>
      </c>
      <c r="O183" s="14" t="s">
        <v>434</v>
      </c>
      <c r="P183" s="14" t="s">
        <v>917</v>
      </c>
      <c r="Q183" s="14" t="s">
        <v>212</v>
      </c>
      <c r="R183" s="14" t="s">
        <v>36</v>
      </c>
      <c r="S183" s="29">
        <f>T183+U183</f>
        <v>3497921.5</v>
      </c>
      <c r="T183" s="29">
        <v>3497921.5</v>
      </c>
      <c r="U183" s="43">
        <v>0</v>
      </c>
      <c r="V183" s="29">
        <f>W183+X183</f>
        <v>534976.2300000001</v>
      </c>
      <c r="W183" s="29">
        <v>534976.2300000001</v>
      </c>
      <c r="X183" s="43">
        <v>0</v>
      </c>
      <c r="Y183" s="29">
        <f>Z183+AA183</f>
        <v>82304.039999999994</v>
      </c>
      <c r="Z183" s="29">
        <v>82304.039999999994</v>
      </c>
      <c r="AA183" s="29">
        <v>0</v>
      </c>
      <c r="AB183" s="23">
        <f>AC183+AD183</f>
        <v>0</v>
      </c>
      <c r="AC183" s="26">
        <v>0</v>
      </c>
      <c r="AD183" s="26">
        <v>0</v>
      </c>
      <c r="AE183" s="23">
        <f t="shared" ref="AE183" si="257">S183+V183+Y183+AB183</f>
        <v>4115201.77</v>
      </c>
      <c r="AF183" s="99">
        <v>114240</v>
      </c>
      <c r="AG183" s="26">
        <f t="shared" si="195"/>
        <v>4229441.7699999996</v>
      </c>
      <c r="AH183" s="27" t="s">
        <v>585</v>
      </c>
      <c r="AI183" s="99" t="s">
        <v>185</v>
      </c>
      <c r="AJ183" s="29">
        <v>0</v>
      </c>
      <c r="AK183" s="29">
        <v>0</v>
      </c>
    </row>
    <row r="184" spans="1:37" ht="409.5" x14ac:dyDescent="0.25">
      <c r="A184" s="12">
        <v>180</v>
      </c>
      <c r="B184" s="13">
        <v>126354</v>
      </c>
      <c r="C184" s="18">
        <v>491</v>
      </c>
      <c r="D184" s="14" t="s">
        <v>170</v>
      </c>
      <c r="E184" s="15" t="s">
        <v>1269</v>
      </c>
      <c r="F184" s="17" t="s">
        <v>1268</v>
      </c>
      <c r="G184" s="17" t="s">
        <v>1267</v>
      </c>
      <c r="H184" s="14" t="s">
        <v>1266</v>
      </c>
      <c r="I184" s="14" t="s">
        <v>185</v>
      </c>
      <c r="J184" s="17" t="s">
        <v>1270</v>
      </c>
      <c r="K184" s="20">
        <v>43515</v>
      </c>
      <c r="L184" s="32">
        <v>44246</v>
      </c>
      <c r="M184" s="14">
        <f t="shared" ref="M184:M192" si="258">S184/AE184*100</f>
        <v>83.300000282457262</v>
      </c>
      <c r="N184" s="14" t="s">
        <v>1278</v>
      </c>
      <c r="O184" s="14" t="s">
        <v>1277</v>
      </c>
      <c r="P184" s="14" t="s">
        <v>1277</v>
      </c>
      <c r="Q184" s="14" t="s">
        <v>326</v>
      </c>
      <c r="R184" s="14" t="s">
        <v>36</v>
      </c>
      <c r="S184" s="29">
        <f>T184+U184</f>
        <v>2064383.09</v>
      </c>
      <c r="T184" s="29">
        <v>2064383.09</v>
      </c>
      <c r="U184" s="43">
        <v>0</v>
      </c>
      <c r="V184" s="29">
        <f>W184+X184</f>
        <v>364302.89</v>
      </c>
      <c r="W184" s="29">
        <v>364302.89</v>
      </c>
      <c r="X184" s="43">
        <v>0</v>
      </c>
      <c r="Y184" s="29">
        <f>Z184+AA184</f>
        <v>0</v>
      </c>
      <c r="Z184" s="29">
        <v>0</v>
      </c>
      <c r="AA184" s="29">
        <v>0</v>
      </c>
      <c r="AB184" s="23">
        <f>AC184+AD184</f>
        <v>49565.02</v>
      </c>
      <c r="AC184" s="26">
        <v>49565.02</v>
      </c>
      <c r="AD184" s="26">
        <v>0</v>
      </c>
      <c r="AE184" s="23">
        <f t="shared" ref="AE184:AE192" si="259">S184+V184+Y184+AB184</f>
        <v>2478251</v>
      </c>
      <c r="AF184" s="23">
        <v>0</v>
      </c>
      <c r="AG184" s="26">
        <f t="shared" si="195"/>
        <v>2478251</v>
      </c>
      <c r="AH184" s="27" t="s">
        <v>585</v>
      </c>
      <c r="AI184" s="99" t="s">
        <v>185</v>
      </c>
      <c r="AJ184" s="29">
        <v>247825</v>
      </c>
      <c r="AK184" s="29">
        <v>0</v>
      </c>
    </row>
    <row r="185" spans="1:37" s="154" customFormat="1" ht="393.75" x14ac:dyDescent="0.25">
      <c r="A185" s="12">
        <v>181</v>
      </c>
      <c r="B185" s="13">
        <v>126532</v>
      </c>
      <c r="C185" s="18">
        <v>500</v>
      </c>
      <c r="D185" s="14" t="s">
        <v>170</v>
      </c>
      <c r="E185" s="15" t="s">
        <v>1269</v>
      </c>
      <c r="F185" s="17" t="s">
        <v>1268</v>
      </c>
      <c r="G185" s="17" t="s">
        <v>1273</v>
      </c>
      <c r="H185" s="14" t="s">
        <v>1272</v>
      </c>
      <c r="I185" s="14" t="s">
        <v>185</v>
      </c>
      <c r="J185" s="48" t="s">
        <v>1274</v>
      </c>
      <c r="K185" s="20">
        <v>43516</v>
      </c>
      <c r="L185" s="32">
        <v>44247</v>
      </c>
      <c r="M185" s="14">
        <f t="shared" si="258"/>
        <v>83.299999838210468</v>
      </c>
      <c r="N185" s="14" t="s">
        <v>1275</v>
      </c>
      <c r="O185" s="18" t="s">
        <v>1276</v>
      </c>
      <c r="P185" s="18" t="s">
        <v>1276</v>
      </c>
      <c r="Q185" s="14" t="s">
        <v>326</v>
      </c>
      <c r="R185" s="14" t="s">
        <v>36</v>
      </c>
      <c r="S185" s="29">
        <f>T185+U185</f>
        <v>2059465.88</v>
      </c>
      <c r="T185" s="23">
        <v>2059465.88</v>
      </c>
      <c r="U185" s="23">
        <v>0</v>
      </c>
      <c r="V185" s="29">
        <f>W185+X185</f>
        <v>363435.16</v>
      </c>
      <c r="W185" s="23">
        <v>363435.16</v>
      </c>
      <c r="X185" s="23">
        <v>0</v>
      </c>
      <c r="Y185" s="29">
        <f t="shared" ref="Y185:Y192" si="260">Z185+AA185</f>
        <v>0</v>
      </c>
      <c r="Z185" s="23">
        <v>0</v>
      </c>
      <c r="AA185" s="23">
        <v>0</v>
      </c>
      <c r="AB185" s="23">
        <f t="shared" ref="AB185:AB192" si="261">AC185+AD185</f>
        <v>49446.96</v>
      </c>
      <c r="AC185" s="23">
        <v>49446.96</v>
      </c>
      <c r="AD185" s="23">
        <v>0</v>
      </c>
      <c r="AE185" s="23">
        <f t="shared" si="259"/>
        <v>2472348</v>
      </c>
      <c r="AF185" s="23">
        <v>0</v>
      </c>
      <c r="AG185" s="26">
        <f t="shared" si="195"/>
        <v>2472348</v>
      </c>
      <c r="AH185" s="27" t="s">
        <v>871</v>
      </c>
      <c r="AI185" s="28" t="s">
        <v>185</v>
      </c>
      <c r="AJ185" s="54">
        <v>247230</v>
      </c>
      <c r="AK185" s="29">
        <v>0</v>
      </c>
    </row>
    <row r="186" spans="1:37" s="154" customFormat="1" ht="330.75" x14ac:dyDescent="0.25">
      <c r="A186" s="14">
        <v>182</v>
      </c>
      <c r="B186" s="13">
        <v>125435</v>
      </c>
      <c r="C186" s="18">
        <v>493</v>
      </c>
      <c r="D186" s="14" t="s">
        <v>170</v>
      </c>
      <c r="E186" s="15" t="s">
        <v>1269</v>
      </c>
      <c r="F186" s="17" t="s">
        <v>1268</v>
      </c>
      <c r="G186" s="17" t="s">
        <v>1295</v>
      </c>
      <c r="H186" s="14" t="s">
        <v>1296</v>
      </c>
      <c r="I186" s="14" t="s">
        <v>185</v>
      </c>
      <c r="J186" s="48" t="s">
        <v>1297</v>
      </c>
      <c r="K186" s="20">
        <v>43531</v>
      </c>
      <c r="L186" s="32">
        <v>44507</v>
      </c>
      <c r="M186" s="14">
        <f>S186/AE186*100</f>
        <v>83.30000027566841</v>
      </c>
      <c r="N186" s="14" t="s">
        <v>1298</v>
      </c>
      <c r="O186" s="18" t="s">
        <v>1299</v>
      </c>
      <c r="P186" s="18" t="s">
        <v>1299</v>
      </c>
      <c r="Q186" s="14" t="s">
        <v>326</v>
      </c>
      <c r="R186" s="14" t="s">
        <v>36</v>
      </c>
      <c r="S186" s="29">
        <f t="shared" ref="S186:S187" si="262">T186+U186</f>
        <v>1813047.83</v>
      </c>
      <c r="T186" s="23">
        <v>1813047.83</v>
      </c>
      <c r="U186" s="23">
        <v>0</v>
      </c>
      <c r="V186" s="29">
        <f t="shared" ref="V186:V187" si="263">W186+X186</f>
        <v>319949.61</v>
      </c>
      <c r="W186" s="23">
        <v>319949.61</v>
      </c>
      <c r="X186" s="23">
        <v>0</v>
      </c>
      <c r="Y186" s="29">
        <f t="shared" si="260"/>
        <v>0</v>
      </c>
      <c r="Z186" s="23">
        <v>0</v>
      </c>
      <c r="AA186" s="23">
        <v>0</v>
      </c>
      <c r="AB186" s="23">
        <f t="shared" si="261"/>
        <v>43530.559999999998</v>
      </c>
      <c r="AC186" s="23">
        <v>43530.559999999998</v>
      </c>
      <c r="AD186" s="23">
        <v>0</v>
      </c>
      <c r="AE186" s="23">
        <f t="shared" si="259"/>
        <v>2176528</v>
      </c>
      <c r="AF186" s="23">
        <v>0</v>
      </c>
      <c r="AG186" s="26">
        <f t="shared" si="195"/>
        <v>2176528</v>
      </c>
      <c r="AH186" s="27" t="s">
        <v>871</v>
      </c>
      <c r="AI186" s="28" t="s">
        <v>185</v>
      </c>
      <c r="AJ186" s="54">
        <v>181814</v>
      </c>
      <c r="AK186" s="29">
        <v>0</v>
      </c>
    </row>
    <row r="187" spans="1:37" s="154" customFormat="1" ht="236.25" x14ac:dyDescent="0.25">
      <c r="A187" s="12">
        <v>183</v>
      </c>
      <c r="B187" s="13">
        <v>126388</v>
      </c>
      <c r="C187" s="18">
        <v>494</v>
      </c>
      <c r="D187" s="14" t="s">
        <v>171</v>
      </c>
      <c r="E187" s="15" t="s">
        <v>1269</v>
      </c>
      <c r="F187" s="17" t="s">
        <v>1268</v>
      </c>
      <c r="G187" s="17" t="s">
        <v>1300</v>
      </c>
      <c r="H187" s="14" t="s">
        <v>1301</v>
      </c>
      <c r="I187" s="14" t="s">
        <v>185</v>
      </c>
      <c r="J187" s="48" t="s">
        <v>1302</v>
      </c>
      <c r="K187" s="20">
        <v>43531</v>
      </c>
      <c r="L187" s="32">
        <v>44262</v>
      </c>
      <c r="M187" s="14">
        <f>S187/AE187*100</f>
        <v>83.300001414159638</v>
      </c>
      <c r="N187" s="14">
        <v>3</v>
      </c>
      <c r="O187" s="18" t="s">
        <v>1303</v>
      </c>
      <c r="P187" s="18" t="s">
        <v>1303</v>
      </c>
      <c r="Q187" s="14" t="s">
        <v>326</v>
      </c>
      <c r="R187" s="14" t="s">
        <v>36</v>
      </c>
      <c r="S187" s="29">
        <f t="shared" si="262"/>
        <v>2043977.2</v>
      </c>
      <c r="T187" s="23">
        <v>2043977.2</v>
      </c>
      <c r="U187" s="23">
        <v>0</v>
      </c>
      <c r="V187" s="29">
        <f t="shared" si="263"/>
        <v>360701.81</v>
      </c>
      <c r="W187" s="23">
        <v>360701.81</v>
      </c>
      <c r="X187" s="23">
        <v>0</v>
      </c>
      <c r="Y187" s="29">
        <f t="shared" si="260"/>
        <v>0</v>
      </c>
      <c r="Z187" s="23">
        <v>0</v>
      </c>
      <c r="AA187" s="23">
        <v>0</v>
      </c>
      <c r="AB187" s="23">
        <f t="shared" si="261"/>
        <v>49075.09</v>
      </c>
      <c r="AC187" s="23">
        <v>49075.09</v>
      </c>
      <c r="AD187" s="23">
        <v>0</v>
      </c>
      <c r="AE187" s="23">
        <f t="shared" si="259"/>
        <v>2453754.0999999996</v>
      </c>
      <c r="AF187" s="23">
        <v>0</v>
      </c>
      <c r="AG187" s="26">
        <f t="shared" si="195"/>
        <v>2453754.0999999996</v>
      </c>
      <c r="AH187" s="27" t="s">
        <v>871</v>
      </c>
      <c r="AI187" s="28" t="s">
        <v>185</v>
      </c>
      <c r="AJ187" s="54">
        <v>240400</v>
      </c>
      <c r="AK187" s="29">
        <v>0</v>
      </c>
    </row>
    <row r="188" spans="1:37" s="154" customFormat="1" ht="409.5" x14ac:dyDescent="0.25">
      <c r="A188" s="12">
        <v>184</v>
      </c>
      <c r="B188" s="13">
        <v>126511</v>
      </c>
      <c r="C188" s="18">
        <v>499</v>
      </c>
      <c r="D188" s="14" t="s">
        <v>170</v>
      </c>
      <c r="E188" s="15" t="s">
        <v>1269</v>
      </c>
      <c r="F188" s="17" t="s">
        <v>1268</v>
      </c>
      <c r="G188" s="17" t="s">
        <v>1306</v>
      </c>
      <c r="H188" s="17" t="s">
        <v>1307</v>
      </c>
      <c r="I188" s="14" t="s">
        <v>185</v>
      </c>
      <c r="J188" s="48" t="s">
        <v>1310</v>
      </c>
      <c r="K188" s="20">
        <v>43535</v>
      </c>
      <c r="L188" s="32">
        <v>44266</v>
      </c>
      <c r="M188" s="14">
        <f t="shared" si="258"/>
        <v>83.300000000000011</v>
      </c>
      <c r="N188" s="14" t="s">
        <v>1309</v>
      </c>
      <c r="O188" s="14" t="s">
        <v>1308</v>
      </c>
      <c r="P188" s="14" t="s">
        <v>1308</v>
      </c>
      <c r="Q188" s="14" t="s">
        <v>326</v>
      </c>
      <c r="R188" s="14" t="s">
        <v>36</v>
      </c>
      <c r="S188" s="29">
        <f t="shared" ref="S188:S192" si="264">T188+U188</f>
        <v>2060383.85</v>
      </c>
      <c r="T188" s="23">
        <v>2060383.85</v>
      </c>
      <c r="U188" s="23">
        <v>0</v>
      </c>
      <c r="V188" s="29">
        <f t="shared" ref="V188:V192" si="265">W188+X188</f>
        <v>363597.15</v>
      </c>
      <c r="W188" s="23">
        <v>363597.15</v>
      </c>
      <c r="X188" s="23">
        <v>0</v>
      </c>
      <c r="Y188" s="29">
        <f t="shared" si="260"/>
        <v>0</v>
      </c>
      <c r="Z188" s="23">
        <v>0</v>
      </c>
      <c r="AA188" s="23">
        <v>0</v>
      </c>
      <c r="AB188" s="23">
        <f t="shared" si="261"/>
        <v>49469</v>
      </c>
      <c r="AC188" s="23">
        <v>49469</v>
      </c>
      <c r="AD188" s="23">
        <v>0</v>
      </c>
      <c r="AE188" s="23">
        <f t="shared" si="259"/>
        <v>2473450</v>
      </c>
      <c r="AF188" s="23">
        <v>0</v>
      </c>
      <c r="AG188" s="26">
        <f t="shared" si="195"/>
        <v>2473450</v>
      </c>
      <c r="AH188" s="27" t="s">
        <v>871</v>
      </c>
      <c r="AI188" s="28" t="s">
        <v>185</v>
      </c>
      <c r="AJ188" s="54">
        <v>247345</v>
      </c>
      <c r="AK188" s="29">
        <v>0</v>
      </c>
    </row>
    <row r="189" spans="1:37" ht="409.5" x14ac:dyDescent="0.25">
      <c r="A189" s="14">
        <v>185</v>
      </c>
      <c r="B189" s="7">
        <v>126528</v>
      </c>
      <c r="C189" s="8">
        <v>496</v>
      </c>
      <c r="D189" s="14" t="s">
        <v>170</v>
      </c>
      <c r="E189" s="15" t="s">
        <v>1269</v>
      </c>
      <c r="F189" s="17" t="s">
        <v>1268</v>
      </c>
      <c r="G189" s="15" t="s">
        <v>1332</v>
      </c>
      <c r="H189" s="15" t="s">
        <v>1331</v>
      </c>
      <c r="I189" s="14" t="s">
        <v>1338</v>
      </c>
      <c r="J189" s="187" t="s">
        <v>1335</v>
      </c>
      <c r="K189" s="20">
        <v>43552</v>
      </c>
      <c r="L189" s="32">
        <v>44283</v>
      </c>
      <c r="M189" s="14">
        <f t="shared" si="258"/>
        <v>83.538686217523377</v>
      </c>
      <c r="N189" s="18" t="s">
        <v>1333</v>
      </c>
      <c r="O189" s="18" t="s">
        <v>1334</v>
      </c>
      <c r="P189" s="18" t="s">
        <v>1334</v>
      </c>
      <c r="Q189" s="14" t="s">
        <v>326</v>
      </c>
      <c r="R189" s="14" t="s">
        <v>36</v>
      </c>
      <c r="S189" s="29">
        <f t="shared" si="264"/>
        <v>1949308.98</v>
      </c>
      <c r="T189" s="123">
        <v>1949308.98</v>
      </c>
      <c r="U189" s="102">
        <v>0</v>
      </c>
      <c r="V189" s="29">
        <f t="shared" si="265"/>
        <v>337443.27</v>
      </c>
      <c r="W189" s="123">
        <v>337443.27</v>
      </c>
      <c r="X189" s="102">
        <v>0</v>
      </c>
      <c r="Y189" s="29">
        <f t="shared" si="260"/>
        <v>6552.42</v>
      </c>
      <c r="Z189" s="123">
        <v>6552.42</v>
      </c>
      <c r="AA189" s="102">
        <v>0</v>
      </c>
      <c r="AB189" s="23">
        <f t="shared" si="261"/>
        <v>40116.009999999995</v>
      </c>
      <c r="AC189" s="123">
        <f>23632.16+16483.85</f>
        <v>40116.009999999995</v>
      </c>
      <c r="AD189" s="102">
        <v>0</v>
      </c>
      <c r="AE189" s="23">
        <f t="shared" si="259"/>
        <v>2333420.6799999997</v>
      </c>
      <c r="AF189" s="34">
        <v>0</v>
      </c>
      <c r="AG189" s="26">
        <f t="shared" si="195"/>
        <v>2333420.6799999997</v>
      </c>
      <c r="AH189" s="27" t="s">
        <v>871</v>
      </c>
      <c r="AI189" s="34" t="s">
        <v>185</v>
      </c>
      <c r="AJ189" s="54">
        <v>233342.06</v>
      </c>
      <c r="AK189" s="54">
        <v>0</v>
      </c>
    </row>
    <row r="190" spans="1:37" ht="267.75" x14ac:dyDescent="0.25">
      <c r="A190" s="12">
        <v>186</v>
      </c>
      <c r="B190" s="7">
        <v>126480</v>
      </c>
      <c r="C190" s="8">
        <v>495</v>
      </c>
      <c r="D190" s="14" t="s">
        <v>170</v>
      </c>
      <c r="E190" s="15" t="s">
        <v>1269</v>
      </c>
      <c r="F190" s="17" t="s">
        <v>1268</v>
      </c>
      <c r="G190" s="15" t="s">
        <v>1341</v>
      </c>
      <c r="H190" s="15" t="s">
        <v>1342</v>
      </c>
      <c r="I190" s="14" t="s">
        <v>185</v>
      </c>
      <c r="J190" s="187" t="s">
        <v>1343</v>
      </c>
      <c r="K190" s="20">
        <v>43553</v>
      </c>
      <c r="L190" s="32">
        <v>43919</v>
      </c>
      <c r="M190" s="14">
        <f t="shared" si="258"/>
        <v>83.300002424250337</v>
      </c>
      <c r="N190" s="9">
        <v>6</v>
      </c>
      <c r="O190" s="188" t="s">
        <v>222</v>
      </c>
      <c r="P190" s="188" t="s">
        <v>222</v>
      </c>
      <c r="Q190" s="14" t="s">
        <v>326</v>
      </c>
      <c r="R190" s="14" t="s">
        <v>36</v>
      </c>
      <c r="S190" s="29">
        <f t="shared" si="264"/>
        <v>876896.26</v>
      </c>
      <c r="T190" s="123">
        <v>876896.26</v>
      </c>
      <c r="U190" s="102">
        <v>0</v>
      </c>
      <c r="V190" s="29">
        <f t="shared" si="265"/>
        <v>154746.38</v>
      </c>
      <c r="W190" s="123">
        <v>154746.38</v>
      </c>
      <c r="X190" s="102">
        <v>0</v>
      </c>
      <c r="Y190" s="29">
        <f t="shared" si="260"/>
        <v>0</v>
      </c>
      <c r="Z190" s="102">
        <v>0</v>
      </c>
      <c r="AA190" s="102">
        <v>0</v>
      </c>
      <c r="AB190" s="23">
        <f t="shared" si="261"/>
        <v>21053.919999999998</v>
      </c>
      <c r="AC190" s="123">
        <v>21053.919999999998</v>
      </c>
      <c r="AD190" s="102">
        <v>0</v>
      </c>
      <c r="AE190" s="23">
        <f t="shared" si="259"/>
        <v>1052696.56</v>
      </c>
      <c r="AF190" s="34">
        <v>0</v>
      </c>
      <c r="AG190" s="26">
        <f t="shared" si="195"/>
        <v>1052696.56</v>
      </c>
      <c r="AH190" s="27" t="s">
        <v>871</v>
      </c>
      <c r="AI190" s="34"/>
      <c r="AJ190" s="38">
        <v>105000</v>
      </c>
      <c r="AK190" s="1">
        <v>0</v>
      </c>
    </row>
    <row r="191" spans="1:37" ht="409.5" x14ac:dyDescent="0.25">
      <c r="A191" s="12">
        <v>187</v>
      </c>
      <c r="B191" s="7">
        <v>125819</v>
      </c>
      <c r="C191" s="8">
        <v>497</v>
      </c>
      <c r="D191" s="14" t="s">
        <v>171</v>
      </c>
      <c r="E191" s="15" t="s">
        <v>1269</v>
      </c>
      <c r="F191" s="17" t="s">
        <v>1268</v>
      </c>
      <c r="G191" s="36" t="s">
        <v>1411</v>
      </c>
      <c r="H191" s="15" t="s">
        <v>1409</v>
      </c>
      <c r="I191" s="14" t="s">
        <v>185</v>
      </c>
      <c r="J191" s="187" t="s">
        <v>1413</v>
      </c>
      <c r="K191" s="20">
        <v>43608</v>
      </c>
      <c r="L191" s="32">
        <v>44339</v>
      </c>
      <c r="M191" s="14">
        <f t="shared" si="258"/>
        <v>83.30000063911281</v>
      </c>
      <c r="N191" s="9" t="s">
        <v>1415</v>
      </c>
      <c r="O191" s="9" t="s">
        <v>1414</v>
      </c>
      <c r="P191" s="9" t="s">
        <v>1414</v>
      </c>
      <c r="Q191" s="14" t="s">
        <v>326</v>
      </c>
      <c r="R191" s="14" t="s">
        <v>36</v>
      </c>
      <c r="S191" s="29">
        <f t="shared" si="264"/>
        <v>1444133.16</v>
      </c>
      <c r="T191" s="123">
        <v>1444133.16</v>
      </c>
      <c r="U191" s="102">
        <v>0</v>
      </c>
      <c r="V191" s="29">
        <f t="shared" si="265"/>
        <v>254847.02</v>
      </c>
      <c r="W191" s="123">
        <v>254847.02</v>
      </c>
      <c r="X191" s="102">
        <v>0</v>
      </c>
      <c r="Y191" s="29">
        <f t="shared" si="260"/>
        <v>0</v>
      </c>
      <c r="Z191" s="102">
        <v>0</v>
      </c>
      <c r="AA191" s="102">
        <v>0</v>
      </c>
      <c r="AB191" s="23">
        <f t="shared" si="261"/>
        <v>34673.06</v>
      </c>
      <c r="AC191" s="123">
        <v>34673.06</v>
      </c>
      <c r="AD191" s="102">
        <v>0</v>
      </c>
      <c r="AE191" s="23">
        <f t="shared" si="259"/>
        <v>1733653.24</v>
      </c>
      <c r="AF191" s="34">
        <v>0</v>
      </c>
      <c r="AG191" s="26">
        <f t="shared" si="195"/>
        <v>1733653.24</v>
      </c>
      <c r="AH191" s="27" t="s">
        <v>871</v>
      </c>
      <c r="AI191" s="34"/>
      <c r="AJ191" s="38">
        <v>173365</v>
      </c>
      <c r="AK191" s="1">
        <v>0</v>
      </c>
    </row>
    <row r="192" spans="1:37" ht="409.5" x14ac:dyDescent="0.25">
      <c r="A192" s="14">
        <v>188</v>
      </c>
      <c r="B192" s="7">
        <v>126526</v>
      </c>
      <c r="C192" s="8">
        <v>498</v>
      </c>
      <c r="D192" s="14" t="s">
        <v>171</v>
      </c>
      <c r="E192" s="15" t="s">
        <v>1269</v>
      </c>
      <c r="F192" s="17" t="s">
        <v>1268</v>
      </c>
      <c r="G192" s="36" t="s">
        <v>1412</v>
      </c>
      <c r="H192" s="15" t="s">
        <v>1410</v>
      </c>
      <c r="I192" s="14" t="s">
        <v>185</v>
      </c>
      <c r="J192" s="187" t="s">
        <v>1416</v>
      </c>
      <c r="K192" s="20">
        <v>43608</v>
      </c>
      <c r="L192" s="32">
        <v>44339</v>
      </c>
      <c r="M192" s="14">
        <f t="shared" si="258"/>
        <v>83.30000063911281</v>
      </c>
      <c r="N192" s="9" t="s">
        <v>1415</v>
      </c>
      <c r="O192" s="9" t="s">
        <v>1414</v>
      </c>
      <c r="P192" s="9" t="s">
        <v>1414</v>
      </c>
      <c r="Q192" s="14" t="s">
        <v>326</v>
      </c>
      <c r="R192" s="14" t="s">
        <v>36</v>
      </c>
      <c r="S192" s="29">
        <f t="shared" si="264"/>
        <v>1444133.16</v>
      </c>
      <c r="T192" s="123">
        <v>1444133.16</v>
      </c>
      <c r="U192" s="102">
        <v>0</v>
      </c>
      <c r="V192" s="29">
        <f t="shared" si="265"/>
        <v>254847.02</v>
      </c>
      <c r="W192" s="123">
        <v>254847.02</v>
      </c>
      <c r="X192" s="102">
        <v>0</v>
      </c>
      <c r="Y192" s="29">
        <f t="shared" si="260"/>
        <v>0</v>
      </c>
      <c r="Z192" s="102">
        <v>0</v>
      </c>
      <c r="AA192" s="102">
        <v>0</v>
      </c>
      <c r="AB192" s="23">
        <f t="shared" si="261"/>
        <v>34673.06</v>
      </c>
      <c r="AC192" s="123">
        <v>34673.06</v>
      </c>
      <c r="AD192" s="102">
        <v>0</v>
      </c>
      <c r="AE192" s="23">
        <f t="shared" si="259"/>
        <v>1733653.24</v>
      </c>
      <c r="AF192" s="34">
        <v>0</v>
      </c>
      <c r="AG192" s="26">
        <f t="shared" si="195"/>
        <v>1733653.24</v>
      </c>
      <c r="AH192" s="27" t="s">
        <v>871</v>
      </c>
      <c r="AI192" s="34"/>
      <c r="AJ192" s="38">
        <v>173365</v>
      </c>
      <c r="AK192" s="1">
        <v>0</v>
      </c>
    </row>
    <row r="193" spans="1:37" s="154" customFormat="1" ht="409.5" x14ac:dyDescent="0.25">
      <c r="A193" s="12">
        <v>189</v>
      </c>
      <c r="B193" s="13">
        <v>119193</v>
      </c>
      <c r="C193" s="8">
        <v>2</v>
      </c>
      <c r="D193" s="14" t="s">
        <v>172</v>
      </c>
      <c r="E193" s="18" t="s">
        <v>165</v>
      </c>
      <c r="F193" s="16" t="s">
        <v>125</v>
      </c>
      <c r="G193" s="17" t="s">
        <v>37</v>
      </c>
      <c r="H193" s="17" t="s">
        <v>35</v>
      </c>
      <c r="I193" s="9" t="s">
        <v>185</v>
      </c>
      <c r="J193" s="48" t="s">
        <v>38</v>
      </c>
      <c r="K193" s="20">
        <v>42459</v>
      </c>
      <c r="L193" s="32">
        <v>43373</v>
      </c>
      <c r="M193" s="21">
        <f>S193/AE193*100</f>
        <v>83.983862816086358</v>
      </c>
      <c r="N193" s="14" t="s">
        <v>155</v>
      </c>
      <c r="O193" s="14" t="s">
        <v>156</v>
      </c>
      <c r="P193" s="14" t="s">
        <v>156</v>
      </c>
      <c r="Q193" s="42" t="s">
        <v>157</v>
      </c>
      <c r="R193" s="14" t="s">
        <v>36</v>
      </c>
      <c r="S193" s="23">
        <f>T193+U193</f>
        <v>11141147.18</v>
      </c>
      <c r="T193" s="23">
        <v>8984364.5299999993</v>
      </c>
      <c r="U193" s="23">
        <v>2156782.65</v>
      </c>
      <c r="V193" s="23">
        <f>W193+X193</f>
        <v>0</v>
      </c>
      <c r="W193" s="23">
        <v>0</v>
      </c>
      <c r="X193" s="23">
        <v>0</v>
      </c>
      <c r="Y193" s="23">
        <f>Z193+AA193</f>
        <v>2124671.7600000002</v>
      </c>
      <c r="Z193" s="23">
        <v>1585476.09</v>
      </c>
      <c r="AA193" s="23">
        <v>539195.67000000004</v>
      </c>
      <c r="AB193" s="23">
        <f t="shared" si="222"/>
        <v>0</v>
      </c>
      <c r="AC193" s="23"/>
      <c r="AD193" s="23"/>
      <c r="AE193" s="23">
        <f t="shared" si="214"/>
        <v>13265818.939999999</v>
      </c>
      <c r="AF193" s="23">
        <v>0</v>
      </c>
      <c r="AG193" s="26">
        <f t="shared" si="195"/>
        <v>13265818.939999999</v>
      </c>
      <c r="AH193" s="27" t="s">
        <v>1073</v>
      </c>
      <c r="AI193" s="28" t="s">
        <v>327</v>
      </c>
      <c r="AJ193" s="54">
        <f>8636594.63+2463862.74+15076.78</f>
        <v>11115534.15</v>
      </c>
      <c r="AK193" s="29">
        <v>0</v>
      </c>
    </row>
    <row r="194" spans="1:37" ht="330.75" x14ac:dyDescent="0.25">
      <c r="A194" s="12">
        <v>190</v>
      </c>
      <c r="B194" s="13">
        <v>117842</v>
      </c>
      <c r="C194" s="8">
        <v>3</v>
      </c>
      <c r="D194" s="14" t="s">
        <v>172</v>
      </c>
      <c r="E194" s="18" t="s">
        <v>165</v>
      </c>
      <c r="F194" s="189" t="s">
        <v>125</v>
      </c>
      <c r="G194" s="17" t="s">
        <v>40</v>
      </c>
      <c r="H194" s="17" t="s">
        <v>39</v>
      </c>
      <c r="I194" s="14" t="s">
        <v>197</v>
      </c>
      <c r="J194" s="48" t="s">
        <v>41</v>
      </c>
      <c r="K194" s="20">
        <v>42534</v>
      </c>
      <c r="L194" s="32">
        <v>43585</v>
      </c>
      <c r="M194" s="21">
        <f t="shared" ref="M194:M257" si="266">S194/AE194*100</f>
        <v>83.983864495221582</v>
      </c>
      <c r="N194" s="14" t="s">
        <v>155</v>
      </c>
      <c r="O194" s="14" t="s">
        <v>156</v>
      </c>
      <c r="P194" s="14" t="s">
        <v>156</v>
      </c>
      <c r="Q194" s="42" t="s">
        <v>157</v>
      </c>
      <c r="R194" s="14" t="s">
        <v>36</v>
      </c>
      <c r="S194" s="23">
        <f>T194+U194</f>
        <v>15396417.879999999</v>
      </c>
      <c r="T194" s="23">
        <v>12415869.539999999</v>
      </c>
      <c r="U194" s="23">
        <v>2980548.34</v>
      </c>
      <c r="V194" s="23">
        <f t="shared" ref="V194:V257" si="267">W194+X194</f>
        <v>0</v>
      </c>
      <c r="W194" s="23">
        <v>0</v>
      </c>
      <c r="X194" s="23">
        <v>0</v>
      </c>
      <c r="Y194" s="23">
        <f>Z194+AA194</f>
        <v>2936172.52</v>
      </c>
      <c r="Z194" s="23">
        <v>2191035.59</v>
      </c>
      <c r="AA194" s="23">
        <v>745136.93</v>
      </c>
      <c r="AB194" s="23">
        <f t="shared" si="222"/>
        <v>0</v>
      </c>
      <c r="AC194" s="23"/>
      <c r="AD194" s="23"/>
      <c r="AE194" s="23">
        <f t="shared" si="214"/>
        <v>18332590.399999999</v>
      </c>
      <c r="AF194" s="23">
        <v>0</v>
      </c>
      <c r="AG194" s="26">
        <f t="shared" si="195"/>
        <v>18332590.399999999</v>
      </c>
      <c r="AH194" s="27" t="s">
        <v>1073</v>
      </c>
      <c r="AI194" s="28" t="s">
        <v>1209</v>
      </c>
      <c r="AJ194" s="29">
        <f>9867764.76+844965.23</f>
        <v>10712729.99</v>
      </c>
      <c r="AK194" s="49">
        <v>0</v>
      </c>
    </row>
    <row r="195" spans="1:37" ht="330.75" x14ac:dyDescent="0.25">
      <c r="A195" s="14">
        <v>191</v>
      </c>
      <c r="B195" s="13">
        <v>118291</v>
      </c>
      <c r="C195" s="8">
        <v>4</v>
      </c>
      <c r="D195" s="14" t="s">
        <v>173</v>
      </c>
      <c r="E195" s="18" t="s">
        <v>165</v>
      </c>
      <c r="F195" s="189" t="s">
        <v>125</v>
      </c>
      <c r="G195" s="17" t="s">
        <v>43</v>
      </c>
      <c r="H195" s="17" t="s">
        <v>42</v>
      </c>
      <c r="I195" s="14" t="s">
        <v>196</v>
      </c>
      <c r="J195" s="48" t="s">
        <v>44</v>
      </c>
      <c r="K195" s="20">
        <v>42459</v>
      </c>
      <c r="L195" s="32">
        <v>43220</v>
      </c>
      <c r="M195" s="21">
        <f t="shared" si="266"/>
        <v>83.983862772799696</v>
      </c>
      <c r="N195" s="14" t="s">
        <v>155</v>
      </c>
      <c r="O195" s="14" t="s">
        <v>156</v>
      </c>
      <c r="P195" s="14" t="s">
        <v>156</v>
      </c>
      <c r="Q195" s="42" t="s">
        <v>157</v>
      </c>
      <c r="R195" s="14" t="s">
        <v>36</v>
      </c>
      <c r="S195" s="23">
        <f t="shared" ref="S195:S258" si="268">T195+U195</f>
        <v>9512414.3200000003</v>
      </c>
      <c r="T195" s="23">
        <v>7670933.3799999999</v>
      </c>
      <c r="U195" s="23">
        <v>1841480.94</v>
      </c>
      <c r="V195" s="23">
        <f t="shared" si="267"/>
        <v>0</v>
      </c>
      <c r="W195" s="23">
        <v>0</v>
      </c>
      <c r="X195" s="23">
        <v>0</v>
      </c>
      <c r="Y195" s="23">
        <f t="shared" ref="Y195:Y258" si="269">Z195+AA195</f>
        <v>1814064.3699999999</v>
      </c>
      <c r="Z195" s="23">
        <v>1353694.13</v>
      </c>
      <c r="AA195" s="23">
        <v>460370.24</v>
      </c>
      <c r="AB195" s="23">
        <f t="shared" si="222"/>
        <v>0</v>
      </c>
      <c r="AC195" s="23"/>
      <c r="AD195" s="23"/>
      <c r="AE195" s="23">
        <f t="shared" si="214"/>
        <v>11326478.689999999</v>
      </c>
      <c r="AF195" s="23">
        <v>0</v>
      </c>
      <c r="AG195" s="26">
        <f t="shared" si="195"/>
        <v>11326478.689999999</v>
      </c>
      <c r="AH195" s="27" t="s">
        <v>1073</v>
      </c>
      <c r="AI195" s="28" t="s">
        <v>210</v>
      </c>
      <c r="AJ195" s="29">
        <f>8122384.62+520669.77+28017.46</f>
        <v>8671071.8500000015</v>
      </c>
      <c r="AK195" s="49">
        <v>0</v>
      </c>
    </row>
    <row r="196" spans="1:37" ht="236.25" x14ac:dyDescent="0.25">
      <c r="A196" s="12">
        <v>192</v>
      </c>
      <c r="B196" s="13">
        <v>118957</v>
      </c>
      <c r="C196" s="8">
        <v>5</v>
      </c>
      <c r="D196" s="14" t="s">
        <v>172</v>
      </c>
      <c r="E196" s="18" t="s">
        <v>165</v>
      </c>
      <c r="F196" s="189" t="s">
        <v>125</v>
      </c>
      <c r="G196" s="17" t="s">
        <v>46</v>
      </c>
      <c r="H196" s="17" t="s">
        <v>45</v>
      </c>
      <c r="I196" s="14" t="s">
        <v>197</v>
      </c>
      <c r="J196" s="48" t="s">
        <v>47</v>
      </c>
      <c r="K196" s="20">
        <v>42900</v>
      </c>
      <c r="L196" s="32">
        <v>43722</v>
      </c>
      <c r="M196" s="21">
        <f t="shared" si="266"/>
        <v>83.983862721834797</v>
      </c>
      <c r="N196" s="14" t="s">
        <v>155</v>
      </c>
      <c r="O196" s="14" t="s">
        <v>156</v>
      </c>
      <c r="P196" s="14" t="s">
        <v>156</v>
      </c>
      <c r="Q196" s="42" t="s">
        <v>157</v>
      </c>
      <c r="R196" s="14" t="s">
        <v>36</v>
      </c>
      <c r="S196" s="23">
        <f>T196+U196</f>
        <v>4555318.1900000004</v>
      </c>
      <c r="T196" s="23">
        <v>3673467.24</v>
      </c>
      <c r="U196" s="23">
        <v>881850.95</v>
      </c>
      <c r="V196" s="23">
        <f t="shared" si="267"/>
        <v>0</v>
      </c>
      <c r="W196" s="23">
        <v>0</v>
      </c>
      <c r="X196" s="23">
        <v>0</v>
      </c>
      <c r="Y196" s="23">
        <f t="shared" si="269"/>
        <v>868721.67</v>
      </c>
      <c r="Z196" s="23">
        <v>648258.93000000005</v>
      </c>
      <c r="AA196" s="23">
        <v>220462.74</v>
      </c>
      <c r="AB196" s="23">
        <f t="shared" si="222"/>
        <v>0</v>
      </c>
      <c r="AC196" s="23"/>
      <c r="AD196" s="23"/>
      <c r="AE196" s="23">
        <f t="shared" si="214"/>
        <v>5424039.8600000003</v>
      </c>
      <c r="AF196" s="23">
        <v>0</v>
      </c>
      <c r="AG196" s="26">
        <f t="shared" si="195"/>
        <v>5424039.8600000003</v>
      </c>
      <c r="AH196" s="27" t="s">
        <v>585</v>
      </c>
      <c r="AI196" s="190" t="s">
        <v>185</v>
      </c>
      <c r="AJ196" s="29">
        <v>2210161.75</v>
      </c>
      <c r="AK196" s="49">
        <v>0</v>
      </c>
    </row>
    <row r="197" spans="1:37" ht="252" x14ac:dyDescent="0.25">
      <c r="A197" s="12">
        <v>193</v>
      </c>
      <c r="B197" s="13">
        <v>118448</v>
      </c>
      <c r="C197" s="8">
        <v>6</v>
      </c>
      <c r="D197" s="14" t="s">
        <v>172</v>
      </c>
      <c r="E197" s="18" t="s">
        <v>165</v>
      </c>
      <c r="F197" s="189" t="s">
        <v>125</v>
      </c>
      <c r="G197" s="17" t="s">
        <v>49</v>
      </c>
      <c r="H197" s="17" t="s">
        <v>48</v>
      </c>
      <c r="I197" s="14" t="s">
        <v>185</v>
      </c>
      <c r="J197" s="48" t="s">
        <v>50</v>
      </c>
      <c r="K197" s="20">
        <v>42458</v>
      </c>
      <c r="L197" s="32">
        <v>43705</v>
      </c>
      <c r="M197" s="21">
        <f t="shared" si="266"/>
        <v>83.983862411375569</v>
      </c>
      <c r="N197" s="14" t="s">
        <v>155</v>
      </c>
      <c r="O197" s="14" t="s">
        <v>156</v>
      </c>
      <c r="P197" s="14" t="s">
        <v>156</v>
      </c>
      <c r="Q197" s="42" t="s">
        <v>157</v>
      </c>
      <c r="R197" s="14" t="s">
        <v>36</v>
      </c>
      <c r="S197" s="23">
        <f t="shared" si="268"/>
        <v>15459786.27</v>
      </c>
      <c r="T197" s="23">
        <v>12466970.77</v>
      </c>
      <c r="U197" s="23">
        <v>2992815.5</v>
      </c>
      <c r="V197" s="23">
        <f t="shared" si="267"/>
        <v>0</v>
      </c>
      <c r="W197" s="23">
        <v>0</v>
      </c>
      <c r="X197" s="23">
        <v>0</v>
      </c>
      <c r="Y197" s="23">
        <f t="shared" si="269"/>
        <v>2948257.6399999997</v>
      </c>
      <c r="Z197" s="23">
        <v>2200053.65</v>
      </c>
      <c r="AA197" s="23">
        <v>748203.99</v>
      </c>
      <c r="AB197" s="23">
        <f t="shared" si="222"/>
        <v>0</v>
      </c>
      <c r="AC197" s="23"/>
      <c r="AD197" s="23"/>
      <c r="AE197" s="23">
        <f t="shared" si="214"/>
        <v>18408043.91</v>
      </c>
      <c r="AF197" s="23">
        <v>0</v>
      </c>
      <c r="AG197" s="26">
        <f t="shared" si="195"/>
        <v>18408043.91</v>
      </c>
      <c r="AH197" s="27" t="s">
        <v>585</v>
      </c>
      <c r="AI197" s="28" t="s">
        <v>1408</v>
      </c>
      <c r="AJ197" s="29">
        <f>9840778.73+367299.37+1567368.94</f>
        <v>11775447.039999999</v>
      </c>
      <c r="AK197" s="49">
        <v>0</v>
      </c>
    </row>
    <row r="198" spans="1:37" ht="173.25" x14ac:dyDescent="0.25">
      <c r="A198" s="14">
        <v>194</v>
      </c>
      <c r="B198" s="13">
        <v>118575</v>
      </c>
      <c r="C198" s="8">
        <v>7</v>
      </c>
      <c r="D198" s="14" t="s">
        <v>170</v>
      </c>
      <c r="E198" s="18" t="s">
        <v>165</v>
      </c>
      <c r="F198" s="189" t="s">
        <v>125</v>
      </c>
      <c r="G198" s="17" t="s">
        <v>52</v>
      </c>
      <c r="H198" s="17" t="s">
        <v>51</v>
      </c>
      <c r="I198" s="14" t="s">
        <v>185</v>
      </c>
      <c r="J198" s="48" t="s">
        <v>53</v>
      </c>
      <c r="K198" s="20">
        <v>42592</v>
      </c>
      <c r="L198" s="32">
        <v>43687</v>
      </c>
      <c r="M198" s="21">
        <f t="shared" si="266"/>
        <v>83.983862823517285</v>
      </c>
      <c r="N198" s="14" t="s">
        <v>155</v>
      </c>
      <c r="O198" s="14" t="s">
        <v>156</v>
      </c>
      <c r="P198" s="14" t="s">
        <v>156</v>
      </c>
      <c r="Q198" s="42" t="s">
        <v>157</v>
      </c>
      <c r="R198" s="14" t="s">
        <v>36</v>
      </c>
      <c r="S198" s="23">
        <f t="shared" si="268"/>
        <v>8244072.25</v>
      </c>
      <c r="T198" s="23">
        <v>6648126</v>
      </c>
      <c r="U198" s="23">
        <v>1595946.25</v>
      </c>
      <c r="V198" s="23">
        <f t="shared" si="267"/>
        <v>0</v>
      </c>
      <c r="W198" s="23">
        <v>0</v>
      </c>
      <c r="X198" s="23">
        <v>0</v>
      </c>
      <c r="Y198" s="23">
        <f t="shared" si="269"/>
        <v>1572185.27</v>
      </c>
      <c r="Z198" s="23">
        <v>1173198.71</v>
      </c>
      <c r="AA198" s="23">
        <v>398986.56</v>
      </c>
      <c r="AB198" s="23">
        <f t="shared" si="222"/>
        <v>0</v>
      </c>
      <c r="AC198" s="23"/>
      <c r="AD198" s="23"/>
      <c r="AE198" s="23">
        <f t="shared" si="214"/>
        <v>9816257.5199999996</v>
      </c>
      <c r="AF198" s="23">
        <v>0</v>
      </c>
      <c r="AG198" s="26">
        <f t="shared" ref="AG198:AG261" si="270">AE198+AF198</f>
        <v>9816257.5199999996</v>
      </c>
      <c r="AH198" s="27" t="s">
        <v>585</v>
      </c>
      <c r="AI198" s="28" t="s">
        <v>1210</v>
      </c>
      <c r="AJ198" s="29">
        <f>2263203.63+133525.16</f>
        <v>2396728.79</v>
      </c>
      <c r="AK198" s="49">
        <v>0</v>
      </c>
    </row>
    <row r="199" spans="1:37" ht="378" x14ac:dyDescent="0.25">
      <c r="A199" s="12">
        <v>195</v>
      </c>
      <c r="B199" s="13">
        <v>122100</v>
      </c>
      <c r="C199" s="8">
        <v>8</v>
      </c>
      <c r="D199" s="14" t="s">
        <v>175</v>
      </c>
      <c r="E199" s="18" t="s">
        <v>165</v>
      </c>
      <c r="F199" s="189" t="s">
        <v>125</v>
      </c>
      <c r="G199" s="17" t="s">
        <v>55</v>
      </c>
      <c r="H199" s="17" t="s">
        <v>54</v>
      </c>
      <c r="I199" s="14" t="s">
        <v>185</v>
      </c>
      <c r="J199" s="48" t="s">
        <v>56</v>
      </c>
      <c r="K199" s="20">
        <v>42661</v>
      </c>
      <c r="L199" s="32">
        <v>43756</v>
      </c>
      <c r="M199" s="21">
        <f t="shared" si="266"/>
        <v>83.983862943976007</v>
      </c>
      <c r="N199" s="14" t="s">
        <v>155</v>
      </c>
      <c r="O199" s="14" t="s">
        <v>156</v>
      </c>
      <c r="P199" s="14" t="s">
        <v>156</v>
      </c>
      <c r="Q199" s="42" t="s">
        <v>157</v>
      </c>
      <c r="R199" s="14" t="s">
        <v>36</v>
      </c>
      <c r="S199" s="23">
        <f t="shared" si="268"/>
        <v>1681184.87</v>
      </c>
      <c r="T199" s="23">
        <v>1355729.12</v>
      </c>
      <c r="U199" s="23">
        <v>325455.75</v>
      </c>
      <c r="V199" s="23">
        <f t="shared" si="267"/>
        <v>0</v>
      </c>
      <c r="W199" s="23">
        <v>0</v>
      </c>
      <c r="X199" s="23">
        <v>0</v>
      </c>
      <c r="Y199" s="23">
        <f t="shared" si="269"/>
        <v>320610.25</v>
      </c>
      <c r="Z199" s="23">
        <v>239246.31</v>
      </c>
      <c r="AA199" s="23">
        <v>81363.94</v>
      </c>
      <c r="AB199" s="23">
        <f t="shared" si="222"/>
        <v>0</v>
      </c>
      <c r="AC199" s="23"/>
      <c r="AD199" s="23"/>
      <c r="AE199" s="23">
        <f t="shared" si="214"/>
        <v>2001795.12</v>
      </c>
      <c r="AF199" s="23">
        <v>0</v>
      </c>
      <c r="AG199" s="26">
        <f t="shared" si="270"/>
        <v>2001795.12</v>
      </c>
      <c r="AH199" s="27" t="s">
        <v>585</v>
      </c>
      <c r="AI199" s="28" t="s">
        <v>1386</v>
      </c>
      <c r="AJ199" s="29">
        <f>258033.64+369296.57</f>
        <v>627330.21</v>
      </c>
      <c r="AK199" s="49">
        <v>0</v>
      </c>
    </row>
    <row r="200" spans="1:37" ht="283.5" x14ac:dyDescent="0.25">
      <c r="A200" s="12">
        <v>196</v>
      </c>
      <c r="B200" s="13">
        <v>120313</v>
      </c>
      <c r="C200" s="8">
        <v>9</v>
      </c>
      <c r="D200" s="14" t="s">
        <v>168</v>
      </c>
      <c r="E200" s="18" t="s">
        <v>165</v>
      </c>
      <c r="F200" s="189" t="s">
        <v>125</v>
      </c>
      <c r="G200" s="17" t="s">
        <v>57</v>
      </c>
      <c r="H200" s="17" t="s">
        <v>328</v>
      </c>
      <c r="I200" s="14" t="s">
        <v>201</v>
      </c>
      <c r="J200" s="48" t="s">
        <v>58</v>
      </c>
      <c r="K200" s="20">
        <v>42446</v>
      </c>
      <c r="L200" s="32">
        <v>43633</v>
      </c>
      <c r="M200" s="21">
        <f t="shared" si="266"/>
        <v>83.983862848864632</v>
      </c>
      <c r="N200" s="14" t="s">
        <v>155</v>
      </c>
      <c r="O200" s="14" t="s">
        <v>156</v>
      </c>
      <c r="P200" s="14" t="s">
        <v>156</v>
      </c>
      <c r="Q200" s="42" t="s">
        <v>157</v>
      </c>
      <c r="R200" s="14" t="s">
        <v>36</v>
      </c>
      <c r="S200" s="23">
        <f>T200+U200</f>
        <v>30189820.119999997</v>
      </c>
      <c r="T200" s="23">
        <v>24345459.629999999</v>
      </c>
      <c r="U200" s="23">
        <v>5844360.4900000002</v>
      </c>
      <c r="V200" s="23">
        <v>1966327.81</v>
      </c>
      <c r="W200" s="23">
        <v>1453132.81</v>
      </c>
      <c r="X200" s="23">
        <v>513195</v>
      </c>
      <c r="Y200" s="23">
        <f t="shared" si="269"/>
        <v>3791019.8899999997</v>
      </c>
      <c r="Z200" s="23">
        <v>2843124.76</v>
      </c>
      <c r="AA200" s="23">
        <v>947895.13</v>
      </c>
      <c r="AB200" s="23">
        <f t="shared" si="222"/>
        <v>0</v>
      </c>
      <c r="AC200" s="23"/>
      <c r="AD200" s="23"/>
      <c r="AE200" s="23">
        <f t="shared" si="214"/>
        <v>35947167.819999993</v>
      </c>
      <c r="AF200" s="23">
        <v>0</v>
      </c>
      <c r="AG200" s="26">
        <f t="shared" si="270"/>
        <v>35947167.819999993</v>
      </c>
      <c r="AH200" s="27" t="s">
        <v>585</v>
      </c>
      <c r="AI200" s="28" t="s">
        <v>1271</v>
      </c>
      <c r="AJ200" s="29">
        <f>25165624.15-64.26+536667.37</f>
        <v>25702227.259999998</v>
      </c>
      <c r="AK200" s="49">
        <f>1447911.57+64.26+197802.03</f>
        <v>1645777.86</v>
      </c>
    </row>
    <row r="201" spans="1:37" ht="409.5" x14ac:dyDescent="0.25">
      <c r="A201" s="14">
        <v>197</v>
      </c>
      <c r="B201" s="13">
        <v>121644</v>
      </c>
      <c r="C201" s="8">
        <v>10</v>
      </c>
      <c r="D201" s="14" t="s">
        <v>175</v>
      </c>
      <c r="E201" s="18" t="s">
        <v>165</v>
      </c>
      <c r="F201" s="189" t="s">
        <v>125</v>
      </c>
      <c r="G201" s="17" t="s">
        <v>59</v>
      </c>
      <c r="H201" s="17" t="s">
        <v>54</v>
      </c>
      <c r="I201" s="14" t="s">
        <v>185</v>
      </c>
      <c r="J201" s="48" t="s">
        <v>60</v>
      </c>
      <c r="K201" s="20">
        <v>42538</v>
      </c>
      <c r="L201" s="32">
        <v>43298</v>
      </c>
      <c r="M201" s="21">
        <f t="shared" si="266"/>
        <v>83.983862739322618</v>
      </c>
      <c r="N201" s="14" t="s">
        <v>155</v>
      </c>
      <c r="O201" s="14" t="s">
        <v>156</v>
      </c>
      <c r="P201" s="14" t="s">
        <v>156</v>
      </c>
      <c r="Q201" s="42" t="s">
        <v>157</v>
      </c>
      <c r="R201" s="14" t="s">
        <v>36</v>
      </c>
      <c r="S201" s="23">
        <f t="shared" si="268"/>
        <v>2777962.48</v>
      </c>
      <c r="T201" s="23">
        <v>2240184.71</v>
      </c>
      <c r="U201" s="23">
        <v>537777.77</v>
      </c>
      <c r="V201" s="23">
        <f t="shared" si="267"/>
        <v>0</v>
      </c>
      <c r="W201" s="23">
        <v>0</v>
      </c>
      <c r="X201" s="23">
        <v>0</v>
      </c>
      <c r="Y201" s="23">
        <f t="shared" si="269"/>
        <v>529771.16</v>
      </c>
      <c r="Z201" s="23">
        <v>395326.72000000003</v>
      </c>
      <c r="AA201" s="23">
        <v>134444.44</v>
      </c>
      <c r="AB201" s="23">
        <f t="shared" si="222"/>
        <v>0</v>
      </c>
      <c r="AC201" s="23"/>
      <c r="AD201" s="23"/>
      <c r="AE201" s="23">
        <f t="shared" si="214"/>
        <v>3307733.64</v>
      </c>
      <c r="AF201" s="23">
        <v>192499.20000000001</v>
      </c>
      <c r="AG201" s="26">
        <f t="shared" si="270"/>
        <v>3500232.8400000003</v>
      </c>
      <c r="AH201" s="27" t="s">
        <v>1073</v>
      </c>
      <c r="AI201" s="28" t="s">
        <v>236</v>
      </c>
      <c r="AJ201" s="29">
        <v>2635526.38</v>
      </c>
      <c r="AK201" s="49">
        <v>0</v>
      </c>
    </row>
    <row r="202" spans="1:37" ht="409.5" x14ac:dyDescent="0.25">
      <c r="A202" s="12">
        <v>198</v>
      </c>
      <c r="B202" s="13">
        <v>118305</v>
      </c>
      <c r="C202" s="8">
        <v>11</v>
      </c>
      <c r="D202" s="14" t="s">
        <v>168</v>
      </c>
      <c r="E202" s="18" t="s">
        <v>165</v>
      </c>
      <c r="F202" s="189" t="s">
        <v>125</v>
      </c>
      <c r="G202" s="17" t="s">
        <v>62</v>
      </c>
      <c r="H202" s="17" t="s">
        <v>61</v>
      </c>
      <c r="I202" s="14" t="s">
        <v>201</v>
      </c>
      <c r="J202" s="48" t="s">
        <v>63</v>
      </c>
      <c r="K202" s="20">
        <v>42467</v>
      </c>
      <c r="L202" s="32">
        <v>43561</v>
      </c>
      <c r="M202" s="21">
        <f t="shared" si="266"/>
        <v>83.98386392846011</v>
      </c>
      <c r="N202" s="14" t="s">
        <v>155</v>
      </c>
      <c r="O202" s="14" t="s">
        <v>156</v>
      </c>
      <c r="P202" s="14" t="s">
        <v>156</v>
      </c>
      <c r="Q202" s="42" t="s">
        <v>157</v>
      </c>
      <c r="R202" s="14" t="s">
        <v>36</v>
      </c>
      <c r="S202" s="23">
        <f t="shared" si="268"/>
        <v>13566063.25</v>
      </c>
      <c r="T202" s="23">
        <v>10939848.08</v>
      </c>
      <c r="U202" s="23">
        <v>2626215.17</v>
      </c>
      <c r="V202" s="23">
        <f t="shared" si="267"/>
        <v>0</v>
      </c>
      <c r="W202" s="23">
        <v>0</v>
      </c>
      <c r="X202" s="23">
        <v>0</v>
      </c>
      <c r="Y202" s="23">
        <f t="shared" si="269"/>
        <v>2587115.0099999998</v>
      </c>
      <c r="Z202" s="23">
        <v>1930561.24</v>
      </c>
      <c r="AA202" s="23">
        <v>656553.77</v>
      </c>
      <c r="AB202" s="23">
        <f t="shared" ref="AB202:AB257" si="271">AC202+AD202</f>
        <v>0</v>
      </c>
      <c r="AC202" s="23">
        <v>0</v>
      </c>
      <c r="AD202" s="23">
        <v>0</v>
      </c>
      <c r="AE202" s="23">
        <f t="shared" si="214"/>
        <v>16153178.26</v>
      </c>
      <c r="AF202" s="23">
        <v>0</v>
      </c>
      <c r="AG202" s="26">
        <f t="shared" si="270"/>
        <v>16153178.26</v>
      </c>
      <c r="AH202" s="27" t="s">
        <v>1073</v>
      </c>
      <c r="AI202" s="28" t="s">
        <v>1105</v>
      </c>
      <c r="AJ202" s="29">
        <f>10642106.1+921431.45+112475.1+751485.06</f>
        <v>12427497.709999999</v>
      </c>
      <c r="AK202" s="49">
        <v>0</v>
      </c>
    </row>
    <row r="203" spans="1:37" ht="252" x14ac:dyDescent="0.25">
      <c r="A203" s="12">
        <v>199</v>
      </c>
      <c r="B203" s="13">
        <v>118349</v>
      </c>
      <c r="C203" s="8">
        <v>13</v>
      </c>
      <c r="D203" s="14" t="s">
        <v>173</v>
      </c>
      <c r="E203" s="18" t="s">
        <v>165</v>
      </c>
      <c r="F203" s="189" t="s">
        <v>125</v>
      </c>
      <c r="G203" s="17" t="s">
        <v>65</v>
      </c>
      <c r="H203" s="17" t="s">
        <v>64</v>
      </c>
      <c r="I203" s="14" t="s">
        <v>197</v>
      </c>
      <c r="J203" s="48" t="s">
        <v>66</v>
      </c>
      <c r="K203" s="20">
        <v>42663</v>
      </c>
      <c r="L203" s="32">
        <v>43758</v>
      </c>
      <c r="M203" s="21">
        <f t="shared" si="266"/>
        <v>83.983862845432327</v>
      </c>
      <c r="N203" s="14" t="s">
        <v>155</v>
      </c>
      <c r="O203" s="14" t="s">
        <v>156</v>
      </c>
      <c r="P203" s="14" t="s">
        <v>156</v>
      </c>
      <c r="Q203" s="42" t="s">
        <v>157</v>
      </c>
      <c r="R203" s="14" t="s">
        <v>36</v>
      </c>
      <c r="S203" s="23">
        <f t="shared" si="268"/>
        <v>9782795.4699999988</v>
      </c>
      <c r="T203" s="23">
        <v>7888972.2199999997</v>
      </c>
      <c r="U203" s="23">
        <v>1893823.25</v>
      </c>
      <c r="V203" s="23">
        <f t="shared" si="267"/>
        <v>0</v>
      </c>
      <c r="W203" s="23">
        <v>0</v>
      </c>
      <c r="X203" s="23">
        <v>0</v>
      </c>
      <c r="Y203" s="23">
        <f t="shared" si="269"/>
        <v>1865627.3800000001</v>
      </c>
      <c r="Z203" s="23">
        <v>1392171.57</v>
      </c>
      <c r="AA203" s="23">
        <v>473455.81</v>
      </c>
      <c r="AB203" s="23">
        <f t="shared" si="271"/>
        <v>0</v>
      </c>
      <c r="AC203" s="23"/>
      <c r="AD203" s="23"/>
      <c r="AE203" s="23">
        <f t="shared" si="214"/>
        <v>11648422.85</v>
      </c>
      <c r="AF203" s="23">
        <v>0</v>
      </c>
      <c r="AG203" s="26">
        <f t="shared" si="270"/>
        <v>11648422.85</v>
      </c>
      <c r="AH203" s="27" t="s">
        <v>585</v>
      </c>
      <c r="AI203" s="28" t="s">
        <v>189</v>
      </c>
      <c r="AJ203" s="29">
        <f>1581295.57+590628.38+390172.91</f>
        <v>2562096.8600000003</v>
      </c>
      <c r="AK203" s="49">
        <v>0</v>
      </c>
    </row>
    <row r="204" spans="1:37" ht="157.5" x14ac:dyDescent="0.25">
      <c r="A204" s="14">
        <v>200</v>
      </c>
      <c r="B204" s="13">
        <v>118894</v>
      </c>
      <c r="C204" s="8">
        <v>15</v>
      </c>
      <c r="D204" s="14" t="s">
        <v>170</v>
      </c>
      <c r="E204" s="18" t="s">
        <v>165</v>
      </c>
      <c r="F204" s="189" t="s">
        <v>125</v>
      </c>
      <c r="G204" s="17" t="s">
        <v>68</v>
      </c>
      <c r="H204" s="17" t="s">
        <v>67</v>
      </c>
      <c r="I204" s="14" t="s">
        <v>185</v>
      </c>
      <c r="J204" s="48" t="s">
        <v>69</v>
      </c>
      <c r="K204" s="20">
        <v>42717</v>
      </c>
      <c r="L204" s="32">
        <v>43812</v>
      </c>
      <c r="M204" s="21">
        <f t="shared" si="266"/>
        <v>83.983863051796376</v>
      </c>
      <c r="N204" s="14" t="s">
        <v>155</v>
      </c>
      <c r="O204" s="14" t="s">
        <v>156</v>
      </c>
      <c r="P204" s="14" t="s">
        <v>156</v>
      </c>
      <c r="Q204" s="42" t="s">
        <v>157</v>
      </c>
      <c r="R204" s="14" t="s">
        <v>36</v>
      </c>
      <c r="S204" s="23">
        <f t="shared" si="268"/>
        <v>2106832.29</v>
      </c>
      <c r="T204" s="23">
        <v>1698976.68</v>
      </c>
      <c r="U204" s="23">
        <v>407855.61</v>
      </c>
      <c r="V204" s="23">
        <f t="shared" si="267"/>
        <v>0</v>
      </c>
      <c r="W204" s="23">
        <v>0</v>
      </c>
      <c r="X204" s="23">
        <v>0</v>
      </c>
      <c r="Y204" s="23">
        <f t="shared" si="269"/>
        <v>401783.30999999994</v>
      </c>
      <c r="Z204" s="23">
        <v>299819.40999999997</v>
      </c>
      <c r="AA204" s="23">
        <v>101963.9</v>
      </c>
      <c r="AB204" s="23">
        <f t="shared" si="271"/>
        <v>0</v>
      </c>
      <c r="AC204" s="23"/>
      <c r="AD204" s="23"/>
      <c r="AE204" s="23">
        <f t="shared" si="214"/>
        <v>2508615.6</v>
      </c>
      <c r="AF204" s="23">
        <v>154711.20000000001</v>
      </c>
      <c r="AG204" s="26">
        <f t="shared" si="270"/>
        <v>2663326.8000000003</v>
      </c>
      <c r="AH204" s="27" t="s">
        <v>585</v>
      </c>
      <c r="AI204" s="28" t="s">
        <v>1097</v>
      </c>
      <c r="AJ204" s="29">
        <v>100211.1</v>
      </c>
      <c r="AK204" s="49">
        <v>0</v>
      </c>
    </row>
    <row r="205" spans="1:37" ht="378" x14ac:dyDescent="0.25">
      <c r="A205" s="12">
        <v>201</v>
      </c>
      <c r="B205" s="13">
        <v>117846</v>
      </c>
      <c r="C205" s="8">
        <v>16</v>
      </c>
      <c r="D205" s="22" t="s">
        <v>172</v>
      </c>
      <c r="E205" s="18" t="s">
        <v>165</v>
      </c>
      <c r="F205" s="189" t="s">
        <v>125</v>
      </c>
      <c r="G205" s="17" t="s">
        <v>126</v>
      </c>
      <c r="H205" s="17" t="s">
        <v>124</v>
      </c>
      <c r="I205" s="14" t="s">
        <v>203</v>
      </c>
      <c r="J205" s="48" t="s">
        <v>127</v>
      </c>
      <c r="K205" s="20">
        <v>42884</v>
      </c>
      <c r="L205" s="32">
        <v>43980</v>
      </c>
      <c r="M205" s="21">
        <f t="shared" si="266"/>
        <v>83.983862657459213</v>
      </c>
      <c r="N205" s="14" t="s">
        <v>155</v>
      </c>
      <c r="O205" s="14" t="s">
        <v>156</v>
      </c>
      <c r="P205" s="14" t="s">
        <v>156</v>
      </c>
      <c r="Q205" s="42" t="s">
        <v>157</v>
      </c>
      <c r="R205" s="14" t="s">
        <v>36</v>
      </c>
      <c r="S205" s="23">
        <f t="shared" si="268"/>
        <v>13499438.890000001</v>
      </c>
      <c r="T205" s="23">
        <v>10886121.34</v>
      </c>
      <c r="U205" s="23">
        <v>2613317.5499999998</v>
      </c>
      <c r="V205" s="23">
        <f t="shared" si="267"/>
        <v>0</v>
      </c>
      <c r="W205" s="23">
        <v>0</v>
      </c>
      <c r="X205" s="23">
        <v>0</v>
      </c>
      <c r="Y205" s="23">
        <f t="shared" si="269"/>
        <v>2574409.66</v>
      </c>
      <c r="Z205" s="23">
        <v>1921080.25</v>
      </c>
      <c r="AA205" s="23">
        <v>653329.41</v>
      </c>
      <c r="AB205" s="23">
        <f t="shared" si="271"/>
        <v>0</v>
      </c>
      <c r="AC205" s="23"/>
      <c r="AD205" s="23"/>
      <c r="AE205" s="23">
        <f t="shared" si="214"/>
        <v>16073848.550000001</v>
      </c>
      <c r="AF205" s="23">
        <v>0</v>
      </c>
      <c r="AG205" s="26">
        <f t="shared" si="270"/>
        <v>16073848.550000001</v>
      </c>
      <c r="AH205" s="27" t="s">
        <v>585</v>
      </c>
      <c r="AI205" s="190" t="s">
        <v>1350</v>
      </c>
      <c r="AJ205" s="29">
        <f>2532656.95+321652.69+380360.36</f>
        <v>3234670</v>
      </c>
      <c r="AK205" s="49">
        <v>0</v>
      </c>
    </row>
    <row r="206" spans="1:37" ht="252" x14ac:dyDescent="0.25">
      <c r="A206" s="12">
        <v>202</v>
      </c>
      <c r="B206" s="13">
        <v>117841</v>
      </c>
      <c r="C206" s="8">
        <v>17</v>
      </c>
      <c r="D206" s="14" t="s">
        <v>173</v>
      </c>
      <c r="E206" s="18" t="s">
        <v>165</v>
      </c>
      <c r="F206" s="189" t="s">
        <v>125</v>
      </c>
      <c r="G206" s="17" t="s">
        <v>71</v>
      </c>
      <c r="H206" s="17" t="s">
        <v>70</v>
      </c>
      <c r="I206" s="14" t="s">
        <v>185</v>
      </c>
      <c r="J206" s="48" t="s">
        <v>676</v>
      </c>
      <c r="K206" s="20">
        <v>42482</v>
      </c>
      <c r="L206" s="32">
        <v>43760</v>
      </c>
      <c r="M206" s="21">
        <f t="shared" si="266"/>
        <v>83.983862907570995</v>
      </c>
      <c r="N206" s="14" t="s">
        <v>155</v>
      </c>
      <c r="O206" s="14" t="s">
        <v>156</v>
      </c>
      <c r="P206" s="14" t="s">
        <v>156</v>
      </c>
      <c r="Q206" s="42" t="s">
        <v>157</v>
      </c>
      <c r="R206" s="14" t="s">
        <v>36</v>
      </c>
      <c r="S206" s="23">
        <f t="shared" si="268"/>
        <v>9778588.4399999995</v>
      </c>
      <c r="T206" s="23">
        <v>7885579.6299999999</v>
      </c>
      <c r="U206" s="23">
        <v>1893008.81</v>
      </c>
      <c r="V206" s="23">
        <f t="shared" si="267"/>
        <v>0</v>
      </c>
      <c r="W206" s="23">
        <v>0</v>
      </c>
      <c r="X206" s="23">
        <v>0</v>
      </c>
      <c r="Y206" s="23">
        <f t="shared" si="269"/>
        <v>1864825.07</v>
      </c>
      <c r="Z206" s="23">
        <v>1391572.85</v>
      </c>
      <c r="AA206" s="23">
        <v>473252.22</v>
      </c>
      <c r="AB206" s="23">
        <f t="shared" si="271"/>
        <v>0</v>
      </c>
      <c r="AC206" s="23"/>
      <c r="AD206" s="23"/>
      <c r="AE206" s="23">
        <f t="shared" ref="AE206:AE270" si="272">S206+V206+Y206+AB206</f>
        <v>11643413.51</v>
      </c>
      <c r="AF206" s="23">
        <v>0</v>
      </c>
      <c r="AG206" s="26">
        <f t="shared" si="270"/>
        <v>11643413.51</v>
      </c>
      <c r="AH206" s="27" t="s">
        <v>585</v>
      </c>
      <c r="AI206" s="28" t="s">
        <v>675</v>
      </c>
      <c r="AJ206" s="29">
        <f>4914766.64+991433.5</f>
        <v>5906200.1399999997</v>
      </c>
      <c r="AK206" s="49">
        <v>0</v>
      </c>
    </row>
    <row r="207" spans="1:37" ht="252" x14ac:dyDescent="0.25">
      <c r="A207" s="14">
        <v>203</v>
      </c>
      <c r="B207" s="13">
        <v>119195</v>
      </c>
      <c r="C207" s="8">
        <v>18</v>
      </c>
      <c r="D207" s="14" t="s">
        <v>170</v>
      </c>
      <c r="E207" s="18" t="s">
        <v>165</v>
      </c>
      <c r="F207" s="189" t="s">
        <v>125</v>
      </c>
      <c r="G207" s="17" t="s">
        <v>73</v>
      </c>
      <c r="H207" s="17" t="s">
        <v>72</v>
      </c>
      <c r="I207" s="14" t="s">
        <v>185</v>
      </c>
      <c r="J207" s="48" t="s">
        <v>74</v>
      </c>
      <c r="K207" s="20">
        <v>42464</v>
      </c>
      <c r="L207" s="32">
        <v>43528</v>
      </c>
      <c r="M207" s="21">
        <f t="shared" si="266"/>
        <v>83.983863126060598</v>
      </c>
      <c r="N207" s="14" t="s">
        <v>155</v>
      </c>
      <c r="O207" s="14" t="s">
        <v>156</v>
      </c>
      <c r="P207" s="14" t="s">
        <v>156</v>
      </c>
      <c r="Q207" s="42" t="s">
        <v>157</v>
      </c>
      <c r="R207" s="14" t="s">
        <v>36</v>
      </c>
      <c r="S207" s="23">
        <f t="shared" si="268"/>
        <v>3168878.46</v>
      </c>
      <c r="T207" s="23">
        <v>2555424.39</v>
      </c>
      <c r="U207" s="23">
        <v>613454.06999999995</v>
      </c>
      <c r="V207" s="23">
        <f t="shared" si="267"/>
        <v>0</v>
      </c>
      <c r="W207" s="23">
        <v>0</v>
      </c>
      <c r="X207" s="23">
        <v>0</v>
      </c>
      <c r="Y207" s="23">
        <f t="shared" si="269"/>
        <v>604320.75</v>
      </c>
      <c r="Z207" s="23">
        <v>450957.23</v>
      </c>
      <c r="AA207" s="23">
        <v>153363.51999999999</v>
      </c>
      <c r="AB207" s="23">
        <f t="shared" si="271"/>
        <v>0</v>
      </c>
      <c r="AC207" s="23">
        <v>0</v>
      </c>
      <c r="AD207" s="23">
        <v>0</v>
      </c>
      <c r="AE207" s="23">
        <f t="shared" si="272"/>
        <v>3773199.21</v>
      </c>
      <c r="AF207" s="23">
        <v>0</v>
      </c>
      <c r="AG207" s="26">
        <f t="shared" si="270"/>
        <v>3773199.21</v>
      </c>
      <c r="AH207" s="27" t="s">
        <v>1073</v>
      </c>
      <c r="AI207" s="28" t="s">
        <v>1247</v>
      </c>
      <c r="AJ207" s="29">
        <f>452513.95+76690.71+72953.42+173284.84+106262.26+2063431.1</f>
        <v>2945136.2800000003</v>
      </c>
      <c r="AK207" s="49">
        <v>0</v>
      </c>
    </row>
    <row r="208" spans="1:37" ht="267.75" x14ac:dyDescent="0.25">
      <c r="A208" s="12">
        <v>204</v>
      </c>
      <c r="B208" s="13">
        <v>118157</v>
      </c>
      <c r="C208" s="8">
        <v>19</v>
      </c>
      <c r="D208" s="14" t="s">
        <v>168</v>
      </c>
      <c r="E208" s="18" t="s">
        <v>165</v>
      </c>
      <c r="F208" s="189" t="s">
        <v>125</v>
      </c>
      <c r="G208" s="17" t="s">
        <v>76</v>
      </c>
      <c r="H208" s="17" t="s">
        <v>75</v>
      </c>
      <c r="I208" s="14" t="s">
        <v>185</v>
      </c>
      <c r="J208" s="48" t="s">
        <v>77</v>
      </c>
      <c r="K208" s="20">
        <v>42446</v>
      </c>
      <c r="L208" s="32">
        <v>43541</v>
      </c>
      <c r="M208" s="21">
        <f t="shared" si="266"/>
        <v>83.983862865891041</v>
      </c>
      <c r="N208" s="14" t="s">
        <v>155</v>
      </c>
      <c r="O208" s="14" t="s">
        <v>156</v>
      </c>
      <c r="P208" s="14" t="s">
        <v>156</v>
      </c>
      <c r="Q208" s="42" t="s">
        <v>157</v>
      </c>
      <c r="R208" s="14" t="s">
        <v>36</v>
      </c>
      <c r="S208" s="23">
        <f t="shared" si="268"/>
        <v>3627735.48</v>
      </c>
      <c r="T208" s="23">
        <v>2925452.6</v>
      </c>
      <c r="U208" s="23">
        <v>702282.88</v>
      </c>
      <c r="V208" s="23">
        <f t="shared" si="267"/>
        <v>0</v>
      </c>
      <c r="W208" s="23">
        <v>0</v>
      </c>
      <c r="X208" s="23">
        <v>0</v>
      </c>
      <c r="Y208" s="23">
        <f t="shared" si="269"/>
        <v>691827.06</v>
      </c>
      <c r="Z208" s="23">
        <v>516256.34</v>
      </c>
      <c r="AA208" s="23">
        <v>175570.72</v>
      </c>
      <c r="AB208" s="23">
        <f t="shared" si="271"/>
        <v>0</v>
      </c>
      <c r="AC208" s="23"/>
      <c r="AD208" s="23"/>
      <c r="AE208" s="23">
        <f t="shared" si="272"/>
        <v>4319562.54</v>
      </c>
      <c r="AF208" s="23">
        <v>0</v>
      </c>
      <c r="AG208" s="26">
        <f t="shared" si="270"/>
        <v>4319562.54</v>
      </c>
      <c r="AH208" s="27" t="s">
        <v>1073</v>
      </c>
      <c r="AI208" s="28" t="s">
        <v>715</v>
      </c>
      <c r="AJ208" s="29">
        <v>637411.23</v>
      </c>
      <c r="AK208" s="49">
        <v>0</v>
      </c>
    </row>
    <row r="209" spans="1:37" ht="173.25" x14ac:dyDescent="0.25">
      <c r="A209" s="12">
        <v>205</v>
      </c>
      <c r="B209" s="13">
        <v>119196</v>
      </c>
      <c r="C209" s="8">
        <v>20</v>
      </c>
      <c r="D209" s="14" t="s">
        <v>170</v>
      </c>
      <c r="E209" s="18" t="s">
        <v>165</v>
      </c>
      <c r="F209" s="189" t="s">
        <v>125</v>
      </c>
      <c r="G209" s="17" t="s">
        <v>78</v>
      </c>
      <c r="H209" s="17" t="s">
        <v>72</v>
      </c>
      <c r="I209" s="14" t="s">
        <v>205</v>
      </c>
      <c r="J209" s="48" t="s">
        <v>79</v>
      </c>
      <c r="K209" s="20">
        <v>42464</v>
      </c>
      <c r="L209" s="32">
        <v>43925</v>
      </c>
      <c r="M209" s="21">
        <f t="shared" si="266"/>
        <v>83.983863025248297</v>
      </c>
      <c r="N209" s="14" t="s">
        <v>155</v>
      </c>
      <c r="O209" s="14" t="s">
        <v>156</v>
      </c>
      <c r="P209" s="14" t="s">
        <v>156</v>
      </c>
      <c r="Q209" s="42" t="s">
        <v>157</v>
      </c>
      <c r="R209" s="14" t="s">
        <v>36</v>
      </c>
      <c r="S209" s="23">
        <f t="shared" si="268"/>
        <v>14990338.920000002</v>
      </c>
      <c r="T209" s="23">
        <v>12088402.300000001</v>
      </c>
      <c r="U209" s="23">
        <v>2901936.62</v>
      </c>
      <c r="V209" s="23">
        <f t="shared" si="267"/>
        <v>0</v>
      </c>
      <c r="W209" s="23">
        <v>0</v>
      </c>
      <c r="X209" s="23">
        <v>0</v>
      </c>
      <c r="Y209" s="23">
        <f t="shared" si="269"/>
        <v>2858731.58</v>
      </c>
      <c r="Z209" s="23">
        <v>2133247.4300000002</v>
      </c>
      <c r="AA209" s="23">
        <v>725484.15</v>
      </c>
      <c r="AB209" s="23">
        <f t="shared" si="271"/>
        <v>0</v>
      </c>
      <c r="AC209" s="23"/>
      <c r="AD209" s="23"/>
      <c r="AE209" s="23">
        <f t="shared" si="272"/>
        <v>17849070.5</v>
      </c>
      <c r="AF209" s="23">
        <v>0</v>
      </c>
      <c r="AG209" s="26">
        <f t="shared" si="270"/>
        <v>17849070.5</v>
      </c>
      <c r="AH209" s="27" t="s">
        <v>585</v>
      </c>
      <c r="AI209" s="28" t="s">
        <v>1364</v>
      </c>
      <c r="AJ209" s="29">
        <f>770912.58+137660.46+105577.25+147498.87+3615037.95</f>
        <v>4776687.1100000003</v>
      </c>
      <c r="AK209" s="49">
        <v>0</v>
      </c>
    </row>
    <row r="210" spans="1:37" ht="409.5" x14ac:dyDescent="0.25">
      <c r="A210" s="14">
        <v>206</v>
      </c>
      <c r="B210" s="13">
        <v>118158</v>
      </c>
      <c r="C210" s="8">
        <v>21</v>
      </c>
      <c r="D210" s="14" t="s">
        <v>168</v>
      </c>
      <c r="E210" s="18" t="s">
        <v>165</v>
      </c>
      <c r="F210" s="189" t="s">
        <v>125</v>
      </c>
      <c r="G210" s="17" t="s">
        <v>80</v>
      </c>
      <c r="H210" s="17" t="s">
        <v>75</v>
      </c>
      <c r="I210" s="14" t="s">
        <v>436</v>
      </c>
      <c r="J210" s="48" t="s">
        <v>81</v>
      </c>
      <c r="K210" s="20">
        <v>42516</v>
      </c>
      <c r="L210" s="32">
        <v>43703</v>
      </c>
      <c r="M210" s="21">
        <f t="shared" si="266"/>
        <v>83.983862895923082</v>
      </c>
      <c r="N210" s="14" t="s">
        <v>155</v>
      </c>
      <c r="O210" s="14" t="s">
        <v>156</v>
      </c>
      <c r="P210" s="14" t="s">
        <v>156</v>
      </c>
      <c r="Q210" s="42" t="s">
        <v>157</v>
      </c>
      <c r="R210" s="14" t="s">
        <v>36</v>
      </c>
      <c r="S210" s="23">
        <f t="shared" si="268"/>
        <v>11413787.699999999</v>
      </c>
      <c r="T210" s="23">
        <v>9204225.3699999992</v>
      </c>
      <c r="U210" s="23">
        <v>2209562.33</v>
      </c>
      <c r="V210" s="23">
        <f t="shared" si="267"/>
        <v>0</v>
      </c>
      <c r="W210" s="23">
        <v>0</v>
      </c>
      <c r="X210" s="23">
        <v>0</v>
      </c>
      <c r="Y210" s="23">
        <f t="shared" si="269"/>
        <v>2176665.64</v>
      </c>
      <c r="Z210" s="23">
        <v>1624275.04</v>
      </c>
      <c r="AA210" s="23">
        <v>552390.6</v>
      </c>
      <c r="AB210" s="23">
        <f t="shared" si="271"/>
        <v>0</v>
      </c>
      <c r="AC210" s="23"/>
      <c r="AD210" s="23"/>
      <c r="AE210" s="23">
        <f t="shared" si="272"/>
        <v>13590453.34</v>
      </c>
      <c r="AF210" s="23">
        <v>16355.96</v>
      </c>
      <c r="AG210" s="26">
        <f t="shared" si="270"/>
        <v>13606809.300000001</v>
      </c>
      <c r="AH210" s="27" t="s">
        <v>585</v>
      </c>
      <c r="AI210" s="28" t="s">
        <v>1387</v>
      </c>
      <c r="AJ210" s="29">
        <f>7504368.77+277081.02</f>
        <v>7781449.7899999991</v>
      </c>
      <c r="AK210" s="49">
        <v>0</v>
      </c>
    </row>
    <row r="211" spans="1:37" ht="346.5" x14ac:dyDescent="0.25">
      <c r="A211" s="12">
        <v>207</v>
      </c>
      <c r="B211" s="13">
        <v>118159</v>
      </c>
      <c r="C211" s="8">
        <v>22</v>
      </c>
      <c r="D211" s="14" t="s">
        <v>176</v>
      </c>
      <c r="E211" s="18" t="s">
        <v>165</v>
      </c>
      <c r="F211" s="189" t="s">
        <v>125</v>
      </c>
      <c r="G211" s="17" t="s">
        <v>82</v>
      </c>
      <c r="H211" s="17" t="s">
        <v>75</v>
      </c>
      <c r="I211" s="14" t="s">
        <v>193</v>
      </c>
      <c r="J211" s="48" t="s">
        <v>83</v>
      </c>
      <c r="K211" s="20">
        <v>42446</v>
      </c>
      <c r="L211" s="32">
        <v>43176</v>
      </c>
      <c r="M211" s="21">
        <f t="shared" si="266"/>
        <v>83.983862881462997</v>
      </c>
      <c r="N211" s="14" t="s">
        <v>155</v>
      </c>
      <c r="O211" s="14" t="s">
        <v>156</v>
      </c>
      <c r="P211" s="14" t="s">
        <v>156</v>
      </c>
      <c r="Q211" s="42" t="s">
        <v>157</v>
      </c>
      <c r="R211" s="14" t="s">
        <v>36</v>
      </c>
      <c r="S211" s="23">
        <f t="shared" si="268"/>
        <v>13490539.449999999</v>
      </c>
      <c r="T211" s="23">
        <v>10878944.699999999</v>
      </c>
      <c r="U211" s="23">
        <v>2611594.75</v>
      </c>
      <c r="V211" s="23">
        <f t="shared" si="267"/>
        <v>0</v>
      </c>
      <c r="W211" s="23">
        <v>0</v>
      </c>
      <c r="X211" s="23">
        <v>0</v>
      </c>
      <c r="Y211" s="23">
        <f t="shared" si="269"/>
        <v>2572712.4500000002</v>
      </c>
      <c r="Z211" s="23">
        <v>1919813.76</v>
      </c>
      <c r="AA211" s="23">
        <v>652898.68999999994</v>
      </c>
      <c r="AB211" s="23">
        <f t="shared" si="271"/>
        <v>0</v>
      </c>
      <c r="AC211" s="23"/>
      <c r="AD211" s="23"/>
      <c r="AE211" s="23">
        <f t="shared" si="272"/>
        <v>16063251.899999999</v>
      </c>
      <c r="AF211" s="23">
        <v>0</v>
      </c>
      <c r="AG211" s="26">
        <f t="shared" si="270"/>
        <v>16063251.899999999</v>
      </c>
      <c r="AH211" s="27" t="s">
        <v>1073</v>
      </c>
      <c r="AI211" s="28" t="s">
        <v>209</v>
      </c>
      <c r="AJ211" s="29">
        <v>12372517.5</v>
      </c>
      <c r="AK211" s="49">
        <v>0</v>
      </c>
    </row>
    <row r="212" spans="1:37" ht="409.5" x14ac:dyDescent="0.25">
      <c r="A212" s="12">
        <v>208</v>
      </c>
      <c r="B212" s="13">
        <v>118427</v>
      </c>
      <c r="C212" s="8">
        <v>23</v>
      </c>
      <c r="D212" s="14" t="s">
        <v>171</v>
      </c>
      <c r="E212" s="18" t="s">
        <v>165</v>
      </c>
      <c r="F212" s="189" t="s">
        <v>125</v>
      </c>
      <c r="G212" s="17" t="s">
        <v>85</v>
      </c>
      <c r="H212" s="17" t="s">
        <v>84</v>
      </c>
      <c r="I212" s="14" t="s">
        <v>185</v>
      </c>
      <c r="J212" s="48" t="s">
        <v>86</v>
      </c>
      <c r="K212" s="20">
        <v>42459</v>
      </c>
      <c r="L212" s="32">
        <v>43524</v>
      </c>
      <c r="M212" s="21">
        <f t="shared" si="266"/>
        <v>83.983862468884851</v>
      </c>
      <c r="N212" s="14" t="s">
        <v>155</v>
      </c>
      <c r="O212" s="14" t="s">
        <v>156</v>
      </c>
      <c r="P212" s="14" t="s">
        <v>156</v>
      </c>
      <c r="Q212" s="42" t="s">
        <v>157</v>
      </c>
      <c r="R212" s="14" t="s">
        <v>36</v>
      </c>
      <c r="S212" s="23">
        <f>T212+U212</f>
        <v>6252507.0099999998</v>
      </c>
      <c r="T212" s="23">
        <v>5042102.18</v>
      </c>
      <c r="U212" s="23">
        <v>1210404.83</v>
      </c>
      <c r="V212" s="23">
        <f t="shared" si="267"/>
        <v>0</v>
      </c>
      <c r="W212" s="23">
        <v>0</v>
      </c>
      <c r="X212" s="23">
        <v>0</v>
      </c>
      <c r="Y212" s="23">
        <f t="shared" si="269"/>
        <v>1192383.98</v>
      </c>
      <c r="Z212" s="23">
        <v>889782.73</v>
      </c>
      <c r="AA212" s="23">
        <v>302601.25</v>
      </c>
      <c r="AB212" s="23">
        <f t="shared" si="271"/>
        <v>0</v>
      </c>
      <c r="AC212" s="23"/>
      <c r="AD212" s="23"/>
      <c r="AE212" s="23">
        <f t="shared" si="272"/>
        <v>7444890.9900000002</v>
      </c>
      <c r="AF212" s="23">
        <v>0</v>
      </c>
      <c r="AG212" s="26">
        <f t="shared" si="270"/>
        <v>7444890.9900000002</v>
      </c>
      <c r="AH212" s="27" t="s">
        <v>1073</v>
      </c>
      <c r="AI212" s="191" t="s">
        <v>1245</v>
      </c>
      <c r="AJ212" s="29">
        <f>2818184.2+870614.52+48419.22+1678613.18+827861.4</f>
        <v>6243692.5200000005</v>
      </c>
      <c r="AK212" s="49">
        <v>0</v>
      </c>
    </row>
    <row r="213" spans="1:37" ht="236.25" x14ac:dyDescent="0.25">
      <c r="A213" s="14">
        <v>209</v>
      </c>
      <c r="B213" s="13">
        <v>118584</v>
      </c>
      <c r="C213" s="8">
        <v>24</v>
      </c>
      <c r="D213" s="14" t="s">
        <v>1074</v>
      </c>
      <c r="E213" s="18" t="s">
        <v>165</v>
      </c>
      <c r="F213" s="189" t="s">
        <v>125</v>
      </c>
      <c r="G213" s="17" t="s">
        <v>88</v>
      </c>
      <c r="H213" s="17" t="s">
        <v>87</v>
      </c>
      <c r="I213" s="14" t="s">
        <v>185</v>
      </c>
      <c r="J213" s="48" t="s">
        <v>89</v>
      </c>
      <c r="K213" s="20">
        <v>42454</v>
      </c>
      <c r="L213" s="32">
        <v>43610</v>
      </c>
      <c r="M213" s="21">
        <f t="shared" si="266"/>
        <v>83.983862869823341</v>
      </c>
      <c r="N213" s="14" t="s">
        <v>155</v>
      </c>
      <c r="O213" s="14" t="s">
        <v>156</v>
      </c>
      <c r="P213" s="14" t="s">
        <v>156</v>
      </c>
      <c r="Q213" s="42" t="s">
        <v>157</v>
      </c>
      <c r="R213" s="14" t="s">
        <v>36</v>
      </c>
      <c r="S213" s="23">
        <f t="shared" si="268"/>
        <v>2984368.02</v>
      </c>
      <c r="T213" s="23">
        <v>2406632.79</v>
      </c>
      <c r="U213" s="23">
        <v>577735.23</v>
      </c>
      <c r="V213" s="23">
        <f t="shared" si="267"/>
        <v>0</v>
      </c>
      <c r="W213" s="23">
        <v>0</v>
      </c>
      <c r="X213" s="23">
        <v>0</v>
      </c>
      <c r="Y213" s="23">
        <f t="shared" si="269"/>
        <v>569133.71</v>
      </c>
      <c r="Z213" s="23">
        <v>424699.9</v>
      </c>
      <c r="AA213" s="23">
        <v>144433.81</v>
      </c>
      <c r="AB213" s="23">
        <f t="shared" si="271"/>
        <v>0</v>
      </c>
      <c r="AC213" s="23"/>
      <c r="AD213" s="23"/>
      <c r="AE213" s="23">
        <f t="shared" si="272"/>
        <v>3553501.73</v>
      </c>
      <c r="AF213" s="23"/>
      <c r="AG213" s="26">
        <f t="shared" si="270"/>
        <v>3553501.73</v>
      </c>
      <c r="AH213" s="27" t="s">
        <v>1073</v>
      </c>
      <c r="AI213" s="192" t="s">
        <v>1246</v>
      </c>
      <c r="AJ213" s="29">
        <f>1046822.23+91171.38+864543.62+93710.89</f>
        <v>2096248.1199999999</v>
      </c>
      <c r="AK213" s="49">
        <v>0</v>
      </c>
    </row>
    <row r="214" spans="1:37" ht="252" x14ac:dyDescent="0.25">
      <c r="A214" s="12">
        <v>210</v>
      </c>
      <c r="B214" s="13">
        <v>117834</v>
      </c>
      <c r="C214" s="8">
        <v>25</v>
      </c>
      <c r="D214" s="14" t="s">
        <v>171</v>
      </c>
      <c r="E214" s="18" t="s">
        <v>165</v>
      </c>
      <c r="F214" s="189" t="s">
        <v>125</v>
      </c>
      <c r="G214" s="17" t="s">
        <v>90</v>
      </c>
      <c r="H214" s="17" t="s">
        <v>84</v>
      </c>
      <c r="I214" s="14" t="s">
        <v>206</v>
      </c>
      <c r="J214" s="48" t="s">
        <v>91</v>
      </c>
      <c r="K214" s="20">
        <v>42459</v>
      </c>
      <c r="L214" s="32">
        <v>43464</v>
      </c>
      <c r="M214" s="21">
        <f t="shared" si="266"/>
        <v>83.983862877433253</v>
      </c>
      <c r="N214" s="14" t="s">
        <v>155</v>
      </c>
      <c r="O214" s="14" t="s">
        <v>156</v>
      </c>
      <c r="P214" s="14" t="s">
        <v>156</v>
      </c>
      <c r="Q214" s="42" t="s">
        <v>157</v>
      </c>
      <c r="R214" s="14" t="s">
        <v>36</v>
      </c>
      <c r="S214" s="23">
        <f t="shared" si="268"/>
        <v>11174376.890000001</v>
      </c>
      <c r="T214" s="23">
        <v>9011161.3900000006</v>
      </c>
      <c r="U214" s="23">
        <v>2163215.5</v>
      </c>
      <c r="V214" s="23">
        <f t="shared" si="267"/>
        <v>0</v>
      </c>
      <c r="W214" s="23">
        <v>0</v>
      </c>
      <c r="X214" s="23">
        <v>0</v>
      </c>
      <c r="Y214" s="23">
        <f t="shared" si="269"/>
        <v>2131008.8199999998</v>
      </c>
      <c r="Z214" s="23">
        <v>1590204.95</v>
      </c>
      <c r="AA214" s="23">
        <v>540803.87</v>
      </c>
      <c r="AB214" s="23">
        <f t="shared" si="271"/>
        <v>0</v>
      </c>
      <c r="AC214" s="23"/>
      <c r="AD214" s="23"/>
      <c r="AE214" s="23">
        <f t="shared" si="272"/>
        <v>13305385.710000001</v>
      </c>
      <c r="AF214" s="23">
        <v>0</v>
      </c>
      <c r="AG214" s="26">
        <f t="shared" si="270"/>
        <v>13305385.710000001</v>
      </c>
      <c r="AH214" s="27" t="s">
        <v>1073</v>
      </c>
      <c r="AI214" s="191" t="s">
        <v>1066</v>
      </c>
      <c r="AJ214" s="29">
        <v>11126144.5</v>
      </c>
      <c r="AK214" s="49">
        <v>0</v>
      </c>
    </row>
    <row r="215" spans="1:37" ht="346.5" x14ac:dyDescent="0.25">
      <c r="A215" s="12">
        <v>211</v>
      </c>
      <c r="B215" s="13">
        <v>118419</v>
      </c>
      <c r="C215" s="8">
        <v>26</v>
      </c>
      <c r="D215" s="14" t="s">
        <v>1074</v>
      </c>
      <c r="E215" s="18" t="s">
        <v>165</v>
      </c>
      <c r="F215" s="189" t="s">
        <v>125</v>
      </c>
      <c r="G215" s="17" t="s">
        <v>92</v>
      </c>
      <c r="H215" s="17" t="s">
        <v>84</v>
      </c>
      <c r="I215" s="14" t="s">
        <v>185</v>
      </c>
      <c r="J215" s="48" t="s">
        <v>93</v>
      </c>
      <c r="K215" s="20">
        <v>42458</v>
      </c>
      <c r="L215" s="32">
        <v>43553</v>
      </c>
      <c r="M215" s="21">
        <f t="shared" si="266"/>
        <v>83.983862783018438</v>
      </c>
      <c r="N215" s="14" t="s">
        <v>155</v>
      </c>
      <c r="O215" s="14" t="s">
        <v>156</v>
      </c>
      <c r="P215" s="14" t="s">
        <v>156</v>
      </c>
      <c r="Q215" s="42" t="s">
        <v>157</v>
      </c>
      <c r="R215" s="14" t="s">
        <v>36</v>
      </c>
      <c r="S215" s="23">
        <f t="shared" si="268"/>
        <v>3637178.37</v>
      </c>
      <c r="T215" s="23">
        <v>2933067.47</v>
      </c>
      <c r="U215" s="23">
        <v>704110.9</v>
      </c>
      <c r="V215" s="23">
        <f t="shared" si="267"/>
        <v>0</v>
      </c>
      <c r="W215" s="23">
        <v>0</v>
      </c>
      <c r="X215" s="23">
        <v>0</v>
      </c>
      <c r="Y215" s="23">
        <f t="shared" si="269"/>
        <v>693627.87</v>
      </c>
      <c r="Z215" s="23">
        <v>517600.14</v>
      </c>
      <c r="AA215" s="23">
        <v>176027.73</v>
      </c>
      <c r="AB215" s="23">
        <f t="shared" si="271"/>
        <v>0</v>
      </c>
      <c r="AC215" s="23"/>
      <c r="AD215" s="23"/>
      <c r="AE215" s="23">
        <f t="shared" si="272"/>
        <v>4330806.24</v>
      </c>
      <c r="AF215" s="23">
        <v>0</v>
      </c>
      <c r="AG215" s="26">
        <f t="shared" si="270"/>
        <v>4330806.24</v>
      </c>
      <c r="AH215" s="27" t="s">
        <v>1311</v>
      </c>
      <c r="AI215" s="192" t="s">
        <v>186</v>
      </c>
      <c r="AJ215" s="29">
        <f>2956760.5+333305.63</f>
        <v>3290066.13</v>
      </c>
      <c r="AK215" s="49">
        <v>0</v>
      </c>
    </row>
    <row r="216" spans="1:37" ht="409.5" x14ac:dyDescent="0.25">
      <c r="A216" s="14">
        <v>212</v>
      </c>
      <c r="B216" s="13">
        <v>118319</v>
      </c>
      <c r="C216" s="8">
        <v>27</v>
      </c>
      <c r="D216" s="14" t="s">
        <v>173</v>
      </c>
      <c r="E216" s="18" t="s">
        <v>165</v>
      </c>
      <c r="F216" s="189" t="s">
        <v>125</v>
      </c>
      <c r="G216" s="17" t="s">
        <v>95</v>
      </c>
      <c r="H216" s="17" t="s">
        <v>94</v>
      </c>
      <c r="I216" s="14" t="s">
        <v>198</v>
      </c>
      <c r="J216" s="48" t="s">
        <v>96</v>
      </c>
      <c r="K216" s="20">
        <v>42585</v>
      </c>
      <c r="L216" s="32">
        <v>43680</v>
      </c>
      <c r="M216" s="21">
        <f t="shared" si="266"/>
        <v>83.983862824473448</v>
      </c>
      <c r="N216" s="14" t="s">
        <v>155</v>
      </c>
      <c r="O216" s="14" t="s">
        <v>156</v>
      </c>
      <c r="P216" s="14" t="s">
        <v>156</v>
      </c>
      <c r="Q216" s="42" t="s">
        <v>157</v>
      </c>
      <c r="R216" s="14" t="s">
        <v>36</v>
      </c>
      <c r="S216" s="23">
        <f t="shared" si="268"/>
        <v>17052953.060000002</v>
      </c>
      <c r="T216" s="23">
        <v>13751720.9</v>
      </c>
      <c r="U216" s="23">
        <v>3301232.16</v>
      </c>
      <c r="V216" s="23">
        <f t="shared" si="267"/>
        <v>0</v>
      </c>
      <c r="W216" s="23">
        <v>0</v>
      </c>
      <c r="X216" s="23">
        <v>0</v>
      </c>
      <c r="Y216" s="23">
        <f t="shared" si="269"/>
        <v>3252082.32</v>
      </c>
      <c r="Z216" s="23">
        <v>2426774.2799999998</v>
      </c>
      <c r="AA216" s="23">
        <v>825308.04</v>
      </c>
      <c r="AB216" s="23">
        <f t="shared" si="271"/>
        <v>0</v>
      </c>
      <c r="AC216" s="23"/>
      <c r="AD216" s="23"/>
      <c r="AE216" s="23">
        <f t="shared" si="272"/>
        <v>20305035.380000003</v>
      </c>
      <c r="AF216" s="23">
        <v>0</v>
      </c>
      <c r="AG216" s="26">
        <f t="shared" si="270"/>
        <v>20305035.380000003</v>
      </c>
      <c r="AH216" s="27" t="s">
        <v>585</v>
      </c>
      <c r="AI216" s="28" t="s">
        <v>457</v>
      </c>
      <c r="AJ216" s="29">
        <f>13499794.97+716994.5+92062.31+258000</f>
        <v>14566851.780000001</v>
      </c>
      <c r="AK216" s="49">
        <v>0</v>
      </c>
    </row>
    <row r="217" spans="1:37" ht="346.5" x14ac:dyDescent="0.25">
      <c r="A217" s="12">
        <v>213</v>
      </c>
      <c r="B217" s="13"/>
      <c r="C217" s="8">
        <v>28</v>
      </c>
      <c r="D217" s="14" t="s">
        <v>168</v>
      </c>
      <c r="E217" s="18" t="s">
        <v>165</v>
      </c>
      <c r="F217" s="189" t="s">
        <v>125</v>
      </c>
      <c r="G217" s="17" t="s">
        <v>97</v>
      </c>
      <c r="H217" s="17" t="s">
        <v>84</v>
      </c>
      <c r="I217" s="14" t="s">
        <v>202</v>
      </c>
      <c r="J217" s="48" t="s">
        <v>98</v>
      </c>
      <c r="K217" s="20">
        <v>42515</v>
      </c>
      <c r="L217" s="32">
        <v>43886</v>
      </c>
      <c r="M217" s="21">
        <f t="shared" si="266"/>
        <v>83.983862862063091</v>
      </c>
      <c r="N217" s="14" t="s">
        <v>155</v>
      </c>
      <c r="O217" s="14" t="s">
        <v>156</v>
      </c>
      <c r="P217" s="14" t="s">
        <v>156</v>
      </c>
      <c r="Q217" s="42" t="s">
        <v>157</v>
      </c>
      <c r="R217" s="14" t="s">
        <v>36</v>
      </c>
      <c r="S217" s="23">
        <f t="shared" si="268"/>
        <v>36908560.949999996</v>
      </c>
      <c r="T217" s="23">
        <v>29763538.739999998</v>
      </c>
      <c r="U217" s="23">
        <v>7145022.21</v>
      </c>
      <c r="V217" s="23">
        <f t="shared" si="267"/>
        <v>0</v>
      </c>
      <c r="W217" s="23">
        <v>0</v>
      </c>
      <c r="X217" s="23">
        <v>0</v>
      </c>
      <c r="Y217" s="23">
        <f t="shared" si="269"/>
        <v>7038644.7300000004</v>
      </c>
      <c r="Z217" s="23">
        <v>5252389.1900000004</v>
      </c>
      <c r="AA217" s="23">
        <v>1786255.54</v>
      </c>
      <c r="AB217" s="23">
        <f t="shared" si="271"/>
        <v>0</v>
      </c>
      <c r="AC217" s="23"/>
      <c r="AD217" s="23"/>
      <c r="AE217" s="23">
        <f t="shared" si="272"/>
        <v>43947205.679999992</v>
      </c>
      <c r="AF217" s="23">
        <v>0</v>
      </c>
      <c r="AG217" s="26">
        <f t="shared" si="270"/>
        <v>43947205.679999992</v>
      </c>
      <c r="AH217" s="27" t="s">
        <v>585</v>
      </c>
      <c r="AI217" s="28" t="s">
        <v>1452</v>
      </c>
      <c r="AJ217" s="29">
        <f>14591533.85+314543.7</f>
        <v>14906077.549999999</v>
      </c>
      <c r="AK217" s="49">
        <v>0</v>
      </c>
    </row>
    <row r="218" spans="1:37" ht="362.25" x14ac:dyDescent="0.25">
      <c r="A218" s="12">
        <v>214</v>
      </c>
      <c r="B218" s="13">
        <v>119993</v>
      </c>
      <c r="C218" s="8">
        <v>29</v>
      </c>
      <c r="D218" s="14" t="s">
        <v>171</v>
      </c>
      <c r="E218" s="18" t="s">
        <v>165</v>
      </c>
      <c r="F218" s="189" t="s">
        <v>125</v>
      </c>
      <c r="G218" s="17" t="s">
        <v>100</v>
      </c>
      <c r="H218" s="17" t="s">
        <v>99</v>
      </c>
      <c r="I218" s="14" t="s">
        <v>207</v>
      </c>
      <c r="J218" s="48" t="s">
        <v>101</v>
      </c>
      <c r="K218" s="20">
        <v>42569</v>
      </c>
      <c r="L218" s="32">
        <v>44030</v>
      </c>
      <c r="M218" s="21">
        <f t="shared" si="266"/>
        <v>83.98386282616714</v>
      </c>
      <c r="N218" s="14" t="s">
        <v>155</v>
      </c>
      <c r="O218" s="14" t="s">
        <v>156</v>
      </c>
      <c r="P218" s="14" t="s">
        <v>156</v>
      </c>
      <c r="Q218" s="42" t="s">
        <v>157</v>
      </c>
      <c r="R218" s="14" t="s">
        <v>36</v>
      </c>
      <c r="S218" s="23">
        <f t="shared" si="268"/>
        <v>35912411.909999996</v>
      </c>
      <c r="T218" s="23">
        <v>28960231.329999998</v>
      </c>
      <c r="U218" s="23">
        <v>6952180.5800000001</v>
      </c>
      <c r="V218" s="23">
        <f t="shared" si="267"/>
        <v>0</v>
      </c>
      <c r="W218" s="23">
        <v>0</v>
      </c>
      <c r="X218" s="23">
        <v>0</v>
      </c>
      <c r="Y218" s="23">
        <f t="shared" si="269"/>
        <v>6848674.209999999</v>
      </c>
      <c r="Z218" s="23">
        <v>5110629.0599999996</v>
      </c>
      <c r="AA218" s="23">
        <v>1738045.15</v>
      </c>
      <c r="AB218" s="23">
        <f t="shared" si="271"/>
        <v>0</v>
      </c>
      <c r="AC218" s="23"/>
      <c r="AD218" s="23"/>
      <c r="AE218" s="23">
        <f t="shared" si="272"/>
        <v>42761086.119999997</v>
      </c>
      <c r="AF218" s="23">
        <v>0</v>
      </c>
      <c r="AG218" s="26">
        <f t="shared" si="270"/>
        <v>42761086.119999997</v>
      </c>
      <c r="AH218" s="27" t="s">
        <v>585</v>
      </c>
      <c r="AI218" s="191" t="s">
        <v>190</v>
      </c>
      <c r="AJ218" s="29">
        <v>28176.63</v>
      </c>
      <c r="AK218" s="49">
        <v>0</v>
      </c>
    </row>
    <row r="219" spans="1:37" ht="409.5" x14ac:dyDescent="0.25">
      <c r="A219" s="14">
        <v>215</v>
      </c>
      <c r="B219" s="13">
        <v>118292</v>
      </c>
      <c r="C219" s="8">
        <v>30</v>
      </c>
      <c r="D219" s="14" t="s">
        <v>174</v>
      </c>
      <c r="E219" s="18" t="s">
        <v>165</v>
      </c>
      <c r="F219" s="189" t="s">
        <v>125</v>
      </c>
      <c r="G219" s="17" t="s">
        <v>103</v>
      </c>
      <c r="H219" s="17" t="s">
        <v>102</v>
      </c>
      <c r="I219" s="14" t="s">
        <v>195</v>
      </c>
      <c r="J219" s="48" t="s">
        <v>104</v>
      </c>
      <c r="K219" s="20">
        <v>42446</v>
      </c>
      <c r="L219" s="32">
        <v>43237</v>
      </c>
      <c r="M219" s="21">
        <f t="shared" si="266"/>
        <v>83.983862811384185</v>
      </c>
      <c r="N219" s="14" t="s">
        <v>155</v>
      </c>
      <c r="O219" s="14" t="s">
        <v>156</v>
      </c>
      <c r="P219" s="14" t="s">
        <v>156</v>
      </c>
      <c r="Q219" s="42" t="s">
        <v>157</v>
      </c>
      <c r="R219" s="14" t="s">
        <v>36</v>
      </c>
      <c r="S219" s="23">
        <f t="shared" si="268"/>
        <v>23983572.759999998</v>
      </c>
      <c r="T219" s="23">
        <v>19340661.859999999</v>
      </c>
      <c r="U219" s="23">
        <v>4642910.9000000004</v>
      </c>
      <c r="V219" s="23">
        <f t="shared" si="267"/>
        <v>0</v>
      </c>
      <c r="W219" s="23">
        <v>0</v>
      </c>
      <c r="X219" s="23">
        <v>0</v>
      </c>
      <c r="Y219" s="23">
        <f t="shared" si="269"/>
        <v>4573785.71</v>
      </c>
      <c r="Z219" s="23">
        <v>3413057.98</v>
      </c>
      <c r="AA219" s="23">
        <v>1160727.73</v>
      </c>
      <c r="AB219" s="23">
        <f t="shared" si="271"/>
        <v>0</v>
      </c>
      <c r="AC219" s="23"/>
      <c r="AD219" s="23"/>
      <c r="AE219" s="23">
        <f t="shared" si="272"/>
        <v>28557358.469999999</v>
      </c>
      <c r="AF219" s="23">
        <v>54654.13</v>
      </c>
      <c r="AG219" s="26">
        <f t="shared" si="270"/>
        <v>28612012.599999998</v>
      </c>
      <c r="AH219" s="27" t="s">
        <v>1073</v>
      </c>
      <c r="AI219" s="28" t="s">
        <v>464</v>
      </c>
      <c r="AJ219" s="29">
        <v>20419622.34</v>
      </c>
      <c r="AK219" s="49">
        <v>0</v>
      </c>
    </row>
    <row r="220" spans="1:37" ht="236.25" x14ac:dyDescent="0.25">
      <c r="A220" s="12">
        <v>216</v>
      </c>
      <c r="B220" s="13">
        <v>120208</v>
      </c>
      <c r="C220" s="8">
        <v>47</v>
      </c>
      <c r="D220" s="14" t="s">
        <v>173</v>
      </c>
      <c r="E220" s="18" t="s">
        <v>165</v>
      </c>
      <c r="F220" s="189" t="s">
        <v>128</v>
      </c>
      <c r="G220" s="17" t="s">
        <v>677</v>
      </c>
      <c r="H220" s="17" t="s">
        <v>329</v>
      </c>
      <c r="I220" s="14" t="s">
        <v>185</v>
      </c>
      <c r="J220" s="48" t="s">
        <v>679</v>
      </c>
      <c r="K220" s="20">
        <v>42914</v>
      </c>
      <c r="L220" s="32">
        <v>44193</v>
      </c>
      <c r="M220" s="21">
        <f t="shared" si="266"/>
        <v>83.983862839866035</v>
      </c>
      <c r="N220" s="14" t="s">
        <v>155</v>
      </c>
      <c r="O220" s="14" t="s">
        <v>156</v>
      </c>
      <c r="P220" s="14" t="s">
        <v>156</v>
      </c>
      <c r="Q220" s="42" t="s">
        <v>157</v>
      </c>
      <c r="R220" s="14" t="s">
        <v>36</v>
      </c>
      <c r="S220" s="23">
        <f t="shared" si="268"/>
        <v>6085613.1800000006</v>
      </c>
      <c r="T220" s="23">
        <v>4907516.82</v>
      </c>
      <c r="U220" s="23">
        <v>1178096.3600000001</v>
      </c>
      <c r="V220" s="23">
        <f>W220+X220</f>
        <v>0</v>
      </c>
      <c r="W220" s="23">
        <v>0</v>
      </c>
      <c r="X220" s="23">
        <v>0</v>
      </c>
      <c r="Y220" s="23">
        <f t="shared" si="269"/>
        <v>1160556.47</v>
      </c>
      <c r="Z220" s="23">
        <v>866032.38</v>
      </c>
      <c r="AA220" s="23">
        <v>294524.09000000003</v>
      </c>
      <c r="AB220" s="23">
        <f t="shared" si="271"/>
        <v>0</v>
      </c>
      <c r="AC220" s="23"/>
      <c r="AD220" s="23"/>
      <c r="AE220" s="23">
        <f t="shared" si="272"/>
        <v>7246169.6500000004</v>
      </c>
      <c r="AF220" s="23">
        <v>0</v>
      </c>
      <c r="AG220" s="26">
        <f t="shared" si="270"/>
        <v>7246169.6500000004</v>
      </c>
      <c r="AH220" s="27" t="s">
        <v>585</v>
      </c>
      <c r="AI220" s="28" t="s">
        <v>1079</v>
      </c>
      <c r="AJ220" s="29">
        <f>318314.17+157541.59+137631.79+46368.47</f>
        <v>659856.02</v>
      </c>
      <c r="AK220" s="49">
        <v>0</v>
      </c>
    </row>
    <row r="221" spans="1:37" ht="330.75" x14ac:dyDescent="0.25">
      <c r="A221" s="12">
        <v>217</v>
      </c>
      <c r="B221" s="13">
        <v>119991</v>
      </c>
      <c r="C221" s="8">
        <v>48</v>
      </c>
      <c r="D221" s="14" t="s">
        <v>171</v>
      </c>
      <c r="E221" s="18" t="s">
        <v>165</v>
      </c>
      <c r="F221" s="189" t="s">
        <v>128</v>
      </c>
      <c r="G221" s="17" t="s">
        <v>130</v>
      </c>
      <c r="H221" s="17" t="s">
        <v>129</v>
      </c>
      <c r="I221" s="14" t="s">
        <v>185</v>
      </c>
      <c r="J221" s="48" t="s">
        <v>131</v>
      </c>
      <c r="K221" s="20">
        <v>43004</v>
      </c>
      <c r="L221" s="32">
        <v>43916</v>
      </c>
      <c r="M221" s="21">
        <f t="shared" si="266"/>
        <v>83.9838628091575</v>
      </c>
      <c r="N221" s="14" t="s">
        <v>155</v>
      </c>
      <c r="O221" s="14" t="s">
        <v>156</v>
      </c>
      <c r="P221" s="14" t="s">
        <v>156</v>
      </c>
      <c r="Q221" s="42" t="s">
        <v>157</v>
      </c>
      <c r="R221" s="14" t="s">
        <v>36</v>
      </c>
      <c r="S221" s="23">
        <f t="shared" si="268"/>
        <v>12597407.540000001</v>
      </c>
      <c r="T221" s="23">
        <v>10158711.630000001</v>
      </c>
      <c r="U221" s="23">
        <v>2438695.91</v>
      </c>
      <c r="V221" s="23">
        <f t="shared" si="267"/>
        <v>0</v>
      </c>
      <c r="W221" s="23">
        <v>0</v>
      </c>
      <c r="X221" s="23">
        <v>0</v>
      </c>
      <c r="Y221" s="23">
        <f t="shared" si="269"/>
        <v>2402387.7999999998</v>
      </c>
      <c r="Z221" s="23">
        <v>1792713.82</v>
      </c>
      <c r="AA221" s="23">
        <v>609673.98</v>
      </c>
      <c r="AB221" s="23">
        <f t="shared" si="271"/>
        <v>0</v>
      </c>
      <c r="AC221" s="23"/>
      <c r="AD221" s="23"/>
      <c r="AE221" s="23">
        <f t="shared" si="272"/>
        <v>14999795.34</v>
      </c>
      <c r="AF221" s="23">
        <v>2999990</v>
      </c>
      <c r="AG221" s="26">
        <f t="shared" si="270"/>
        <v>17999785.34</v>
      </c>
      <c r="AH221" s="27" t="s">
        <v>585</v>
      </c>
      <c r="AI221" s="190" t="s">
        <v>185</v>
      </c>
      <c r="AJ221" s="29">
        <v>0</v>
      </c>
      <c r="AK221" s="193">
        <v>0</v>
      </c>
    </row>
    <row r="222" spans="1:37" s="194" customFormat="1" ht="409.5" x14ac:dyDescent="0.25">
      <c r="A222" s="14">
        <v>218</v>
      </c>
      <c r="B222" s="13">
        <v>119992</v>
      </c>
      <c r="C222" s="8">
        <v>49</v>
      </c>
      <c r="D222" s="14" t="s">
        <v>171</v>
      </c>
      <c r="E222" s="18" t="s">
        <v>165</v>
      </c>
      <c r="F222" s="189" t="s">
        <v>128</v>
      </c>
      <c r="G222" s="17" t="s">
        <v>132</v>
      </c>
      <c r="H222" s="17" t="s">
        <v>129</v>
      </c>
      <c r="I222" s="14" t="s">
        <v>185</v>
      </c>
      <c r="J222" s="48" t="s">
        <v>133</v>
      </c>
      <c r="K222" s="20">
        <v>43004</v>
      </c>
      <c r="L222" s="32">
        <v>43916</v>
      </c>
      <c r="M222" s="21">
        <f t="shared" si="266"/>
        <v>83.98386278575461</v>
      </c>
      <c r="N222" s="14" t="s">
        <v>155</v>
      </c>
      <c r="O222" s="14" t="s">
        <v>156</v>
      </c>
      <c r="P222" s="14" t="s">
        <v>156</v>
      </c>
      <c r="Q222" s="42" t="s">
        <v>157</v>
      </c>
      <c r="R222" s="14" t="s">
        <v>36</v>
      </c>
      <c r="S222" s="23">
        <f t="shared" si="268"/>
        <v>11755282.280000001</v>
      </c>
      <c r="T222" s="23">
        <v>9479610.9800000004</v>
      </c>
      <c r="U222" s="23">
        <v>2275671.2999999998</v>
      </c>
      <c r="V222" s="23">
        <f t="shared" si="267"/>
        <v>0</v>
      </c>
      <c r="W222" s="23">
        <v>0</v>
      </c>
      <c r="X222" s="23">
        <v>0</v>
      </c>
      <c r="Y222" s="23">
        <f t="shared" si="269"/>
        <v>2241790.36</v>
      </c>
      <c r="Z222" s="23">
        <v>1672872.53</v>
      </c>
      <c r="AA222" s="23">
        <v>568917.82999999996</v>
      </c>
      <c r="AB222" s="23">
        <f t="shared" si="271"/>
        <v>0</v>
      </c>
      <c r="AC222" s="23"/>
      <c r="AD222" s="23"/>
      <c r="AE222" s="23">
        <f t="shared" si="272"/>
        <v>13997072.640000001</v>
      </c>
      <c r="AF222" s="23">
        <v>0</v>
      </c>
      <c r="AG222" s="26">
        <f t="shared" si="270"/>
        <v>13997072.640000001</v>
      </c>
      <c r="AH222" s="27" t="s">
        <v>585</v>
      </c>
      <c r="AI222" s="190" t="s">
        <v>185</v>
      </c>
      <c r="AJ222" s="29">
        <v>0</v>
      </c>
      <c r="AK222" s="193">
        <v>0</v>
      </c>
    </row>
    <row r="223" spans="1:37" s="194" customFormat="1" ht="283.5" x14ac:dyDescent="0.25">
      <c r="A223" s="12">
        <v>219</v>
      </c>
      <c r="B223" s="13">
        <v>119731</v>
      </c>
      <c r="C223" s="8">
        <v>51</v>
      </c>
      <c r="D223" s="14" t="s">
        <v>173</v>
      </c>
      <c r="E223" s="18" t="s">
        <v>165</v>
      </c>
      <c r="F223" s="189" t="s">
        <v>128</v>
      </c>
      <c r="G223" s="17" t="s">
        <v>134</v>
      </c>
      <c r="H223" s="17" t="s">
        <v>64</v>
      </c>
      <c r="I223" s="14" t="s">
        <v>185</v>
      </c>
      <c r="J223" s="48" t="s">
        <v>135</v>
      </c>
      <c r="K223" s="20">
        <v>42956</v>
      </c>
      <c r="L223" s="32">
        <v>43870</v>
      </c>
      <c r="M223" s="21">
        <f t="shared" si="266"/>
        <v>83.983862780427785</v>
      </c>
      <c r="N223" s="14" t="s">
        <v>155</v>
      </c>
      <c r="O223" s="14" t="s">
        <v>156</v>
      </c>
      <c r="P223" s="14" t="s">
        <v>156</v>
      </c>
      <c r="Q223" s="42" t="s">
        <v>157</v>
      </c>
      <c r="R223" s="14" t="s">
        <v>36</v>
      </c>
      <c r="S223" s="23">
        <f t="shared" si="268"/>
        <v>10449475.91</v>
      </c>
      <c r="T223" s="23">
        <v>8426591.9100000001</v>
      </c>
      <c r="U223" s="23">
        <v>2022884</v>
      </c>
      <c r="V223" s="23">
        <f t="shared" si="267"/>
        <v>0</v>
      </c>
      <c r="W223" s="23">
        <v>0</v>
      </c>
      <c r="X223" s="23">
        <v>0</v>
      </c>
      <c r="Y223" s="23">
        <f t="shared" si="269"/>
        <v>1992766.64</v>
      </c>
      <c r="Z223" s="23">
        <v>1487045.64</v>
      </c>
      <c r="AA223" s="23">
        <v>505721</v>
      </c>
      <c r="AB223" s="23">
        <f t="shared" si="271"/>
        <v>0</v>
      </c>
      <c r="AC223" s="23"/>
      <c r="AD223" s="23"/>
      <c r="AE223" s="23">
        <f t="shared" si="272"/>
        <v>12442242.550000001</v>
      </c>
      <c r="AF223" s="23">
        <v>0</v>
      </c>
      <c r="AG223" s="26">
        <f t="shared" si="270"/>
        <v>12442242.550000001</v>
      </c>
      <c r="AH223" s="27" t="s">
        <v>585</v>
      </c>
      <c r="AI223" s="190" t="s">
        <v>185</v>
      </c>
      <c r="AJ223" s="29">
        <f>69562.99+104629.25+99957.75+221484.48</f>
        <v>495634.47</v>
      </c>
      <c r="AK223" s="193">
        <v>0</v>
      </c>
    </row>
    <row r="224" spans="1:37" s="194" customFormat="1" ht="267.75" x14ac:dyDescent="0.25">
      <c r="A224" s="12">
        <v>220</v>
      </c>
      <c r="B224" s="13">
        <v>120194</v>
      </c>
      <c r="C224" s="8">
        <v>52</v>
      </c>
      <c r="D224" s="14" t="s">
        <v>170</v>
      </c>
      <c r="E224" s="18" t="s">
        <v>165</v>
      </c>
      <c r="F224" s="189" t="s">
        <v>128</v>
      </c>
      <c r="G224" s="17" t="s">
        <v>137</v>
      </c>
      <c r="H224" s="17" t="s">
        <v>136</v>
      </c>
      <c r="I224" s="14" t="s">
        <v>185</v>
      </c>
      <c r="J224" s="48" t="s">
        <v>138</v>
      </c>
      <c r="K224" s="20">
        <v>42963</v>
      </c>
      <c r="L224" s="32">
        <v>43877</v>
      </c>
      <c r="M224" s="21">
        <f t="shared" si="266"/>
        <v>83.983862831024851</v>
      </c>
      <c r="N224" s="14" t="s">
        <v>155</v>
      </c>
      <c r="O224" s="14" t="s">
        <v>156</v>
      </c>
      <c r="P224" s="14" t="s">
        <v>156</v>
      </c>
      <c r="Q224" s="42" t="s">
        <v>157</v>
      </c>
      <c r="R224" s="14" t="s">
        <v>36</v>
      </c>
      <c r="S224" s="23">
        <f t="shared" si="268"/>
        <v>12243037.969999999</v>
      </c>
      <c r="T224" s="23">
        <v>9872943.4499999993</v>
      </c>
      <c r="U224" s="23">
        <v>2370094.52</v>
      </c>
      <c r="V224" s="23">
        <f t="shared" si="267"/>
        <v>0</v>
      </c>
      <c r="W224" s="23">
        <v>0</v>
      </c>
      <c r="X224" s="23">
        <v>0</v>
      </c>
      <c r="Y224" s="23">
        <f t="shared" si="269"/>
        <v>2334807.77</v>
      </c>
      <c r="Z224" s="23">
        <v>1742284.14</v>
      </c>
      <c r="AA224" s="23">
        <v>592523.63</v>
      </c>
      <c r="AB224" s="23">
        <f t="shared" si="271"/>
        <v>0</v>
      </c>
      <c r="AC224" s="23"/>
      <c r="AD224" s="23"/>
      <c r="AE224" s="23">
        <f t="shared" si="272"/>
        <v>14577845.739999998</v>
      </c>
      <c r="AF224" s="23">
        <v>0</v>
      </c>
      <c r="AG224" s="26">
        <f t="shared" si="270"/>
        <v>14577845.739999998</v>
      </c>
      <c r="AH224" s="27" t="s">
        <v>585</v>
      </c>
      <c r="AI224" s="190" t="s">
        <v>185</v>
      </c>
      <c r="AJ224" s="29">
        <f>18637.33+286940.34+81387.29+339087.35</f>
        <v>726052.31</v>
      </c>
      <c r="AK224" s="193">
        <v>0</v>
      </c>
    </row>
    <row r="225" spans="1:37" s="194" customFormat="1" ht="409.5" x14ac:dyDescent="0.25">
      <c r="A225" s="14">
        <v>221</v>
      </c>
      <c r="B225" s="13">
        <v>119983</v>
      </c>
      <c r="C225" s="8">
        <v>58</v>
      </c>
      <c r="D225" s="14" t="s">
        <v>172</v>
      </c>
      <c r="E225" s="18" t="s">
        <v>165</v>
      </c>
      <c r="F225" s="189" t="s">
        <v>128</v>
      </c>
      <c r="G225" s="17" t="s">
        <v>139</v>
      </c>
      <c r="H225" s="17" t="s">
        <v>75</v>
      </c>
      <c r="I225" s="14" t="s">
        <v>194</v>
      </c>
      <c r="J225" s="48" t="s">
        <v>140</v>
      </c>
      <c r="K225" s="20">
        <v>42963</v>
      </c>
      <c r="L225" s="32">
        <v>43693</v>
      </c>
      <c r="M225" s="21">
        <f t="shared" si="266"/>
        <v>83.983862872994763</v>
      </c>
      <c r="N225" s="14" t="s">
        <v>155</v>
      </c>
      <c r="O225" s="14" t="s">
        <v>156</v>
      </c>
      <c r="P225" s="14" t="s">
        <v>156</v>
      </c>
      <c r="Q225" s="42" t="s">
        <v>157</v>
      </c>
      <c r="R225" s="14" t="s">
        <v>36</v>
      </c>
      <c r="S225" s="23">
        <f t="shared" si="268"/>
        <v>8062160.4699999997</v>
      </c>
      <c r="T225" s="23">
        <v>6501430</v>
      </c>
      <c r="U225" s="23">
        <v>1560730.47</v>
      </c>
      <c r="V225" s="23">
        <f t="shared" si="267"/>
        <v>0</v>
      </c>
      <c r="W225" s="23">
        <v>0</v>
      </c>
      <c r="X225" s="23">
        <v>0</v>
      </c>
      <c r="Y225" s="23">
        <f t="shared" si="269"/>
        <v>1537493.79</v>
      </c>
      <c r="Z225" s="23">
        <v>1147311.17</v>
      </c>
      <c r="AA225" s="23">
        <v>390182.62</v>
      </c>
      <c r="AB225" s="23">
        <f t="shared" si="271"/>
        <v>0</v>
      </c>
      <c r="AC225" s="23"/>
      <c r="AD225" s="23"/>
      <c r="AE225" s="23">
        <f t="shared" si="272"/>
        <v>9599654.2599999998</v>
      </c>
      <c r="AF225" s="23">
        <v>655333</v>
      </c>
      <c r="AG225" s="26">
        <f t="shared" si="270"/>
        <v>10254987.26</v>
      </c>
      <c r="AH225" s="27" t="s">
        <v>585</v>
      </c>
      <c r="AI225" s="190" t="s">
        <v>185</v>
      </c>
      <c r="AJ225" s="29">
        <f>27068+159937+61959.1+719797.57+221414.47</f>
        <v>1190176.1399999999</v>
      </c>
      <c r="AK225" s="193">
        <v>0</v>
      </c>
    </row>
    <row r="226" spans="1:37" ht="236.25" x14ac:dyDescent="0.25">
      <c r="A226" s="12">
        <v>222</v>
      </c>
      <c r="B226" s="13">
        <v>119622</v>
      </c>
      <c r="C226" s="8">
        <v>45</v>
      </c>
      <c r="D226" s="14" t="s">
        <v>173</v>
      </c>
      <c r="E226" s="18" t="s">
        <v>166</v>
      </c>
      <c r="F226" s="189" t="s">
        <v>182</v>
      </c>
      <c r="G226" s="17" t="s">
        <v>122</v>
      </c>
      <c r="H226" s="17" t="s">
        <v>121</v>
      </c>
      <c r="I226" s="14" t="s">
        <v>185</v>
      </c>
      <c r="J226" s="48" t="s">
        <v>123</v>
      </c>
      <c r="K226" s="20">
        <v>42793</v>
      </c>
      <c r="L226" s="32">
        <v>43765</v>
      </c>
      <c r="M226" s="21">
        <f t="shared" si="266"/>
        <v>83.983862835522956</v>
      </c>
      <c r="N226" s="14" t="s">
        <v>155</v>
      </c>
      <c r="O226" s="14" t="s">
        <v>156</v>
      </c>
      <c r="P226" s="14" t="s">
        <v>156</v>
      </c>
      <c r="Q226" s="42" t="s">
        <v>157</v>
      </c>
      <c r="R226" s="14" t="s">
        <v>36</v>
      </c>
      <c r="S226" s="23">
        <f t="shared" si="268"/>
        <v>37233996.450000003</v>
      </c>
      <c r="T226" s="23">
        <v>30025974.120000001</v>
      </c>
      <c r="U226" s="23">
        <v>7208022.3300000001</v>
      </c>
      <c r="V226" s="23">
        <f t="shared" si="267"/>
        <v>0</v>
      </c>
      <c r="W226" s="23">
        <v>0</v>
      </c>
      <c r="X226" s="23">
        <v>0</v>
      </c>
      <c r="Y226" s="23">
        <f t="shared" si="269"/>
        <v>7100706.9000000004</v>
      </c>
      <c r="Z226" s="23">
        <v>5298701.32</v>
      </c>
      <c r="AA226" s="23">
        <v>1802005.58</v>
      </c>
      <c r="AB226" s="23">
        <f t="shared" si="271"/>
        <v>0</v>
      </c>
      <c r="AC226" s="23"/>
      <c r="AD226" s="23"/>
      <c r="AE226" s="23">
        <f t="shared" si="272"/>
        <v>44334703.350000001</v>
      </c>
      <c r="AF226" s="23">
        <v>427346.26</v>
      </c>
      <c r="AG226" s="26">
        <f t="shared" si="270"/>
        <v>44762049.609999999</v>
      </c>
      <c r="AH226" s="27" t="s">
        <v>585</v>
      </c>
      <c r="AI226" s="195" t="s">
        <v>892</v>
      </c>
      <c r="AJ226" s="29">
        <f>4923177.41+2008542+5450879.77+3758413.79+2325826.28</f>
        <v>18466839.25</v>
      </c>
      <c r="AK226" s="193">
        <v>0</v>
      </c>
    </row>
    <row r="227" spans="1:37" ht="141.75" x14ac:dyDescent="0.25">
      <c r="A227" s="12">
        <v>223</v>
      </c>
      <c r="B227" s="13">
        <v>119689</v>
      </c>
      <c r="C227" s="8">
        <v>53</v>
      </c>
      <c r="D227" s="14" t="s">
        <v>173</v>
      </c>
      <c r="E227" s="18" t="s">
        <v>169</v>
      </c>
      <c r="F227" s="189" t="s">
        <v>142</v>
      </c>
      <c r="G227" s="17" t="s">
        <v>112</v>
      </c>
      <c r="H227" s="17" t="s">
        <v>111</v>
      </c>
      <c r="I227" s="14" t="s">
        <v>185</v>
      </c>
      <c r="J227" s="48" t="s">
        <v>113</v>
      </c>
      <c r="K227" s="20">
        <v>42943</v>
      </c>
      <c r="L227" s="32">
        <v>44039</v>
      </c>
      <c r="M227" s="21">
        <f t="shared" si="266"/>
        <v>83.983862843305559</v>
      </c>
      <c r="N227" s="14" t="s">
        <v>155</v>
      </c>
      <c r="O227" s="14" t="s">
        <v>156</v>
      </c>
      <c r="P227" s="14" t="s">
        <v>156</v>
      </c>
      <c r="Q227" s="42" t="s">
        <v>157</v>
      </c>
      <c r="R227" s="14" t="s">
        <v>36</v>
      </c>
      <c r="S227" s="23">
        <f t="shared" si="268"/>
        <v>46010993.850000001</v>
      </c>
      <c r="T227" s="23">
        <v>37103857.82</v>
      </c>
      <c r="U227" s="23">
        <v>8907136.0299999993</v>
      </c>
      <c r="V227" s="23">
        <f t="shared" si="267"/>
        <v>0</v>
      </c>
      <c r="W227" s="23">
        <v>0</v>
      </c>
      <c r="X227" s="23">
        <v>0</v>
      </c>
      <c r="Y227" s="23">
        <f t="shared" si="269"/>
        <v>8774523.620000001</v>
      </c>
      <c r="Z227" s="23">
        <v>6547739.6100000003</v>
      </c>
      <c r="AA227" s="23">
        <v>2226784.0099999998</v>
      </c>
      <c r="AB227" s="23">
        <f t="shared" si="271"/>
        <v>0</v>
      </c>
      <c r="AC227" s="23"/>
      <c r="AD227" s="23"/>
      <c r="AE227" s="23">
        <f t="shared" si="272"/>
        <v>54785517.469999999</v>
      </c>
      <c r="AF227" s="23">
        <v>0</v>
      </c>
      <c r="AG227" s="26">
        <f t="shared" si="270"/>
        <v>54785517.469999999</v>
      </c>
      <c r="AH227" s="27" t="s">
        <v>585</v>
      </c>
      <c r="AI227" s="28" t="s">
        <v>185</v>
      </c>
      <c r="AJ227" s="29">
        <f>159716.44+74879.59+127159.41+24852.51+91132.97</f>
        <v>477740.92000000004</v>
      </c>
      <c r="AK227" s="49">
        <v>0</v>
      </c>
    </row>
    <row r="228" spans="1:37" ht="252" x14ac:dyDescent="0.25">
      <c r="A228" s="14">
        <v>224</v>
      </c>
      <c r="B228" s="13">
        <v>119240</v>
      </c>
      <c r="C228" s="8">
        <v>54</v>
      </c>
      <c r="D228" s="14" t="s">
        <v>173</v>
      </c>
      <c r="E228" s="18" t="s">
        <v>169</v>
      </c>
      <c r="F228" s="189" t="s">
        <v>142</v>
      </c>
      <c r="G228" s="17" t="s">
        <v>114</v>
      </c>
      <c r="H228" s="17" t="s">
        <v>111</v>
      </c>
      <c r="I228" s="14" t="s">
        <v>185</v>
      </c>
      <c r="J228" s="48" t="s">
        <v>115</v>
      </c>
      <c r="K228" s="20">
        <v>42943</v>
      </c>
      <c r="L228" s="32">
        <v>44039</v>
      </c>
      <c r="M228" s="21">
        <f t="shared" si="266"/>
        <v>83.983862856059488</v>
      </c>
      <c r="N228" s="14" t="s">
        <v>155</v>
      </c>
      <c r="O228" s="14" t="s">
        <v>156</v>
      </c>
      <c r="P228" s="14" t="s">
        <v>156</v>
      </c>
      <c r="Q228" s="42" t="s">
        <v>157</v>
      </c>
      <c r="R228" s="14" t="s">
        <v>36</v>
      </c>
      <c r="S228" s="23">
        <f t="shared" si="268"/>
        <v>11805482.93</v>
      </c>
      <c r="T228" s="23">
        <v>9520093.4299999997</v>
      </c>
      <c r="U228" s="23">
        <v>2285389.5</v>
      </c>
      <c r="V228" s="23">
        <f t="shared" si="267"/>
        <v>0</v>
      </c>
      <c r="W228" s="23">
        <v>0</v>
      </c>
      <c r="X228" s="23">
        <v>0</v>
      </c>
      <c r="Y228" s="23">
        <f t="shared" si="269"/>
        <v>2251363.86</v>
      </c>
      <c r="Z228" s="23">
        <v>1680016.49</v>
      </c>
      <c r="AA228" s="23">
        <v>571347.37</v>
      </c>
      <c r="AB228" s="23">
        <f t="shared" si="271"/>
        <v>0</v>
      </c>
      <c r="AC228" s="23"/>
      <c r="AD228" s="23"/>
      <c r="AE228" s="23">
        <f t="shared" si="272"/>
        <v>14056846.789999999</v>
      </c>
      <c r="AF228" s="23">
        <v>216877.5</v>
      </c>
      <c r="AG228" s="26">
        <f t="shared" si="270"/>
        <v>14273724.289999999</v>
      </c>
      <c r="AH228" s="27" t="s">
        <v>585</v>
      </c>
      <c r="AI228" s="28" t="s">
        <v>185</v>
      </c>
      <c r="AJ228" s="29">
        <f>122452.96+57358.87+100383.61+47533.82+68603.68</f>
        <v>396332.94</v>
      </c>
      <c r="AK228" s="49">
        <v>0</v>
      </c>
    </row>
    <row r="229" spans="1:37" ht="330.75" x14ac:dyDescent="0.25">
      <c r="A229" s="12">
        <v>225</v>
      </c>
      <c r="B229" s="13">
        <v>120068</v>
      </c>
      <c r="C229" s="8">
        <v>55</v>
      </c>
      <c r="D229" s="14" t="s">
        <v>170</v>
      </c>
      <c r="E229" s="18" t="s">
        <v>169</v>
      </c>
      <c r="F229" s="189" t="s">
        <v>142</v>
      </c>
      <c r="G229" s="17" t="s">
        <v>117</v>
      </c>
      <c r="H229" s="17" t="s">
        <v>116</v>
      </c>
      <c r="I229" s="196" t="s">
        <v>192</v>
      </c>
      <c r="J229" s="48" t="s">
        <v>118</v>
      </c>
      <c r="K229" s="20">
        <v>43060</v>
      </c>
      <c r="L229" s="32">
        <v>43820</v>
      </c>
      <c r="M229" s="21">
        <f t="shared" si="266"/>
        <v>83.983862867470734</v>
      </c>
      <c r="N229" s="14" t="s">
        <v>155</v>
      </c>
      <c r="O229" s="14" t="s">
        <v>156</v>
      </c>
      <c r="P229" s="14" t="s">
        <v>156</v>
      </c>
      <c r="Q229" s="14" t="s">
        <v>157</v>
      </c>
      <c r="R229" s="14" t="s">
        <v>36</v>
      </c>
      <c r="S229" s="23">
        <f t="shared" si="268"/>
        <v>8678209.1799999997</v>
      </c>
      <c r="T229" s="23">
        <v>6998219.6100000003</v>
      </c>
      <c r="U229" s="23">
        <v>1679989.57</v>
      </c>
      <c r="V229" s="23">
        <f t="shared" si="267"/>
        <v>0</v>
      </c>
      <c r="W229" s="23">
        <v>0</v>
      </c>
      <c r="X229" s="23">
        <v>0</v>
      </c>
      <c r="Y229" s="23">
        <f t="shared" si="269"/>
        <v>1654977.3199999998</v>
      </c>
      <c r="Z229" s="23">
        <v>1234979.93</v>
      </c>
      <c r="AA229" s="23">
        <v>419997.39</v>
      </c>
      <c r="AB229" s="23">
        <f t="shared" si="271"/>
        <v>0</v>
      </c>
      <c r="AC229" s="23">
        <v>0</v>
      </c>
      <c r="AD229" s="23">
        <v>0</v>
      </c>
      <c r="AE229" s="23">
        <f t="shared" si="272"/>
        <v>10333186.5</v>
      </c>
      <c r="AF229" s="23">
        <v>0</v>
      </c>
      <c r="AG229" s="26">
        <f t="shared" si="270"/>
        <v>10333186.5</v>
      </c>
      <c r="AH229" s="27" t="s">
        <v>585</v>
      </c>
      <c r="AI229" s="28" t="s">
        <v>1212</v>
      </c>
      <c r="AJ229" s="29">
        <f>41796.8+106506.65</f>
        <v>148303.45000000001</v>
      </c>
      <c r="AK229" s="49">
        <v>0</v>
      </c>
    </row>
    <row r="230" spans="1:37" ht="141.75" x14ac:dyDescent="0.25">
      <c r="A230" s="12">
        <v>226</v>
      </c>
      <c r="B230" s="13">
        <v>120082</v>
      </c>
      <c r="C230" s="8">
        <v>56</v>
      </c>
      <c r="D230" s="14" t="s">
        <v>168</v>
      </c>
      <c r="E230" s="18" t="s">
        <v>169</v>
      </c>
      <c r="F230" s="189" t="s">
        <v>142</v>
      </c>
      <c r="G230" s="17" t="s">
        <v>143</v>
      </c>
      <c r="H230" s="17" t="s">
        <v>141</v>
      </c>
      <c r="I230" s="14" t="s">
        <v>204</v>
      </c>
      <c r="J230" s="48" t="s">
        <v>144</v>
      </c>
      <c r="K230" s="20">
        <v>43006</v>
      </c>
      <c r="L230" s="32">
        <v>44102</v>
      </c>
      <c r="M230" s="21">
        <f t="shared" si="266"/>
        <v>83.98386279749451</v>
      </c>
      <c r="N230" s="14" t="s">
        <v>155</v>
      </c>
      <c r="O230" s="14" t="s">
        <v>156</v>
      </c>
      <c r="P230" s="14" t="s">
        <v>156</v>
      </c>
      <c r="Q230" s="42" t="s">
        <v>157</v>
      </c>
      <c r="R230" s="14" t="s">
        <v>36</v>
      </c>
      <c r="S230" s="23">
        <f t="shared" si="268"/>
        <v>5145385.2700000005</v>
      </c>
      <c r="T230" s="23">
        <v>4149304.93</v>
      </c>
      <c r="U230" s="23">
        <v>996080.34</v>
      </c>
      <c r="V230" s="23">
        <f t="shared" si="267"/>
        <v>0</v>
      </c>
      <c r="W230" s="23">
        <v>0</v>
      </c>
      <c r="X230" s="23">
        <v>0</v>
      </c>
      <c r="Y230" s="23">
        <f t="shared" si="269"/>
        <v>981250.37</v>
      </c>
      <c r="Z230" s="23">
        <v>732230.28</v>
      </c>
      <c r="AA230" s="23">
        <v>249020.09</v>
      </c>
      <c r="AB230" s="23">
        <f t="shared" si="271"/>
        <v>0</v>
      </c>
      <c r="AC230" s="23"/>
      <c r="AD230" s="23"/>
      <c r="AE230" s="23">
        <f t="shared" si="272"/>
        <v>6126635.6400000006</v>
      </c>
      <c r="AF230" s="23">
        <v>0</v>
      </c>
      <c r="AG230" s="26">
        <f t="shared" si="270"/>
        <v>6126635.6400000006</v>
      </c>
      <c r="AH230" s="27" t="s">
        <v>585</v>
      </c>
      <c r="AI230" s="190" t="s">
        <v>185</v>
      </c>
      <c r="AJ230" s="29">
        <f>15818.36+6578.46+48495.02</f>
        <v>70891.839999999997</v>
      </c>
      <c r="AK230" s="49">
        <v>0</v>
      </c>
    </row>
    <row r="231" spans="1:37" ht="141.75" x14ac:dyDescent="0.25">
      <c r="A231" s="14">
        <v>227</v>
      </c>
      <c r="B231" s="13">
        <v>120126</v>
      </c>
      <c r="C231" s="8">
        <v>57</v>
      </c>
      <c r="D231" s="14" t="s">
        <v>168</v>
      </c>
      <c r="E231" s="18" t="s">
        <v>169</v>
      </c>
      <c r="F231" s="189" t="s">
        <v>142</v>
      </c>
      <c r="G231" s="17" t="s">
        <v>119</v>
      </c>
      <c r="H231" s="17" t="s">
        <v>116</v>
      </c>
      <c r="I231" s="14" t="s">
        <v>185</v>
      </c>
      <c r="J231" s="48" t="s">
        <v>120</v>
      </c>
      <c r="K231" s="20">
        <v>43060</v>
      </c>
      <c r="L231" s="32">
        <v>44094</v>
      </c>
      <c r="M231" s="21">
        <f t="shared" si="266"/>
        <v>83.98386273060467</v>
      </c>
      <c r="N231" s="14" t="s">
        <v>155</v>
      </c>
      <c r="O231" s="14" t="s">
        <v>156</v>
      </c>
      <c r="P231" s="14" t="s">
        <v>156</v>
      </c>
      <c r="Q231" s="42" t="s">
        <v>157</v>
      </c>
      <c r="R231" s="14" t="s">
        <v>36</v>
      </c>
      <c r="S231" s="23">
        <f t="shared" si="268"/>
        <v>2709276.16</v>
      </c>
      <c r="T231" s="23">
        <v>2184795.1800000002</v>
      </c>
      <c r="U231" s="23">
        <v>524480.98</v>
      </c>
      <c r="V231" s="23">
        <f t="shared" si="267"/>
        <v>0</v>
      </c>
      <c r="W231" s="23">
        <v>0</v>
      </c>
      <c r="X231" s="23">
        <v>0</v>
      </c>
      <c r="Y231" s="23">
        <f t="shared" si="269"/>
        <v>516672.34</v>
      </c>
      <c r="Z231" s="23">
        <v>385552.09</v>
      </c>
      <c r="AA231" s="23">
        <v>131120.25</v>
      </c>
      <c r="AB231" s="23">
        <f t="shared" si="271"/>
        <v>0</v>
      </c>
      <c r="AC231" s="23"/>
      <c r="AD231" s="23"/>
      <c r="AE231" s="23">
        <f t="shared" si="272"/>
        <v>3225948.5</v>
      </c>
      <c r="AF231" s="23">
        <v>0</v>
      </c>
      <c r="AG231" s="26">
        <f t="shared" si="270"/>
        <v>3225948.5</v>
      </c>
      <c r="AH231" s="27" t="s">
        <v>585</v>
      </c>
      <c r="AI231" s="197" t="s">
        <v>1388</v>
      </c>
      <c r="AJ231" s="29">
        <f>38081.64+10353.53+14871.03</f>
        <v>63306.2</v>
      </c>
      <c r="AK231" s="49">
        <v>0</v>
      </c>
    </row>
    <row r="232" spans="1:37" ht="409.5" x14ac:dyDescent="0.25">
      <c r="A232" s="12">
        <v>228</v>
      </c>
      <c r="B232" s="13">
        <v>119957</v>
      </c>
      <c r="C232" s="8">
        <v>136</v>
      </c>
      <c r="D232" s="14" t="s">
        <v>170</v>
      </c>
      <c r="E232" s="18" t="s">
        <v>178</v>
      </c>
      <c r="F232" s="189" t="s">
        <v>145</v>
      </c>
      <c r="G232" s="17" t="s">
        <v>146</v>
      </c>
      <c r="H232" s="17" t="s">
        <v>87</v>
      </c>
      <c r="I232" s="14" t="s">
        <v>200</v>
      </c>
      <c r="J232" s="48" t="s">
        <v>147</v>
      </c>
      <c r="K232" s="20">
        <v>43047</v>
      </c>
      <c r="L232" s="32">
        <v>43838</v>
      </c>
      <c r="M232" s="21">
        <f t="shared" si="266"/>
        <v>83.983862631165763</v>
      </c>
      <c r="N232" s="14" t="s">
        <v>155</v>
      </c>
      <c r="O232" s="14" t="s">
        <v>156</v>
      </c>
      <c r="P232" s="14" t="s">
        <v>156</v>
      </c>
      <c r="Q232" s="42" t="s">
        <v>157</v>
      </c>
      <c r="R232" s="14" t="s">
        <v>36</v>
      </c>
      <c r="S232" s="23">
        <f t="shared" si="268"/>
        <v>30804926.460000001</v>
      </c>
      <c r="T232" s="23">
        <v>24841489.309999999</v>
      </c>
      <c r="U232" s="23">
        <v>5963437.1500000004</v>
      </c>
      <c r="V232" s="23">
        <f t="shared" si="267"/>
        <v>0</v>
      </c>
      <c r="W232" s="23">
        <v>0</v>
      </c>
      <c r="X232" s="23">
        <v>0</v>
      </c>
      <c r="Y232" s="23">
        <f t="shared" si="269"/>
        <v>5874651.6099999994</v>
      </c>
      <c r="Z232" s="23">
        <v>4383792.3</v>
      </c>
      <c r="AA232" s="23">
        <v>1490859.31</v>
      </c>
      <c r="AB232" s="23">
        <f t="shared" si="271"/>
        <v>0</v>
      </c>
      <c r="AC232" s="23"/>
      <c r="AD232" s="23"/>
      <c r="AE232" s="23">
        <f t="shared" si="272"/>
        <v>36679578.07</v>
      </c>
      <c r="AF232" s="23">
        <v>0</v>
      </c>
      <c r="AG232" s="26">
        <f t="shared" si="270"/>
        <v>36679578.07</v>
      </c>
      <c r="AH232" s="27" t="s">
        <v>585</v>
      </c>
      <c r="AI232" s="190" t="s">
        <v>1436</v>
      </c>
      <c r="AJ232" s="29">
        <f>279828.68+528409.7+438718.76+190085.92+282362.84+626562.73</f>
        <v>2345968.63</v>
      </c>
      <c r="AK232" s="49">
        <v>0</v>
      </c>
    </row>
    <row r="233" spans="1:37" s="194" customFormat="1" ht="330.75" x14ac:dyDescent="0.25">
      <c r="A233" s="12">
        <v>229</v>
      </c>
      <c r="B233" s="13">
        <v>118963</v>
      </c>
      <c r="C233" s="8">
        <v>34</v>
      </c>
      <c r="D233" s="14" t="s">
        <v>173</v>
      </c>
      <c r="E233" s="18" t="s">
        <v>167</v>
      </c>
      <c r="F233" s="189" t="s">
        <v>181</v>
      </c>
      <c r="G233" s="17" t="s">
        <v>105</v>
      </c>
      <c r="H233" s="17" t="s">
        <v>87</v>
      </c>
      <c r="I233" s="14" t="s">
        <v>552</v>
      </c>
      <c r="J233" s="48" t="s">
        <v>106</v>
      </c>
      <c r="K233" s="20">
        <v>42629</v>
      </c>
      <c r="L233" s="32">
        <v>43540</v>
      </c>
      <c r="M233" s="21">
        <f t="shared" si="266"/>
        <v>83.983862803496507</v>
      </c>
      <c r="N233" s="14" t="s">
        <v>155</v>
      </c>
      <c r="O233" s="14" t="s">
        <v>156</v>
      </c>
      <c r="P233" s="14" t="s">
        <v>156</v>
      </c>
      <c r="Q233" s="42" t="s">
        <v>157</v>
      </c>
      <c r="R233" s="14" t="s">
        <v>36</v>
      </c>
      <c r="S233" s="23">
        <f t="shared" si="268"/>
        <v>4117071.25</v>
      </c>
      <c r="T233" s="23">
        <v>3320059.26</v>
      </c>
      <c r="U233" s="23">
        <v>797011.99</v>
      </c>
      <c r="V233" s="23">
        <f t="shared" si="267"/>
        <v>0</v>
      </c>
      <c r="W233" s="23">
        <v>0</v>
      </c>
      <c r="X233" s="23">
        <v>0</v>
      </c>
      <c r="Y233" s="23">
        <f t="shared" si="269"/>
        <v>785145.81</v>
      </c>
      <c r="Z233" s="23">
        <v>585892.81000000006</v>
      </c>
      <c r="AA233" s="23">
        <v>199253</v>
      </c>
      <c r="AB233" s="23">
        <f t="shared" si="271"/>
        <v>0</v>
      </c>
      <c r="AC233" s="23"/>
      <c r="AD233" s="23"/>
      <c r="AE233" s="23">
        <f t="shared" si="272"/>
        <v>4902217.0600000005</v>
      </c>
      <c r="AF233" s="23">
        <v>0</v>
      </c>
      <c r="AG233" s="26">
        <f t="shared" si="270"/>
        <v>4902217.0600000005</v>
      </c>
      <c r="AH233" s="27" t="s">
        <v>1311</v>
      </c>
      <c r="AI233" s="28" t="s">
        <v>187</v>
      </c>
      <c r="AJ233" s="29">
        <f>1460741.83+228438.52+391513.86+234930.38+421082.6+869050.66</f>
        <v>3605757.85</v>
      </c>
      <c r="AK233" s="49">
        <v>0</v>
      </c>
    </row>
    <row r="234" spans="1:37" s="194" customFormat="1" ht="141.75" x14ac:dyDescent="0.25">
      <c r="A234" s="14">
        <v>230</v>
      </c>
      <c r="B234" s="13">
        <v>118964</v>
      </c>
      <c r="C234" s="8">
        <v>35</v>
      </c>
      <c r="D234" s="14" t="s">
        <v>170</v>
      </c>
      <c r="E234" s="18" t="s">
        <v>167</v>
      </c>
      <c r="F234" s="189" t="s">
        <v>181</v>
      </c>
      <c r="G234" s="17" t="s">
        <v>107</v>
      </c>
      <c r="H234" s="17" t="s">
        <v>87</v>
      </c>
      <c r="I234" s="14" t="s">
        <v>842</v>
      </c>
      <c r="J234" s="48" t="s">
        <v>108</v>
      </c>
      <c r="K234" s="20">
        <v>42670</v>
      </c>
      <c r="L234" s="32">
        <v>43796</v>
      </c>
      <c r="M234" s="21">
        <f t="shared" si="266"/>
        <v>83.983860041638508</v>
      </c>
      <c r="N234" s="14" t="s">
        <v>155</v>
      </c>
      <c r="O234" s="14" t="s">
        <v>156</v>
      </c>
      <c r="P234" s="14" t="s">
        <v>156</v>
      </c>
      <c r="Q234" s="42" t="s">
        <v>157</v>
      </c>
      <c r="R234" s="14" t="s">
        <v>36</v>
      </c>
      <c r="S234" s="23">
        <f t="shared" si="268"/>
        <v>1279634.26</v>
      </c>
      <c r="T234" s="23">
        <v>1031913.55</v>
      </c>
      <c r="U234" s="23">
        <v>247720.71</v>
      </c>
      <c r="V234" s="23">
        <f t="shared" si="267"/>
        <v>0</v>
      </c>
      <c r="W234" s="23">
        <v>0</v>
      </c>
      <c r="X234" s="23">
        <v>0</v>
      </c>
      <c r="Y234" s="23">
        <f t="shared" si="269"/>
        <v>244032.62</v>
      </c>
      <c r="Z234" s="23">
        <v>182102.42</v>
      </c>
      <c r="AA234" s="23">
        <v>61930.2</v>
      </c>
      <c r="AB234" s="23">
        <f t="shared" si="271"/>
        <v>0</v>
      </c>
      <c r="AC234" s="23"/>
      <c r="AD234" s="23"/>
      <c r="AE234" s="23">
        <f t="shared" si="272"/>
        <v>1523666.88</v>
      </c>
      <c r="AF234" s="23">
        <v>0</v>
      </c>
      <c r="AG234" s="26">
        <f t="shared" si="270"/>
        <v>1523666.88</v>
      </c>
      <c r="AH234" s="27" t="s">
        <v>585</v>
      </c>
      <c r="AI234" s="28" t="s">
        <v>1425</v>
      </c>
      <c r="AJ234" s="29">
        <f>122689.41+119337.51+49801.59</f>
        <v>291828.51</v>
      </c>
      <c r="AK234" s="49">
        <v>0</v>
      </c>
    </row>
    <row r="235" spans="1:37" s="194" customFormat="1" ht="236.25" x14ac:dyDescent="0.25">
      <c r="A235" s="12">
        <v>231</v>
      </c>
      <c r="B235" s="13">
        <v>119981</v>
      </c>
      <c r="C235" s="8">
        <v>36</v>
      </c>
      <c r="D235" s="14" t="s">
        <v>1074</v>
      </c>
      <c r="E235" s="18" t="s">
        <v>167</v>
      </c>
      <c r="F235" s="189" t="s">
        <v>181</v>
      </c>
      <c r="G235" s="17" t="s">
        <v>109</v>
      </c>
      <c r="H235" s="17" t="s">
        <v>84</v>
      </c>
      <c r="I235" s="14" t="s">
        <v>185</v>
      </c>
      <c r="J235" s="48" t="s">
        <v>110</v>
      </c>
      <c r="K235" s="20">
        <v>42579</v>
      </c>
      <c r="L235" s="32">
        <v>43462</v>
      </c>
      <c r="M235" s="21">
        <f t="shared" si="266"/>
        <v>83.983863111728837</v>
      </c>
      <c r="N235" s="14" t="s">
        <v>155</v>
      </c>
      <c r="O235" s="14" t="s">
        <v>156</v>
      </c>
      <c r="P235" s="14" t="s">
        <v>156</v>
      </c>
      <c r="Q235" s="42" t="s">
        <v>157</v>
      </c>
      <c r="R235" s="14" t="s">
        <v>36</v>
      </c>
      <c r="S235" s="23">
        <f t="shared" si="268"/>
        <v>1627939.8599999999</v>
      </c>
      <c r="T235" s="23">
        <v>1312791.6599999999</v>
      </c>
      <c r="U235" s="23">
        <v>315148.2</v>
      </c>
      <c r="V235" s="23">
        <f t="shared" si="267"/>
        <v>0</v>
      </c>
      <c r="W235" s="23">
        <v>0</v>
      </c>
      <c r="X235" s="23">
        <v>0</v>
      </c>
      <c r="Y235" s="23">
        <f t="shared" si="269"/>
        <v>310456.15999999997</v>
      </c>
      <c r="Z235" s="23">
        <v>231669.11</v>
      </c>
      <c r="AA235" s="23">
        <v>78787.05</v>
      </c>
      <c r="AB235" s="23">
        <f t="shared" si="271"/>
        <v>0</v>
      </c>
      <c r="AC235" s="23"/>
      <c r="AD235" s="23"/>
      <c r="AE235" s="23">
        <f t="shared" si="272"/>
        <v>1938396.0199999998</v>
      </c>
      <c r="AF235" s="23">
        <v>0</v>
      </c>
      <c r="AG235" s="26">
        <f t="shared" si="270"/>
        <v>1938396.0199999998</v>
      </c>
      <c r="AH235" s="27" t="s">
        <v>1073</v>
      </c>
      <c r="AI235" s="28" t="s">
        <v>188</v>
      </c>
      <c r="AJ235" s="29">
        <f>559604.06+125761.16+33457.13+622518.23+7475.79+33855.21+3996.8</f>
        <v>1386668.3800000001</v>
      </c>
      <c r="AK235" s="49">
        <v>0</v>
      </c>
    </row>
    <row r="236" spans="1:37" s="194" customFormat="1" ht="315" x14ac:dyDescent="0.25">
      <c r="A236" s="12">
        <v>232</v>
      </c>
      <c r="B236" s="13">
        <v>120414</v>
      </c>
      <c r="C236" s="8">
        <v>61</v>
      </c>
      <c r="D236" s="14" t="s">
        <v>173</v>
      </c>
      <c r="E236" s="18" t="s">
        <v>167</v>
      </c>
      <c r="F236" s="189" t="s">
        <v>148</v>
      </c>
      <c r="G236" s="17" t="s">
        <v>149</v>
      </c>
      <c r="H236" s="17" t="s">
        <v>329</v>
      </c>
      <c r="I236" s="14" t="s">
        <v>199</v>
      </c>
      <c r="J236" s="48" t="s">
        <v>678</v>
      </c>
      <c r="K236" s="20">
        <v>42893</v>
      </c>
      <c r="L236" s="32">
        <v>43928</v>
      </c>
      <c r="M236" s="21">
        <f t="shared" si="266"/>
        <v>83.395347070002629</v>
      </c>
      <c r="N236" s="14" t="s">
        <v>155</v>
      </c>
      <c r="O236" s="14" t="s">
        <v>156</v>
      </c>
      <c r="P236" s="14" t="s">
        <v>156</v>
      </c>
      <c r="Q236" s="42" t="s">
        <v>157</v>
      </c>
      <c r="R236" s="14" t="s">
        <v>36</v>
      </c>
      <c r="S236" s="23">
        <f t="shared" si="268"/>
        <v>9816719.1999999993</v>
      </c>
      <c r="T236" s="23">
        <v>7916328.7599999998</v>
      </c>
      <c r="U236" s="23">
        <v>1900390.44</v>
      </c>
      <c r="V236" s="23">
        <f t="shared" si="267"/>
        <v>647352.26</v>
      </c>
      <c r="W236" s="23">
        <v>483068.28</v>
      </c>
      <c r="X236" s="23">
        <v>164283.98000000001</v>
      </c>
      <c r="Y236" s="23">
        <f t="shared" si="269"/>
        <v>1307231.79</v>
      </c>
      <c r="Z236" s="23">
        <v>979654.51000000013</v>
      </c>
      <c r="AA236" s="23">
        <v>327577.27999999997</v>
      </c>
      <c r="AB236" s="23">
        <f t="shared" si="271"/>
        <v>0</v>
      </c>
      <c r="AC236" s="23"/>
      <c r="AD236" s="23"/>
      <c r="AE236" s="23">
        <f t="shared" si="272"/>
        <v>11771303.25</v>
      </c>
      <c r="AF236" s="23">
        <v>0</v>
      </c>
      <c r="AG236" s="26">
        <f t="shared" si="270"/>
        <v>11771303.25</v>
      </c>
      <c r="AH236" s="27" t="s">
        <v>585</v>
      </c>
      <c r="AI236" s="28" t="s">
        <v>1288</v>
      </c>
      <c r="AJ236" s="29">
        <v>1693123.23</v>
      </c>
      <c r="AK236" s="29">
        <v>67677.87</v>
      </c>
    </row>
    <row r="237" spans="1:37" ht="173.25" x14ac:dyDescent="0.25">
      <c r="A237" s="14">
        <v>233</v>
      </c>
      <c r="B237" s="13">
        <v>119988</v>
      </c>
      <c r="C237" s="8">
        <v>62</v>
      </c>
      <c r="D237" s="14" t="s">
        <v>170</v>
      </c>
      <c r="E237" s="18" t="s">
        <v>167</v>
      </c>
      <c r="F237" s="189" t="s">
        <v>148</v>
      </c>
      <c r="G237" s="17" t="s">
        <v>150</v>
      </c>
      <c r="H237" s="17" t="s">
        <v>116</v>
      </c>
      <c r="I237" s="198" t="s">
        <v>208</v>
      </c>
      <c r="J237" s="48" t="s">
        <v>151</v>
      </c>
      <c r="K237" s="20">
        <v>43060</v>
      </c>
      <c r="L237" s="32">
        <v>43911</v>
      </c>
      <c r="M237" s="21">
        <f t="shared" si="266"/>
        <v>83.983862836233868</v>
      </c>
      <c r="N237" s="14" t="s">
        <v>155</v>
      </c>
      <c r="O237" s="14" t="s">
        <v>156</v>
      </c>
      <c r="P237" s="14" t="s">
        <v>156</v>
      </c>
      <c r="Q237" s="42" t="s">
        <v>157</v>
      </c>
      <c r="R237" s="14" t="s">
        <v>36</v>
      </c>
      <c r="S237" s="23">
        <f t="shared" si="268"/>
        <v>3950537.5</v>
      </c>
      <c r="T237" s="23">
        <v>3185764.3</v>
      </c>
      <c r="U237" s="23">
        <v>764773.2</v>
      </c>
      <c r="V237" s="23">
        <f t="shared" si="267"/>
        <v>0</v>
      </c>
      <c r="W237" s="23">
        <v>0</v>
      </c>
      <c r="X237" s="23">
        <v>0</v>
      </c>
      <c r="Y237" s="23">
        <f t="shared" si="269"/>
        <v>753387</v>
      </c>
      <c r="Z237" s="23">
        <v>562193.69999999995</v>
      </c>
      <c r="AA237" s="23">
        <v>191193.3</v>
      </c>
      <c r="AB237" s="23">
        <f t="shared" si="271"/>
        <v>0</v>
      </c>
      <c r="AC237" s="23"/>
      <c r="AD237" s="23"/>
      <c r="AE237" s="23">
        <f t="shared" si="272"/>
        <v>4703924.5</v>
      </c>
      <c r="AF237" s="23"/>
      <c r="AG237" s="26">
        <f t="shared" si="270"/>
        <v>4703924.5</v>
      </c>
      <c r="AH237" s="27" t="s">
        <v>585</v>
      </c>
      <c r="AI237" s="28" t="s">
        <v>185</v>
      </c>
      <c r="AJ237" s="29">
        <f>143481.84+21902.16+29844.51</f>
        <v>195228.51</v>
      </c>
      <c r="AK237" s="29">
        <v>0</v>
      </c>
    </row>
    <row r="238" spans="1:37" ht="315" x14ac:dyDescent="0.25">
      <c r="A238" s="12">
        <v>234</v>
      </c>
      <c r="B238" s="13">
        <v>119741</v>
      </c>
      <c r="C238" s="8">
        <v>63</v>
      </c>
      <c r="D238" s="14" t="s">
        <v>170</v>
      </c>
      <c r="E238" s="18" t="s">
        <v>167</v>
      </c>
      <c r="F238" s="189" t="s">
        <v>148</v>
      </c>
      <c r="G238" s="30" t="s">
        <v>153</v>
      </c>
      <c r="H238" s="17" t="s">
        <v>152</v>
      </c>
      <c r="I238" s="14" t="s">
        <v>185</v>
      </c>
      <c r="J238" s="48" t="s">
        <v>154</v>
      </c>
      <c r="K238" s="20">
        <v>43063</v>
      </c>
      <c r="L238" s="32">
        <v>43793</v>
      </c>
      <c r="M238" s="21">
        <f t="shared" si="266"/>
        <v>83.983862837339956</v>
      </c>
      <c r="N238" s="14" t="s">
        <v>155</v>
      </c>
      <c r="O238" s="14" t="s">
        <v>156</v>
      </c>
      <c r="P238" s="14" t="s">
        <v>156</v>
      </c>
      <c r="Q238" s="42" t="s">
        <v>157</v>
      </c>
      <c r="R238" s="14" t="s">
        <v>36</v>
      </c>
      <c r="S238" s="23">
        <f t="shared" si="268"/>
        <v>2267315.5699999998</v>
      </c>
      <c r="T238" s="23">
        <v>1828392.47</v>
      </c>
      <c r="U238" s="23">
        <v>438923.1</v>
      </c>
      <c r="V238" s="23">
        <f t="shared" si="267"/>
        <v>0</v>
      </c>
      <c r="W238" s="23">
        <v>0</v>
      </c>
      <c r="X238" s="23">
        <v>0</v>
      </c>
      <c r="Y238" s="23">
        <f t="shared" si="269"/>
        <v>432388.27</v>
      </c>
      <c r="Z238" s="23">
        <v>322657.49</v>
      </c>
      <c r="AA238" s="23">
        <v>109730.78</v>
      </c>
      <c r="AB238" s="23">
        <f t="shared" si="271"/>
        <v>0</v>
      </c>
      <c r="AC238" s="23"/>
      <c r="AD238" s="23"/>
      <c r="AE238" s="23">
        <f t="shared" si="272"/>
        <v>2699703.84</v>
      </c>
      <c r="AF238" s="23">
        <v>0</v>
      </c>
      <c r="AG238" s="26">
        <f t="shared" si="270"/>
        <v>2699703.84</v>
      </c>
      <c r="AH238" s="27" t="s">
        <v>585</v>
      </c>
      <c r="AI238" s="190" t="s">
        <v>1248</v>
      </c>
      <c r="AJ238" s="29">
        <f>29668.14+28646.05+103144.15+31797.13</f>
        <v>193255.47</v>
      </c>
      <c r="AK238" s="29">
        <v>0</v>
      </c>
    </row>
    <row r="239" spans="1:37" ht="189" x14ac:dyDescent="0.25">
      <c r="A239" s="12">
        <v>235</v>
      </c>
      <c r="B239" s="13">
        <v>122485</v>
      </c>
      <c r="C239" s="8">
        <v>38</v>
      </c>
      <c r="D239" s="14" t="s">
        <v>173</v>
      </c>
      <c r="E239" s="189" t="s">
        <v>162</v>
      </c>
      <c r="F239" s="189" t="s">
        <v>25</v>
      </c>
      <c r="G239" s="30" t="s">
        <v>27</v>
      </c>
      <c r="H239" s="17" t="s">
        <v>328</v>
      </c>
      <c r="I239" s="14" t="s">
        <v>185</v>
      </c>
      <c r="J239" s="48" t="s">
        <v>28</v>
      </c>
      <c r="K239" s="20">
        <v>42488</v>
      </c>
      <c r="L239" s="32">
        <v>45288</v>
      </c>
      <c r="M239" s="21">
        <f t="shared" si="266"/>
        <v>84.695097599999997</v>
      </c>
      <c r="N239" s="14" t="s">
        <v>155</v>
      </c>
      <c r="O239" s="14" t="s">
        <v>156</v>
      </c>
      <c r="P239" s="14" t="s">
        <v>156</v>
      </c>
      <c r="Q239" s="42" t="s">
        <v>157</v>
      </c>
      <c r="R239" s="14" t="s">
        <v>26</v>
      </c>
      <c r="S239" s="23">
        <f t="shared" si="268"/>
        <v>16939019.52</v>
      </c>
      <c r="T239" s="23">
        <v>15963331.810000001</v>
      </c>
      <c r="U239" s="23">
        <v>975687.71</v>
      </c>
      <c r="V239" s="23">
        <f t="shared" si="267"/>
        <v>0</v>
      </c>
      <c r="W239" s="23">
        <v>0</v>
      </c>
      <c r="X239" s="23">
        <v>0</v>
      </c>
      <c r="Y239" s="23">
        <f t="shared" si="269"/>
        <v>3060980.48</v>
      </c>
      <c r="Z239" s="23">
        <v>2817058.55</v>
      </c>
      <c r="AA239" s="23">
        <v>243921.93</v>
      </c>
      <c r="AB239" s="23">
        <f t="shared" si="271"/>
        <v>0</v>
      </c>
      <c r="AC239" s="23"/>
      <c r="AD239" s="23"/>
      <c r="AE239" s="23">
        <f t="shared" si="272"/>
        <v>20000000</v>
      </c>
      <c r="AF239" s="23">
        <v>200000</v>
      </c>
      <c r="AG239" s="26">
        <f t="shared" si="270"/>
        <v>20200000</v>
      </c>
      <c r="AH239" s="27" t="s">
        <v>585</v>
      </c>
      <c r="AI239" s="28" t="s">
        <v>1067</v>
      </c>
      <c r="AJ239" s="199">
        <f>367086.52+3723.41+1413.34+18873.79+125767.27</f>
        <v>516864.33</v>
      </c>
      <c r="AK239" s="200">
        <v>0</v>
      </c>
    </row>
    <row r="240" spans="1:37" ht="110.25" x14ac:dyDescent="0.25">
      <c r="A240" s="14">
        <v>236</v>
      </c>
      <c r="B240" s="13">
        <v>122484</v>
      </c>
      <c r="C240" s="8">
        <v>39</v>
      </c>
      <c r="D240" s="14" t="s">
        <v>173</v>
      </c>
      <c r="E240" s="189" t="s">
        <v>161</v>
      </c>
      <c r="F240" s="189" t="s">
        <v>25</v>
      </c>
      <c r="G240" s="30" t="s">
        <v>30</v>
      </c>
      <c r="H240" s="17" t="s">
        <v>328</v>
      </c>
      <c r="I240" s="14" t="s">
        <v>185</v>
      </c>
      <c r="J240" s="48" t="s">
        <v>31</v>
      </c>
      <c r="K240" s="20">
        <v>42488</v>
      </c>
      <c r="L240" s="32">
        <v>45288</v>
      </c>
      <c r="M240" s="21">
        <f t="shared" si="266"/>
        <v>84.695097596566526</v>
      </c>
      <c r="N240" s="14" t="s">
        <v>155</v>
      </c>
      <c r="O240" s="14" t="s">
        <v>156</v>
      </c>
      <c r="P240" s="14" t="s">
        <v>156</v>
      </c>
      <c r="Q240" s="42" t="s">
        <v>157</v>
      </c>
      <c r="R240" s="14" t="s">
        <v>29</v>
      </c>
      <c r="S240" s="23">
        <f t="shared" si="268"/>
        <v>59201873.219999999</v>
      </c>
      <c r="T240" s="23">
        <v>55791844.670000002</v>
      </c>
      <c r="U240" s="23">
        <v>3410028.55</v>
      </c>
      <c r="V240" s="23">
        <f t="shared" si="267"/>
        <v>0</v>
      </c>
      <c r="W240" s="23">
        <v>0</v>
      </c>
      <c r="X240" s="23">
        <v>0</v>
      </c>
      <c r="Y240" s="23">
        <f t="shared" si="269"/>
        <v>10698126.780000001</v>
      </c>
      <c r="Z240" s="23">
        <v>9845619.6400000006</v>
      </c>
      <c r="AA240" s="23">
        <v>852507.14</v>
      </c>
      <c r="AB240" s="23">
        <f t="shared" si="271"/>
        <v>0</v>
      </c>
      <c r="AC240" s="23"/>
      <c r="AD240" s="23"/>
      <c r="AE240" s="23">
        <f t="shared" si="272"/>
        <v>69900000</v>
      </c>
      <c r="AF240" s="23">
        <v>600000</v>
      </c>
      <c r="AG240" s="26">
        <f t="shared" si="270"/>
        <v>70500000</v>
      </c>
      <c r="AH240" s="27" t="s">
        <v>585</v>
      </c>
      <c r="AI240" s="28" t="s">
        <v>1068</v>
      </c>
      <c r="AJ240" s="29">
        <f>1614958.09+116790.02+175736.29+210865.38+813289.51+430129.67</f>
        <v>3361768.96</v>
      </c>
      <c r="AK240" s="49">
        <v>0</v>
      </c>
    </row>
    <row r="241" spans="1:37" ht="94.5" x14ac:dyDescent="0.25">
      <c r="A241" s="12">
        <v>237</v>
      </c>
      <c r="B241" s="13">
        <v>112483</v>
      </c>
      <c r="C241" s="8">
        <v>40</v>
      </c>
      <c r="D241" s="14" t="s">
        <v>173</v>
      </c>
      <c r="E241" s="189" t="s">
        <v>161</v>
      </c>
      <c r="F241" s="189" t="s">
        <v>25</v>
      </c>
      <c r="G241" s="30" t="s">
        <v>33</v>
      </c>
      <c r="H241" s="17" t="s">
        <v>328</v>
      </c>
      <c r="I241" s="14" t="s">
        <v>185</v>
      </c>
      <c r="J241" s="48" t="s">
        <v>34</v>
      </c>
      <c r="K241" s="20">
        <v>42488</v>
      </c>
      <c r="L241" s="32">
        <v>44314</v>
      </c>
      <c r="M241" s="21">
        <f t="shared" si="266"/>
        <v>84.695097599999997</v>
      </c>
      <c r="N241" s="14" t="s">
        <v>155</v>
      </c>
      <c r="O241" s="14" t="s">
        <v>156</v>
      </c>
      <c r="P241" s="14" t="s">
        <v>156</v>
      </c>
      <c r="Q241" s="42" t="s">
        <v>157</v>
      </c>
      <c r="R241" s="14" t="s">
        <v>32</v>
      </c>
      <c r="S241" s="23">
        <f t="shared" si="268"/>
        <v>50817058.560000002</v>
      </c>
      <c r="T241" s="23">
        <v>47889995.43</v>
      </c>
      <c r="U241" s="23">
        <v>2927063.13</v>
      </c>
      <c r="V241" s="23">
        <f t="shared" si="267"/>
        <v>0</v>
      </c>
      <c r="W241" s="23">
        <v>0</v>
      </c>
      <c r="X241" s="23">
        <v>0</v>
      </c>
      <c r="Y241" s="23">
        <f t="shared" si="269"/>
        <v>9182941.4399999995</v>
      </c>
      <c r="Z241" s="23">
        <v>8451175.6600000001</v>
      </c>
      <c r="AA241" s="23">
        <v>731765.78</v>
      </c>
      <c r="AB241" s="23">
        <f t="shared" si="271"/>
        <v>0</v>
      </c>
      <c r="AC241" s="23"/>
      <c r="AD241" s="23"/>
      <c r="AE241" s="23">
        <f t="shared" si="272"/>
        <v>60000000</v>
      </c>
      <c r="AF241" s="23">
        <v>1936000</v>
      </c>
      <c r="AG241" s="26">
        <f t="shared" si="270"/>
        <v>61936000</v>
      </c>
      <c r="AH241" s="27" t="s">
        <v>585</v>
      </c>
      <c r="AI241" s="28" t="s">
        <v>211</v>
      </c>
      <c r="AJ241" s="29">
        <f>18028067.88+2522724.79+2940219.11+5150825.51+1054081.31+2107332.6+2141049.72</f>
        <v>33944300.920000002</v>
      </c>
      <c r="AK241" s="49">
        <v>0</v>
      </c>
    </row>
    <row r="242" spans="1:37" ht="409.5" x14ac:dyDescent="0.25">
      <c r="A242" s="12">
        <v>238</v>
      </c>
      <c r="B242" s="13">
        <v>109937</v>
      </c>
      <c r="C242" s="8">
        <v>162</v>
      </c>
      <c r="D242" s="14" t="s">
        <v>1074</v>
      </c>
      <c r="E242" s="18" t="s">
        <v>165</v>
      </c>
      <c r="F242" s="16" t="s">
        <v>322</v>
      </c>
      <c r="G242" s="30" t="s">
        <v>519</v>
      </c>
      <c r="H242" s="17" t="s">
        <v>323</v>
      </c>
      <c r="I242" s="14" t="s">
        <v>185</v>
      </c>
      <c r="J242" s="80" t="s">
        <v>520</v>
      </c>
      <c r="K242" s="20">
        <v>43173</v>
      </c>
      <c r="L242" s="32">
        <v>43660</v>
      </c>
      <c r="M242" s="21">
        <f t="shared" si="266"/>
        <v>82.304184778160604</v>
      </c>
      <c r="N242" s="14" t="s">
        <v>324</v>
      </c>
      <c r="O242" s="14" t="s">
        <v>312</v>
      </c>
      <c r="P242" s="14" t="s">
        <v>325</v>
      </c>
      <c r="Q242" s="22" t="s">
        <v>326</v>
      </c>
      <c r="R242" s="14" t="s">
        <v>36</v>
      </c>
      <c r="S242" s="23">
        <f t="shared" si="268"/>
        <v>762655.8600000001</v>
      </c>
      <c r="T242" s="23">
        <v>147617.44</v>
      </c>
      <c r="U242" s="23">
        <v>615038.42000000004</v>
      </c>
      <c r="V242" s="23">
        <f t="shared" si="267"/>
        <v>145442.25</v>
      </c>
      <c r="W242" s="23">
        <v>36906.06</v>
      </c>
      <c r="X242" s="23">
        <v>108536.19</v>
      </c>
      <c r="Y242" s="23">
        <f t="shared" si="269"/>
        <v>0</v>
      </c>
      <c r="Z242" s="23"/>
      <c r="AA242" s="23"/>
      <c r="AB242" s="23">
        <f t="shared" si="271"/>
        <v>18532.61</v>
      </c>
      <c r="AC242" s="23">
        <v>3765.78</v>
      </c>
      <c r="AD242" s="23">
        <v>14766.83</v>
      </c>
      <c r="AE242" s="23">
        <f t="shared" si="272"/>
        <v>926630.72000000009</v>
      </c>
      <c r="AF242" s="23">
        <v>0</v>
      </c>
      <c r="AG242" s="26">
        <f t="shared" si="270"/>
        <v>926630.72000000009</v>
      </c>
      <c r="AH242" s="27" t="s">
        <v>585</v>
      </c>
      <c r="AI242" s="28"/>
      <c r="AJ242" s="29">
        <f>340951.1+52774.1+61862.22+16616.16+1069.94+8813.14+48351.34+107449.24</f>
        <v>637887.23999999987</v>
      </c>
      <c r="AK242" s="29">
        <f>47349.74+21861.72+3168.79+9424.88+1680.7+20491.06</f>
        <v>103976.88999999998</v>
      </c>
    </row>
    <row r="243" spans="1:37" ht="225" x14ac:dyDescent="0.25">
      <c r="A243" s="14">
        <v>239</v>
      </c>
      <c r="B243" s="13">
        <v>120769</v>
      </c>
      <c r="C243" s="8">
        <v>96</v>
      </c>
      <c r="D243" s="14" t="s">
        <v>175</v>
      </c>
      <c r="E243" s="15" t="s">
        <v>968</v>
      </c>
      <c r="F243" s="16" t="s">
        <v>331</v>
      </c>
      <c r="G243" s="30" t="s">
        <v>342</v>
      </c>
      <c r="H243" s="17" t="s">
        <v>341</v>
      </c>
      <c r="I243" s="18" t="s">
        <v>343</v>
      </c>
      <c r="J243" s="80" t="s">
        <v>344</v>
      </c>
      <c r="K243" s="20">
        <v>43186</v>
      </c>
      <c r="L243" s="32">
        <v>43673</v>
      </c>
      <c r="M243" s="21">
        <f t="shared" si="266"/>
        <v>84.154097257132506</v>
      </c>
      <c r="N243" s="14" t="s">
        <v>155</v>
      </c>
      <c r="O243" s="14" t="s">
        <v>345</v>
      </c>
      <c r="P243" s="14" t="s">
        <v>345</v>
      </c>
      <c r="Q243" s="22" t="s">
        <v>212</v>
      </c>
      <c r="R243" s="14" t="s">
        <v>36</v>
      </c>
      <c r="S243" s="23">
        <f t="shared" si="268"/>
        <v>357519.4</v>
      </c>
      <c r="T243" s="23">
        <v>357519.4</v>
      </c>
      <c r="U243" s="23">
        <v>0</v>
      </c>
      <c r="V243" s="23">
        <f t="shared" si="267"/>
        <v>58822.79</v>
      </c>
      <c r="W243" s="23">
        <v>58822.79</v>
      </c>
      <c r="X243" s="23">
        <v>0</v>
      </c>
      <c r="Y243" s="23">
        <f t="shared" si="269"/>
        <v>8496.7800000000007</v>
      </c>
      <c r="Z243" s="23">
        <v>8496.7800000000007</v>
      </c>
      <c r="AA243" s="23">
        <v>0</v>
      </c>
      <c r="AB243" s="23">
        <f t="shared" si="271"/>
        <v>0</v>
      </c>
      <c r="AC243" s="23"/>
      <c r="AD243" s="23"/>
      <c r="AE243" s="23">
        <f t="shared" si="272"/>
        <v>424838.97000000003</v>
      </c>
      <c r="AF243" s="23">
        <v>0</v>
      </c>
      <c r="AG243" s="26">
        <f t="shared" si="270"/>
        <v>424838.97000000003</v>
      </c>
      <c r="AH243" s="27" t="s">
        <v>585</v>
      </c>
      <c r="AI243" s="28" t="s">
        <v>185</v>
      </c>
      <c r="AJ243" s="1">
        <f>91004.83+54990.03-2852.81+19018.76+43276.76+21139.54</f>
        <v>226577.11000000002</v>
      </c>
      <c r="AK243" s="29">
        <f>8258.02+14527.48+10688.48</f>
        <v>33473.979999999996</v>
      </c>
    </row>
    <row r="244" spans="1:37" ht="270" x14ac:dyDescent="0.25">
      <c r="A244" s="12">
        <v>240</v>
      </c>
      <c r="B244" s="13">
        <v>121622</v>
      </c>
      <c r="C244" s="8">
        <v>99</v>
      </c>
      <c r="D244" s="14" t="s">
        <v>843</v>
      </c>
      <c r="E244" s="15" t="s">
        <v>968</v>
      </c>
      <c r="F244" s="16" t="s">
        <v>331</v>
      </c>
      <c r="G244" s="30" t="s">
        <v>347</v>
      </c>
      <c r="H244" s="17" t="s">
        <v>352</v>
      </c>
      <c r="I244" s="18" t="s">
        <v>349</v>
      </c>
      <c r="J244" s="80" t="s">
        <v>346</v>
      </c>
      <c r="K244" s="20">
        <v>43188</v>
      </c>
      <c r="L244" s="32">
        <v>43737</v>
      </c>
      <c r="M244" s="21">
        <f t="shared" si="266"/>
        <v>84.999999426373932</v>
      </c>
      <c r="N244" s="14" t="s">
        <v>155</v>
      </c>
      <c r="O244" s="14" t="s">
        <v>354</v>
      </c>
      <c r="P244" s="14" t="s">
        <v>354</v>
      </c>
      <c r="Q244" s="22" t="s">
        <v>212</v>
      </c>
      <c r="R244" s="14" t="s">
        <v>36</v>
      </c>
      <c r="S244" s="23">
        <f t="shared" si="268"/>
        <v>444540.46</v>
      </c>
      <c r="T244" s="23">
        <v>444540.46</v>
      </c>
      <c r="U244" s="23">
        <v>0</v>
      </c>
      <c r="V244" s="23">
        <f t="shared" si="267"/>
        <v>67988.539999999994</v>
      </c>
      <c r="W244" s="23">
        <v>67988.539999999994</v>
      </c>
      <c r="X244" s="23">
        <v>0</v>
      </c>
      <c r="Y244" s="23">
        <f t="shared" si="269"/>
        <v>10459.780000000001</v>
      </c>
      <c r="Z244" s="25">
        <v>10459.780000000001</v>
      </c>
      <c r="AA244" s="23">
        <v>0</v>
      </c>
      <c r="AB244" s="23">
        <f t="shared" si="271"/>
        <v>0</v>
      </c>
      <c r="AC244" s="23"/>
      <c r="AD244" s="23"/>
      <c r="AE244" s="23">
        <f t="shared" si="272"/>
        <v>522988.78</v>
      </c>
      <c r="AF244" s="23">
        <v>0</v>
      </c>
      <c r="AG244" s="26">
        <f t="shared" si="270"/>
        <v>522988.78</v>
      </c>
      <c r="AH244" s="27" t="s">
        <v>585</v>
      </c>
      <c r="AI244" s="28" t="s">
        <v>1253</v>
      </c>
      <c r="AJ244" s="1">
        <f>14488.25+50968.69+59419.29+14618.26+66415.01</f>
        <v>205909.5</v>
      </c>
      <c r="AK244" s="29">
        <f>2215.85+7795.21+9087.66+2235.73+10157.58</f>
        <v>31492.03</v>
      </c>
    </row>
    <row r="245" spans="1:37" ht="255" x14ac:dyDescent="0.25">
      <c r="A245" s="12">
        <v>241</v>
      </c>
      <c r="B245" s="13">
        <v>121536</v>
      </c>
      <c r="C245" s="8">
        <v>102</v>
      </c>
      <c r="D245" s="14" t="s">
        <v>843</v>
      </c>
      <c r="E245" s="15" t="s">
        <v>968</v>
      </c>
      <c r="F245" s="16" t="s">
        <v>331</v>
      </c>
      <c r="G245" s="30" t="s">
        <v>351</v>
      </c>
      <c r="H245" s="17" t="s">
        <v>348</v>
      </c>
      <c r="I245" s="18" t="s">
        <v>349</v>
      </c>
      <c r="J245" s="80" t="s">
        <v>355</v>
      </c>
      <c r="K245" s="20">
        <v>43186</v>
      </c>
      <c r="L245" s="32">
        <v>43643</v>
      </c>
      <c r="M245" s="21">
        <f t="shared" si="266"/>
        <v>85.000000246407055</v>
      </c>
      <c r="N245" s="14" t="s">
        <v>155</v>
      </c>
      <c r="O245" s="14" t="s">
        <v>350</v>
      </c>
      <c r="P245" s="14" t="s">
        <v>350</v>
      </c>
      <c r="Q245" s="22" t="s">
        <v>212</v>
      </c>
      <c r="R245" s="14" t="s">
        <v>36</v>
      </c>
      <c r="S245" s="23">
        <f t="shared" si="268"/>
        <v>344957.66</v>
      </c>
      <c r="T245" s="23">
        <v>344957.66</v>
      </c>
      <c r="U245" s="23">
        <v>0</v>
      </c>
      <c r="V245" s="23">
        <f t="shared" si="267"/>
        <v>52758.23</v>
      </c>
      <c r="W245" s="23">
        <v>52758.23</v>
      </c>
      <c r="X245" s="23">
        <v>0</v>
      </c>
      <c r="Y245" s="23">
        <f t="shared" si="269"/>
        <v>8116.65</v>
      </c>
      <c r="Z245" s="23">
        <v>8116.65</v>
      </c>
      <c r="AA245" s="23">
        <v>0</v>
      </c>
      <c r="AB245" s="23">
        <f t="shared" si="271"/>
        <v>0</v>
      </c>
      <c r="AC245" s="23"/>
      <c r="AD245" s="23"/>
      <c r="AE245" s="23">
        <f t="shared" si="272"/>
        <v>405832.54</v>
      </c>
      <c r="AF245" s="23">
        <v>0</v>
      </c>
      <c r="AG245" s="26">
        <f t="shared" si="270"/>
        <v>405832.54</v>
      </c>
      <c r="AH245" s="27" t="s">
        <v>585</v>
      </c>
      <c r="AI245" s="28" t="s">
        <v>185</v>
      </c>
      <c r="AJ245" s="1">
        <f>28255.24+60713.8+16575+57363.1</f>
        <v>162907.14000000001</v>
      </c>
      <c r="AK245" s="29">
        <f>4321.39+9285.64+2535+8773.18</f>
        <v>24915.21</v>
      </c>
    </row>
    <row r="246" spans="1:37" ht="346.5" x14ac:dyDescent="0.25">
      <c r="A246" s="14">
        <v>242</v>
      </c>
      <c r="B246" s="13">
        <v>112093</v>
      </c>
      <c r="C246" s="8">
        <v>344</v>
      </c>
      <c r="D246" s="14" t="s">
        <v>1320</v>
      </c>
      <c r="E246" s="18" t="s">
        <v>165</v>
      </c>
      <c r="F246" s="75" t="s">
        <v>322</v>
      </c>
      <c r="G246" s="30" t="s">
        <v>361</v>
      </c>
      <c r="H246" s="30" t="s">
        <v>362</v>
      </c>
      <c r="I246" s="18" t="s">
        <v>349</v>
      </c>
      <c r="J246" s="19" t="s">
        <v>521</v>
      </c>
      <c r="K246" s="20">
        <v>43188</v>
      </c>
      <c r="L246" s="32">
        <v>43553</v>
      </c>
      <c r="M246" s="21">
        <f t="shared" si="266"/>
        <v>82.304184346141142</v>
      </c>
      <c r="N246" s="14" t="s">
        <v>324</v>
      </c>
      <c r="O246" s="14" t="s">
        <v>363</v>
      </c>
      <c r="P246" s="14" t="s">
        <v>363</v>
      </c>
      <c r="Q246" s="22" t="s">
        <v>326</v>
      </c>
      <c r="R246" s="18" t="s">
        <v>36</v>
      </c>
      <c r="S246" s="23">
        <f t="shared" si="268"/>
        <v>624137.28</v>
      </c>
      <c r="T246" s="23">
        <v>503312.34</v>
      </c>
      <c r="U246" s="23">
        <v>120824.94</v>
      </c>
      <c r="V246" s="23">
        <f t="shared" si="267"/>
        <v>119026.06000000001</v>
      </c>
      <c r="W246" s="23">
        <v>88819.82</v>
      </c>
      <c r="X246" s="23">
        <v>30206.240000000002</v>
      </c>
      <c r="Y246" s="23">
        <f t="shared" si="269"/>
        <v>0</v>
      </c>
      <c r="Z246" s="23"/>
      <c r="AA246" s="23"/>
      <c r="AB246" s="23">
        <f t="shared" si="271"/>
        <v>15166.61</v>
      </c>
      <c r="AC246" s="23">
        <v>12084.34</v>
      </c>
      <c r="AD246" s="23">
        <v>3082.27</v>
      </c>
      <c r="AE246" s="23">
        <f t="shared" si="272"/>
        <v>758329.95000000007</v>
      </c>
      <c r="AF246" s="23">
        <v>0</v>
      </c>
      <c r="AG246" s="26">
        <f t="shared" si="270"/>
        <v>758329.95000000007</v>
      </c>
      <c r="AH246" s="27" t="s">
        <v>1073</v>
      </c>
      <c r="AI246" s="28" t="s">
        <v>353</v>
      </c>
      <c r="AJ246" s="29">
        <f>281863.03+67706.32-7048.99+70335.64+92451.16+65330.18</f>
        <v>570637.34000000008</v>
      </c>
      <c r="AK246" s="29">
        <f>53450.47+7048.99+3931.35+17630.9+12458.8</f>
        <v>94520.51</v>
      </c>
    </row>
    <row r="247" spans="1:37" ht="409.5" x14ac:dyDescent="0.25">
      <c r="A247" s="12">
        <v>243</v>
      </c>
      <c r="B247" s="13">
        <v>110829</v>
      </c>
      <c r="C247" s="8">
        <v>345</v>
      </c>
      <c r="D247" s="14" t="s">
        <v>175</v>
      </c>
      <c r="E247" s="18" t="s">
        <v>165</v>
      </c>
      <c r="F247" s="75" t="s">
        <v>322</v>
      </c>
      <c r="G247" s="30" t="s">
        <v>364</v>
      </c>
      <c r="H247" s="30" t="s">
        <v>365</v>
      </c>
      <c r="I247" s="18" t="s">
        <v>185</v>
      </c>
      <c r="J247" s="19" t="s">
        <v>366</v>
      </c>
      <c r="K247" s="20">
        <v>43188</v>
      </c>
      <c r="L247" s="32">
        <v>43737</v>
      </c>
      <c r="M247" s="21">
        <f t="shared" si="266"/>
        <v>82.304186026137842</v>
      </c>
      <c r="N247" s="14" t="s">
        <v>324</v>
      </c>
      <c r="O247" s="14" t="s">
        <v>363</v>
      </c>
      <c r="P247" s="14" t="s">
        <v>363</v>
      </c>
      <c r="Q247" s="22" t="s">
        <v>326</v>
      </c>
      <c r="R247" s="18" t="s">
        <v>36</v>
      </c>
      <c r="S247" s="23">
        <f t="shared" si="268"/>
        <v>757586.23</v>
      </c>
      <c r="T247" s="23">
        <v>610927.28</v>
      </c>
      <c r="U247" s="23">
        <v>146658.95000000001</v>
      </c>
      <c r="V247" s="23">
        <f t="shared" si="267"/>
        <v>144475.43</v>
      </c>
      <c r="W247" s="23">
        <v>107810.7</v>
      </c>
      <c r="X247" s="23">
        <v>36664.730000000003</v>
      </c>
      <c r="Y247" s="23">
        <f t="shared" si="269"/>
        <v>0</v>
      </c>
      <c r="Z247" s="23"/>
      <c r="AA247" s="23"/>
      <c r="AB247" s="23">
        <f t="shared" si="271"/>
        <v>18409.420000000002</v>
      </c>
      <c r="AC247" s="23">
        <v>14668.12</v>
      </c>
      <c r="AD247" s="23">
        <v>3741.3</v>
      </c>
      <c r="AE247" s="23">
        <f t="shared" si="272"/>
        <v>920471.08</v>
      </c>
      <c r="AF247" s="23">
        <v>0</v>
      </c>
      <c r="AG247" s="26">
        <f t="shared" si="270"/>
        <v>920471.08</v>
      </c>
      <c r="AH247" s="27" t="s">
        <v>585</v>
      </c>
      <c r="AI247" s="28" t="s">
        <v>353</v>
      </c>
      <c r="AJ247" s="29">
        <f>89285.71-11964.69+140134-555.33+108178.82+21252.58+36085.35+107586.93+34575.24</f>
        <v>524578.61</v>
      </c>
      <c r="AK247" s="29">
        <f>11964.69+11960.22+17298.63+11541.66+4052.98+14039.69+5043.38+6593.66</f>
        <v>82494.91</v>
      </c>
    </row>
    <row r="248" spans="1:37" ht="267.75" x14ac:dyDescent="0.25">
      <c r="A248" s="12">
        <v>244</v>
      </c>
      <c r="B248" s="13">
        <v>111077</v>
      </c>
      <c r="C248" s="8">
        <v>352</v>
      </c>
      <c r="D248" s="14" t="s">
        <v>1320</v>
      </c>
      <c r="E248" s="18" t="s">
        <v>165</v>
      </c>
      <c r="F248" s="75" t="s">
        <v>322</v>
      </c>
      <c r="G248" s="30" t="s">
        <v>367</v>
      </c>
      <c r="H248" s="30" t="s">
        <v>368</v>
      </c>
      <c r="I248" s="18" t="s">
        <v>185</v>
      </c>
      <c r="J248" s="19" t="s">
        <v>369</v>
      </c>
      <c r="K248" s="20">
        <v>43188</v>
      </c>
      <c r="L248" s="32">
        <v>43675</v>
      </c>
      <c r="M248" s="21">
        <f t="shared" si="266"/>
        <v>82.304186243592014</v>
      </c>
      <c r="N248" s="14" t="s">
        <v>324</v>
      </c>
      <c r="O248" s="14" t="s">
        <v>363</v>
      </c>
      <c r="P248" s="14" t="s">
        <v>363</v>
      </c>
      <c r="Q248" s="22" t="s">
        <v>326</v>
      </c>
      <c r="R248" s="18" t="s">
        <v>36</v>
      </c>
      <c r="S248" s="23">
        <f t="shared" si="268"/>
        <v>704316.51</v>
      </c>
      <c r="T248" s="23">
        <v>567969.9</v>
      </c>
      <c r="U248" s="23">
        <v>136346.60999999999</v>
      </c>
      <c r="V248" s="23">
        <f t="shared" si="267"/>
        <v>134316.63</v>
      </c>
      <c r="W248" s="25">
        <v>100229.98</v>
      </c>
      <c r="X248" s="25">
        <v>34086.65</v>
      </c>
      <c r="Y248" s="23">
        <f t="shared" si="269"/>
        <v>0</v>
      </c>
      <c r="Z248" s="23"/>
      <c r="AA248" s="23"/>
      <c r="AB248" s="23">
        <f t="shared" si="271"/>
        <v>17114.96</v>
      </c>
      <c r="AC248" s="23">
        <v>13636.73</v>
      </c>
      <c r="AD248" s="23">
        <v>3478.23</v>
      </c>
      <c r="AE248" s="23">
        <f t="shared" si="272"/>
        <v>855748.1</v>
      </c>
      <c r="AF248" s="23"/>
      <c r="AG248" s="26">
        <f t="shared" si="270"/>
        <v>855748.1</v>
      </c>
      <c r="AH248" s="27" t="s">
        <v>585</v>
      </c>
      <c r="AI248" s="28" t="s">
        <v>353</v>
      </c>
      <c r="AJ248" s="29">
        <f>85000+43282.16-11040.21+106472.55+153782.22-13315.84+83140.14+113279.69</f>
        <v>560600.71</v>
      </c>
      <c r="AK248" s="29">
        <f>8254.12+14104.5+20304.84+13117.11+13315.84+21603</f>
        <v>90699.41</v>
      </c>
    </row>
    <row r="249" spans="1:37" ht="409.5" x14ac:dyDescent="0.25">
      <c r="A249" s="14">
        <v>245</v>
      </c>
      <c r="B249" s="13">
        <v>111631</v>
      </c>
      <c r="C249" s="8">
        <v>170</v>
      </c>
      <c r="D249" s="14" t="s">
        <v>171</v>
      </c>
      <c r="E249" s="18" t="s">
        <v>165</v>
      </c>
      <c r="F249" s="75" t="s">
        <v>322</v>
      </c>
      <c r="G249" s="30" t="s">
        <v>370</v>
      </c>
      <c r="H249" s="30" t="s">
        <v>371</v>
      </c>
      <c r="I249" s="94" t="s">
        <v>372</v>
      </c>
      <c r="J249" s="19" t="s">
        <v>522</v>
      </c>
      <c r="K249" s="20">
        <v>43189</v>
      </c>
      <c r="L249" s="32">
        <v>43676</v>
      </c>
      <c r="M249" s="21">
        <f t="shared" si="266"/>
        <v>82.304185177297953</v>
      </c>
      <c r="N249" s="14" t="s">
        <v>324</v>
      </c>
      <c r="O249" s="14" t="s">
        <v>363</v>
      </c>
      <c r="P249" s="14" t="s">
        <v>363</v>
      </c>
      <c r="Q249" s="22" t="s">
        <v>326</v>
      </c>
      <c r="R249" s="18" t="s">
        <v>36</v>
      </c>
      <c r="S249" s="23">
        <f t="shared" si="268"/>
        <v>822209.74</v>
      </c>
      <c r="T249" s="23">
        <v>663040.52</v>
      </c>
      <c r="U249" s="23">
        <v>159169.22</v>
      </c>
      <c r="V249" s="23">
        <f t="shared" si="267"/>
        <v>156799.45000000001</v>
      </c>
      <c r="W249" s="23">
        <v>39792.300000000003</v>
      </c>
      <c r="X249" s="23">
        <v>117007.15</v>
      </c>
      <c r="Y249" s="23">
        <f t="shared" si="269"/>
        <v>0</v>
      </c>
      <c r="Z249" s="23"/>
      <c r="AA249" s="23"/>
      <c r="AB249" s="23">
        <f t="shared" si="271"/>
        <v>19979.79</v>
      </c>
      <c r="AC249" s="23">
        <v>15919.35</v>
      </c>
      <c r="AD249" s="23">
        <v>4060.44</v>
      </c>
      <c r="AE249" s="23">
        <f t="shared" si="272"/>
        <v>998988.98</v>
      </c>
      <c r="AF249" s="23"/>
      <c r="AG249" s="26">
        <f t="shared" si="270"/>
        <v>998988.98</v>
      </c>
      <c r="AH249" s="27" t="s">
        <v>585</v>
      </c>
      <c r="AI249" s="28" t="s">
        <v>353</v>
      </c>
      <c r="AJ249" s="29">
        <f>99898.9+20257.44+82739.46+65227.91+122865.84+26629.39+183749.63+32157.06+25755.53</f>
        <v>659281.16</v>
      </c>
      <c r="AK249" s="29">
        <f>3863.19+15778.83+29070.82+6799.58+5078.36+35041.94+6132.52+4911.69</f>
        <v>106676.93000000001</v>
      </c>
    </row>
    <row r="250" spans="1:37" ht="252" x14ac:dyDescent="0.25">
      <c r="A250" s="12">
        <v>246</v>
      </c>
      <c r="B250" s="13">
        <v>112405</v>
      </c>
      <c r="C250" s="8">
        <v>171</v>
      </c>
      <c r="D250" s="14" t="s">
        <v>171</v>
      </c>
      <c r="E250" s="18" t="s">
        <v>165</v>
      </c>
      <c r="F250" s="75" t="s">
        <v>322</v>
      </c>
      <c r="G250" s="30" t="s">
        <v>373</v>
      </c>
      <c r="H250" s="30" t="s">
        <v>374</v>
      </c>
      <c r="I250" s="94" t="s">
        <v>375</v>
      </c>
      <c r="J250" s="19" t="s">
        <v>396</v>
      </c>
      <c r="K250" s="20">
        <v>43186</v>
      </c>
      <c r="L250" s="32">
        <v>43673</v>
      </c>
      <c r="M250" s="21">
        <f t="shared" si="266"/>
        <v>82.304185365731513</v>
      </c>
      <c r="N250" s="14" t="s">
        <v>324</v>
      </c>
      <c r="O250" s="14" t="s">
        <v>363</v>
      </c>
      <c r="P250" s="14" t="s">
        <v>363</v>
      </c>
      <c r="Q250" s="22" t="s">
        <v>326</v>
      </c>
      <c r="R250" s="18" t="s">
        <v>36</v>
      </c>
      <c r="S250" s="23">
        <f t="shared" si="268"/>
        <v>723131.98</v>
      </c>
      <c r="T250" s="23">
        <v>583142.93999999994</v>
      </c>
      <c r="U250" s="23">
        <v>139989.04</v>
      </c>
      <c r="V250" s="23">
        <f t="shared" si="267"/>
        <v>137904.84</v>
      </c>
      <c r="W250" s="23">
        <v>102907.58</v>
      </c>
      <c r="X250" s="23">
        <v>34997.26</v>
      </c>
      <c r="Y250" s="23">
        <f t="shared" si="269"/>
        <v>0</v>
      </c>
      <c r="Z250" s="23"/>
      <c r="AA250" s="23"/>
      <c r="AB250" s="23">
        <f t="shared" si="271"/>
        <v>17572.18</v>
      </c>
      <c r="AC250" s="23">
        <v>14001.03</v>
      </c>
      <c r="AD250" s="23">
        <v>3571.15</v>
      </c>
      <c r="AE250" s="23">
        <f t="shared" si="272"/>
        <v>878609</v>
      </c>
      <c r="AF250" s="23"/>
      <c r="AG250" s="26">
        <f t="shared" si="270"/>
        <v>878609</v>
      </c>
      <c r="AH250" s="27" t="s">
        <v>585</v>
      </c>
      <c r="AI250" s="28"/>
      <c r="AJ250" s="29">
        <f>208329.69+72239-12893.42+110533+33743.88+27302.86+184981.92</f>
        <v>624236.93000000005</v>
      </c>
      <c r="AK250" s="29">
        <f>36750.34+12893.42+5726.93+6435.14+21177.89+19305.83</f>
        <v>102289.55</v>
      </c>
    </row>
    <row r="251" spans="1:37" ht="189" x14ac:dyDescent="0.25">
      <c r="A251" s="12">
        <v>247</v>
      </c>
      <c r="B251" s="13">
        <v>109810</v>
      </c>
      <c r="C251" s="8">
        <v>257</v>
      </c>
      <c r="D251" s="14" t="s">
        <v>1320</v>
      </c>
      <c r="E251" s="18" t="s">
        <v>165</v>
      </c>
      <c r="F251" s="75" t="s">
        <v>322</v>
      </c>
      <c r="G251" s="30" t="s">
        <v>376</v>
      </c>
      <c r="H251" s="30" t="s">
        <v>377</v>
      </c>
      <c r="I251" s="18" t="s">
        <v>185</v>
      </c>
      <c r="J251" s="19" t="s">
        <v>384</v>
      </c>
      <c r="K251" s="20">
        <v>43192</v>
      </c>
      <c r="L251" s="32">
        <v>43679</v>
      </c>
      <c r="M251" s="21">
        <f t="shared" si="266"/>
        <v>82.304188283311021</v>
      </c>
      <c r="N251" s="14" t="s">
        <v>324</v>
      </c>
      <c r="O251" s="14" t="s">
        <v>363</v>
      </c>
      <c r="P251" s="14" t="s">
        <v>363</v>
      </c>
      <c r="Q251" s="22" t="s">
        <v>326</v>
      </c>
      <c r="R251" s="18" t="s">
        <v>36</v>
      </c>
      <c r="S251" s="23">
        <f t="shared" si="268"/>
        <v>821139.01</v>
      </c>
      <c r="T251" s="25">
        <v>662177.06999999995</v>
      </c>
      <c r="U251" s="25">
        <v>158961.94</v>
      </c>
      <c r="V251" s="23">
        <f t="shared" si="267"/>
        <v>156595.26</v>
      </c>
      <c r="W251" s="25">
        <v>116854.78</v>
      </c>
      <c r="X251" s="25">
        <v>39740.480000000003</v>
      </c>
      <c r="Y251" s="23">
        <f t="shared" si="269"/>
        <v>0</v>
      </c>
      <c r="Z251" s="23"/>
      <c r="AA251" s="23"/>
      <c r="AB251" s="23">
        <f t="shared" si="271"/>
        <v>19953.73</v>
      </c>
      <c r="AC251" s="23">
        <v>15898.58</v>
      </c>
      <c r="AD251" s="23">
        <v>4055.15</v>
      </c>
      <c r="AE251" s="23">
        <f t="shared" si="272"/>
        <v>997688</v>
      </c>
      <c r="AF251" s="23"/>
      <c r="AG251" s="26">
        <f t="shared" si="270"/>
        <v>997688</v>
      </c>
      <c r="AH251" s="27" t="s">
        <v>585</v>
      </c>
      <c r="AI251" s="28"/>
      <c r="AJ251" s="29">
        <f>311274.3+94352.8-8733.69+71724.61+102413.3+20161.59+85316+25210.31</f>
        <v>701719.22</v>
      </c>
      <c r="AK251" s="29">
        <f>40335.29+17993.54+8733.69+3278.99+19530.72+3844.92+16270.21+4807.73</f>
        <v>114795.09000000001</v>
      </c>
    </row>
    <row r="252" spans="1:37" ht="204.75" x14ac:dyDescent="0.25">
      <c r="A252" s="14">
        <v>248</v>
      </c>
      <c r="B252" s="13">
        <v>112956</v>
      </c>
      <c r="C252" s="8">
        <v>273</v>
      </c>
      <c r="D252" s="14" t="s">
        <v>175</v>
      </c>
      <c r="E252" s="18" t="s">
        <v>165</v>
      </c>
      <c r="F252" s="75" t="s">
        <v>322</v>
      </c>
      <c r="G252" s="30" t="s">
        <v>378</v>
      </c>
      <c r="H252" s="201" t="s">
        <v>379</v>
      </c>
      <c r="I252" s="94" t="s">
        <v>380</v>
      </c>
      <c r="J252" s="19" t="s">
        <v>523</v>
      </c>
      <c r="K252" s="20">
        <v>43192</v>
      </c>
      <c r="L252" s="32">
        <v>43679</v>
      </c>
      <c r="M252" s="21">
        <f t="shared" si="266"/>
        <v>82.3041866136534</v>
      </c>
      <c r="N252" s="14" t="s">
        <v>324</v>
      </c>
      <c r="O252" s="14" t="s">
        <v>363</v>
      </c>
      <c r="P252" s="14" t="s">
        <v>363</v>
      </c>
      <c r="Q252" s="22" t="s">
        <v>326</v>
      </c>
      <c r="R252" s="18" t="s">
        <v>36</v>
      </c>
      <c r="S252" s="23">
        <f t="shared" si="268"/>
        <v>710350.48</v>
      </c>
      <c r="T252" s="23">
        <v>572835.77</v>
      </c>
      <c r="U252" s="23">
        <v>137514.71</v>
      </c>
      <c r="V252" s="23">
        <f t="shared" si="267"/>
        <v>135467.34</v>
      </c>
      <c r="W252" s="23">
        <v>101088.67</v>
      </c>
      <c r="X252" s="23">
        <v>34378.67</v>
      </c>
      <c r="Y252" s="23">
        <f t="shared" si="269"/>
        <v>0</v>
      </c>
      <c r="Z252" s="23"/>
      <c r="AA252" s="23"/>
      <c r="AB252" s="23">
        <f t="shared" si="271"/>
        <v>17261.579999999998</v>
      </c>
      <c r="AC252" s="23">
        <v>13753.55</v>
      </c>
      <c r="AD252" s="23">
        <v>3508.03</v>
      </c>
      <c r="AE252" s="23">
        <f t="shared" si="272"/>
        <v>863079.39999999991</v>
      </c>
      <c r="AF252" s="23"/>
      <c r="AG252" s="26">
        <f t="shared" si="270"/>
        <v>863079.39999999991</v>
      </c>
      <c r="AH252" s="27" t="s">
        <v>585</v>
      </c>
      <c r="AI252" s="28" t="s">
        <v>185</v>
      </c>
      <c r="AJ252" s="29">
        <f>184670.36-1719.64+59823.53+78024.86+71396.89-5943.21+95904.43+18163.66</f>
        <v>500320.87999999995</v>
      </c>
      <c r="AK252" s="29">
        <f>18758.18+11080.69+14879.72+13615.74+5943.21+14676.76</f>
        <v>78954.3</v>
      </c>
    </row>
    <row r="253" spans="1:37" ht="330.75" x14ac:dyDescent="0.25">
      <c r="A253" s="12">
        <v>249</v>
      </c>
      <c r="B253" s="13">
        <v>112066</v>
      </c>
      <c r="C253" s="8">
        <v>262</v>
      </c>
      <c r="D253" s="14" t="s">
        <v>175</v>
      </c>
      <c r="E253" s="18" t="s">
        <v>165</v>
      </c>
      <c r="F253" s="75" t="s">
        <v>322</v>
      </c>
      <c r="G253" s="108" t="s">
        <v>381</v>
      </c>
      <c r="H253" s="30" t="s">
        <v>382</v>
      </c>
      <c r="I253" s="94" t="s">
        <v>383</v>
      </c>
      <c r="J253" s="19" t="s">
        <v>524</v>
      </c>
      <c r="K253" s="20">
        <v>43193</v>
      </c>
      <c r="L253" s="32">
        <v>43680</v>
      </c>
      <c r="M253" s="21">
        <f t="shared" si="266"/>
        <v>82.304184459884823</v>
      </c>
      <c r="N253" s="14" t="s">
        <v>324</v>
      </c>
      <c r="O253" s="14" t="s">
        <v>363</v>
      </c>
      <c r="P253" s="14" t="s">
        <v>363</v>
      </c>
      <c r="Q253" s="22" t="s">
        <v>326</v>
      </c>
      <c r="R253" s="18" t="s">
        <v>36</v>
      </c>
      <c r="S253" s="23">
        <f t="shared" si="268"/>
        <v>822673.27</v>
      </c>
      <c r="T253" s="23">
        <v>663414.31999999995</v>
      </c>
      <c r="U253" s="23">
        <v>159258.95000000001</v>
      </c>
      <c r="V253" s="23">
        <f t="shared" si="267"/>
        <v>156887.87</v>
      </c>
      <c r="W253" s="23">
        <v>117073.13</v>
      </c>
      <c r="X253" s="23">
        <v>39814.74</v>
      </c>
      <c r="Y253" s="23">
        <f t="shared" si="269"/>
        <v>0</v>
      </c>
      <c r="Z253" s="23"/>
      <c r="AA253" s="23"/>
      <c r="AB253" s="23">
        <f t="shared" si="271"/>
        <v>19991.04</v>
      </c>
      <c r="AC253" s="23">
        <v>15928.31</v>
      </c>
      <c r="AD253" s="23">
        <v>4062.73</v>
      </c>
      <c r="AE253" s="23">
        <f t="shared" si="272"/>
        <v>999552.18</v>
      </c>
      <c r="AF253" s="23"/>
      <c r="AG253" s="26">
        <f t="shared" si="270"/>
        <v>999552.18</v>
      </c>
      <c r="AH253" s="27" t="s">
        <v>585</v>
      </c>
      <c r="AI253" s="28" t="s">
        <v>185</v>
      </c>
      <c r="AJ253" s="29">
        <f>148819.34+46038+153649.09+7836.15+91741.83</f>
        <v>448084.41000000003</v>
      </c>
      <c r="AK253" s="29">
        <f>28380.59+38081.31+1494.39+17308.68</f>
        <v>85264.97</v>
      </c>
    </row>
    <row r="254" spans="1:37" ht="362.25" x14ac:dyDescent="0.25">
      <c r="A254" s="12">
        <v>250</v>
      </c>
      <c r="B254" s="13">
        <v>121460</v>
      </c>
      <c r="C254" s="8">
        <v>59</v>
      </c>
      <c r="D254" s="14" t="s">
        <v>172</v>
      </c>
      <c r="E254" s="18" t="s">
        <v>165</v>
      </c>
      <c r="F254" s="75" t="s">
        <v>128</v>
      </c>
      <c r="G254" s="71" t="s">
        <v>400</v>
      </c>
      <c r="H254" s="30" t="s">
        <v>402</v>
      </c>
      <c r="I254" s="18" t="s">
        <v>349</v>
      </c>
      <c r="J254" s="19" t="s">
        <v>401</v>
      </c>
      <c r="K254" s="20">
        <v>43207</v>
      </c>
      <c r="L254" s="32">
        <v>44302</v>
      </c>
      <c r="M254" s="21">
        <f t="shared" si="266"/>
        <v>83.983863089546503</v>
      </c>
      <c r="N254" s="14" t="s">
        <v>324</v>
      </c>
      <c r="O254" s="14" t="s">
        <v>363</v>
      </c>
      <c r="P254" s="14" t="s">
        <v>363</v>
      </c>
      <c r="Q254" s="22" t="s">
        <v>157</v>
      </c>
      <c r="R254" s="14" t="s">
        <v>36</v>
      </c>
      <c r="S254" s="23">
        <f t="shared" si="268"/>
        <v>6975407.2700000005</v>
      </c>
      <c r="T254" s="23">
        <v>5625058.2300000004</v>
      </c>
      <c r="U254" s="23">
        <v>1350349.04</v>
      </c>
      <c r="V254" s="23">
        <f t="shared" si="267"/>
        <v>0</v>
      </c>
      <c r="W254" s="23">
        <v>0</v>
      </c>
      <c r="X254" s="23">
        <v>0</v>
      </c>
      <c r="Y254" s="23">
        <f t="shared" si="269"/>
        <v>1330244.57</v>
      </c>
      <c r="Z254" s="25">
        <v>992657.31</v>
      </c>
      <c r="AA254" s="23">
        <v>337587.26</v>
      </c>
      <c r="AB254" s="23">
        <f t="shared" si="271"/>
        <v>0</v>
      </c>
      <c r="AC254" s="23">
        <v>0</v>
      </c>
      <c r="AD254" s="23">
        <v>0</v>
      </c>
      <c r="AE254" s="23">
        <f t="shared" si="272"/>
        <v>8305651.8400000008</v>
      </c>
      <c r="AF254" s="23">
        <v>0</v>
      </c>
      <c r="AG254" s="26">
        <f t="shared" si="270"/>
        <v>8305651.8400000008</v>
      </c>
      <c r="AH254" s="27" t="s">
        <v>585</v>
      </c>
      <c r="AI254" s="28" t="s">
        <v>1385</v>
      </c>
      <c r="AJ254" s="29">
        <f>59335.44+64701.17+90758.49+56070.66</f>
        <v>270865.76</v>
      </c>
      <c r="AK254" s="29">
        <v>0</v>
      </c>
    </row>
    <row r="255" spans="1:37" ht="283.5" x14ac:dyDescent="0.25">
      <c r="A255" s="14">
        <v>251</v>
      </c>
      <c r="B255" s="13">
        <v>109749</v>
      </c>
      <c r="C255" s="8">
        <v>253</v>
      </c>
      <c r="D255" s="14" t="s">
        <v>1320</v>
      </c>
      <c r="E255" s="18" t="s">
        <v>165</v>
      </c>
      <c r="F255" s="75" t="s">
        <v>322</v>
      </c>
      <c r="G255" s="71" t="s">
        <v>388</v>
      </c>
      <c r="H255" s="202" t="s">
        <v>389</v>
      </c>
      <c r="I255" s="18" t="s">
        <v>185</v>
      </c>
      <c r="J255" s="19" t="s">
        <v>525</v>
      </c>
      <c r="K255" s="20">
        <v>43208</v>
      </c>
      <c r="L255" s="32">
        <v>43695</v>
      </c>
      <c r="M255" s="21">
        <f t="shared" si="266"/>
        <v>82.304185790916577</v>
      </c>
      <c r="N255" s="14" t="s">
        <v>324</v>
      </c>
      <c r="O255" s="14" t="s">
        <v>410</v>
      </c>
      <c r="P255" s="14" t="s">
        <v>410</v>
      </c>
      <c r="Q255" s="22" t="s">
        <v>326</v>
      </c>
      <c r="R255" s="18" t="s">
        <v>36</v>
      </c>
      <c r="S255" s="23">
        <f t="shared" si="268"/>
        <v>808649.72</v>
      </c>
      <c r="T255" s="25">
        <v>652105.54</v>
      </c>
      <c r="U255" s="25">
        <v>156544.18</v>
      </c>
      <c r="V255" s="23">
        <f t="shared" si="267"/>
        <v>154213.49</v>
      </c>
      <c r="W255" s="25">
        <v>115077.45</v>
      </c>
      <c r="X255" s="25">
        <v>39136.04</v>
      </c>
      <c r="Y255" s="23">
        <f t="shared" si="269"/>
        <v>0</v>
      </c>
      <c r="Z255" s="23">
        <v>0</v>
      </c>
      <c r="AA255" s="23">
        <v>0</v>
      </c>
      <c r="AB255" s="23">
        <f t="shared" si="271"/>
        <v>19650.27</v>
      </c>
      <c r="AC255" s="23">
        <v>15656.8</v>
      </c>
      <c r="AD255" s="23">
        <v>3993.47</v>
      </c>
      <c r="AE255" s="23">
        <f t="shared" si="272"/>
        <v>982513.48</v>
      </c>
      <c r="AF255" s="23"/>
      <c r="AG255" s="26">
        <f t="shared" si="270"/>
        <v>982513.48</v>
      </c>
      <c r="AH255" s="27" t="s">
        <v>585</v>
      </c>
      <c r="AI255" s="28"/>
      <c r="AJ255" s="29">
        <f>320855.76+13409.42+153292.16+833.72+98250+85029.68</f>
        <v>671670.74</v>
      </c>
      <c r="AK255" s="29">
        <f>63706.03+10496.81+18895.75+16215.58</f>
        <v>109314.17</v>
      </c>
    </row>
    <row r="256" spans="1:37" ht="362.25" x14ac:dyDescent="0.25">
      <c r="A256" s="12">
        <v>252</v>
      </c>
      <c r="B256" s="13">
        <v>109967</v>
      </c>
      <c r="C256" s="8">
        <v>177</v>
      </c>
      <c r="D256" s="14" t="s">
        <v>171</v>
      </c>
      <c r="E256" s="18" t="s">
        <v>165</v>
      </c>
      <c r="F256" s="75" t="s">
        <v>322</v>
      </c>
      <c r="G256" s="71" t="s">
        <v>394</v>
      </c>
      <c r="H256" s="30" t="s">
        <v>395</v>
      </c>
      <c r="I256" s="18" t="s">
        <v>185</v>
      </c>
      <c r="J256" s="19" t="s">
        <v>526</v>
      </c>
      <c r="K256" s="20">
        <v>43208</v>
      </c>
      <c r="L256" s="32">
        <v>43695</v>
      </c>
      <c r="M256" s="21">
        <f t="shared" si="266"/>
        <v>82.304184597190911</v>
      </c>
      <c r="N256" s="14" t="s">
        <v>324</v>
      </c>
      <c r="O256" s="14" t="s">
        <v>363</v>
      </c>
      <c r="P256" s="14" t="s">
        <v>363</v>
      </c>
      <c r="Q256" s="22" t="s">
        <v>326</v>
      </c>
      <c r="R256" s="18" t="s">
        <v>36</v>
      </c>
      <c r="S256" s="23">
        <f t="shared" si="268"/>
        <v>804452.45</v>
      </c>
      <c r="T256" s="23">
        <v>648720.82999999996</v>
      </c>
      <c r="U256" s="23">
        <v>155731.62</v>
      </c>
      <c r="V256" s="23">
        <f t="shared" si="267"/>
        <v>153413.06</v>
      </c>
      <c r="W256" s="23">
        <v>114480.15</v>
      </c>
      <c r="X256" s="23">
        <v>38932.910000000003</v>
      </c>
      <c r="Y256" s="23">
        <f t="shared" si="269"/>
        <v>0</v>
      </c>
      <c r="Z256" s="203"/>
      <c r="AA256" s="203"/>
      <c r="AB256" s="23">
        <f t="shared" si="271"/>
        <v>19548.28</v>
      </c>
      <c r="AC256" s="23">
        <v>15575.51</v>
      </c>
      <c r="AD256" s="23">
        <v>3972.77</v>
      </c>
      <c r="AE256" s="23">
        <f t="shared" si="272"/>
        <v>977413.79</v>
      </c>
      <c r="AF256" s="23"/>
      <c r="AG256" s="26">
        <f t="shared" si="270"/>
        <v>977413.79</v>
      </c>
      <c r="AH256" s="27" t="s">
        <v>585</v>
      </c>
      <c r="AI256" s="28" t="s">
        <v>1379</v>
      </c>
      <c r="AJ256" s="29">
        <f>312590.47-8868.28+88856.3+55475.75+73233.76+50351.94+43692.49</f>
        <v>615332.42999999993</v>
      </c>
      <c r="AK256" s="29">
        <f>40972.78+16948.54+8885.07+13966.04+9602.34+8332.37</f>
        <v>98707.139999999985</v>
      </c>
    </row>
    <row r="257" spans="1:37" ht="267.75" x14ac:dyDescent="0.25">
      <c r="A257" s="12">
        <v>253</v>
      </c>
      <c r="B257" s="13">
        <v>112811</v>
      </c>
      <c r="C257" s="18">
        <v>196</v>
      </c>
      <c r="D257" s="14" t="s">
        <v>171</v>
      </c>
      <c r="E257" s="18" t="s">
        <v>165</v>
      </c>
      <c r="F257" s="75" t="s">
        <v>322</v>
      </c>
      <c r="G257" s="71" t="s">
        <v>397</v>
      </c>
      <c r="H257" s="30" t="s">
        <v>398</v>
      </c>
      <c r="I257" s="18" t="s">
        <v>185</v>
      </c>
      <c r="J257" s="19" t="s">
        <v>399</v>
      </c>
      <c r="K257" s="20">
        <v>43208</v>
      </c>
      <c r="L257" s="32">
        <v>43573</v>
      </c>
      <c r="M257" s="21">
        <f t="shared" si="266"/>
        <v>82.304184666338784</v>
      </c>
      <c r="N257" s="14" t="s">
        <v>324</v>
      </c>
      <c r="O257" s="14" t="s">
        <v>363</v>
      </c>
      <c r="P257" s="14" t="s">
        <v>363</v>
      </c>
      <c r="Q257" s="22" t="s">
        <v>326</v>
      </c>
      <c r="R257" s="14" t="s">
        <v>36</v>
      </c>
      <c r="S257" s="23">
        <f t="shared" si="268"/>
        <v>760931.29</v>
      </c>
      <c r="T257" s="23">
        <v>613624.79</v>
      </c>
      <c r="U257" s="23">
        <v>147306.5</v>
      </c>
      <c r="V257" s="23">
        <f t="shared" si="267"/>
        <v>145113.35999999999</v>
      </c>
      <c r="W257" s="23">
        <v>108286.73</v>
      </c>
      <c r="X257" s="23">
        <v>36826.629999999997</v>
      </c>
      <c r="Y257" s="23">
        <f t="shared" si="269"/>
        <v>0</v>
      </c>
      <c r="Z257" s="23">
        <v>0</v>
      </c>
      <c r="AA257" s="23">
        <v>0</v>
      </c>
      <c r="AB257" s="23">
        <f t="shared" si="271"/>
        <v>18490.71</v>
      </c>
      <c r="AC257" s="23">
        <v>14732.89</v>
      </c>
      <c r="AD257" s="23">
        <v>3757.82</v>
      </c>
      <c r="AE257" s="23">
        <f t="shared" si="272"/>
        <v>924535.36</v>
      </c>
      <c r="AF257" s="23"/>
      <c r="AG257" s="26">
        <f t="shared" si="270"/>
        <v>924535.36</v>
      </c>
      <c r="AH257" s="27" t="s">
        <v>1073</v>
      </c>
      <c r="AI257" s="28"/>
      <c r="AJ257" s="29">
        <f>91800+75057.16+74073.77+121742.1-7175.16+205568.39+83432.56</f>
        <v>644498.82000000007</v>
      </c>
      <c r="AK257" s="29">
        <f>14189.24+14126.23+23216.82+16262.9+21571.65+15911</f>
        <v>105277.84</v>
      </c>
    </row>
    <row r="258" spans="1:37" ht="409.5" x14ac:dyDescent="0.25">
      <c r="A258" s="14">
        <v>254</v>
      </c>
      <c r="B258" s="13">
        <v>112080</v>
      </c>
      <c r="C258" s="8">
        <v>354</v>
      </c>
      <c r="D258" s="14" t="s">
        <v>1320</v>
      </c>
      <c r="E258" s="18" t="s">
        <v>165</v>
      </c>
      <c r="F258" s="75" t="s">
        <v>322</v>
      </c>
      <c r="G258" s="71" t="s">
        <v>409</v>
      </c>
      <c r="H258" s="71" t="s">
        <v>408</v>
      </c>
      <c r="I258" s="18" t="s">
        <v>185</v>
      </c>
      <c r="J258" s="19" t="s">
        <v>527</v>
      </c>
      <c r="K258" s="20">
        <v>43214</v>
      </c>
      <c r="L258" s="32">
        <v>43701</v>
      </c>
      <c r="M258" s="21">
        <f t="shared" ref="M258:M289" si="273">S258/AE258*100</f>
        <v>82.304185109241828</v>
      </c>
      <c r="N258" s="14" t="s">
        <v>324</v>
      </c>
      <c r="O258" s="14" t="s">
        <v>363</v>
      </c>
      <c r="P258" s="14" t="s">
        <v>363</v>
      </c>
      <c r="Q258" s="22" t="s">
        <v>326</v>
      </c>
      <c r="R258" s="18" t="s">
        <v>36</v>
      </c>
      <c r="S258" s="23">
        <f t="shared" si="268"/>
        <v>570578.29</v>
      </c>
      <c r="T258" s="23">
        <v>460121.68</v>
      </c>
      <c r="U258" s="23">
        <v>110456.61</v>
      </c>
      <c r="V258" s="23">
        <f t="shared" ref="V258:V289" si="274">W258+X258</f>
        <v>108812.1</v>
      </c>
      <c r="W258" s="23">
        <v>81197.94</v>
      </c>
      <c r="X258" s="23">
        <v>27614.16</v>
      </c>
      <c r="Y258" s="23">
        <f t="shared" si="269"/>
        <v>0</v>
      </c>
      <c r="Z258" s="23">
        <v>0</v>
      </c>
      <c r="AA258" s="23">
        <v>0</v>
      </c>
      <c r="AB258" s="23">
        <f t="shared" ref="AB258:AB271" si="275">AC258+AD258</f>
        <v>13865.11</v>
      </c>
      <c r="AC258" s="23">
        <v>11047.34</v>
      </c>
      <c r="AD258" s="23">
        <v>2817.77</v>
      </c>
      <c r="AE258" s="23">
        <f t="shared" si="272"/>
        <v>693255.5</v>
      </c>
      <c r="AF258" s="23">
        <v>0</v>
      </c>
      <c r="AG258" s="26">
        <f t="shared" si="270"/>
        <v>693255.5</v>
      </c>
      <c r="AH258" s="27" t="s">
        <v>585</v>
      </c>
      <c r="AI258" s="28" t="s">
        <v>185</v>
      </c>
      <c r="AJ258" s="29">
        <f>105536.1+45768.53+51356.28+43663.9-6908.51+43134.7</f>
        <v>282551</v>
      </c>
      <c r="AK258" s="29">
        <f>6905.53+8728.29+18120.82+6908.51</f>
        <v>40663.15</v>
      </c>
    </row>
    <row r="259" spans="1:37" ht="315" x14ac:dyDescent="0.25">
      <c r="A259" s="12">
        <v>255</v>
      </c>
      <c r="B259" s="13">
        <v>111113</v>
      </c>
      <c r="C259" s="8">
        <v>252</v>
      </c>
      <c r="D259" s="14" t="s">
        <v>1320</v>
      </c>
      <c r="E259" s="18" t="s">
        <v>165</v>
      </c>
      <c r="F259" s="75" t="s">
        <v>322</v>
      </c>
      <c r="G259" s="71" t="s">
        <v>411</v>
      </c>
      <c r="H259" s="71" t="s">
        <v>1226</v>
      </c>
      <c r="I259" s="18" t="s">
        <v>437</v>
      </c>
      <c r="J259" s="19" t="s">
        <v>413</v>
      </c>
      <c r="K259" s="20">
        <v>43214</v>
      </c>
      <c r="L259" s="32">
        <v>43578</v>
      </c>
      <c r="M259" s="21">
        <f t="shared" si="273"/>
        <v>82.304185972255567</v>
      </c>
      <c r="N259" s="14" t="s">
        <v>324</v>
      </c>
      <c r="O259" s="14" t="s">
        <v>359</v>
      </c>
      <c r="P259" s="14" t="s">
        <v>412</v>
      </c>
      <c r="Q259" s="22" t="s">
        <v>326</v>
      </c>
      <c r="R259" s="18" t="s">
        <v>36</v>
      </c>
      <c r="S259" s="23">
        <f t="shared" ref="S259:S289" si="276">T259+U259</f>
        <v>793396.18</v>
      </c>
      <c r="T259" s="23">
        <v>639804.9</v>
      </c>
      <c r="U259" s="23">
        <v>153591.28</v>
      </c>
      <c r="V259" s="23">
        <f t="shared" si="274"/>
        <v>151304.57</v>
      </c>
      <c r="W259" s="23">
        <v>112906.75</v>
      </c>
      <c r="X259" s="23">
        <v>38397.82</v>
      </c>
      <c r="Y259" s="23">
        <f t="shared" ref="Y259:Y289" si="277">Z259+AA259</f>
        <v>0</v>
      </c>
      <c r="Z259" s="23">
        <v>0</v>
      </c>
      <c r="AA259" s="23">
        <v>0</v>
      </c>
      <c r="AB259" s="23">
        <f t="shared" si="275"/>
        <v>19279.599999999999</v>
      </c>
      <c r="AC259" s="23">
        <v>15361.46</v>
      </c>
      <c r="AD259" s="23">
        <v>3918.14</v>
      </c>
      <c r="AE259" s="23">
        <f t="shared" si="272"/>
        <v>963980.35</v>
      </c>
      <c r="AF259" s="23">
        <v>0</v>
      </c>
      <c r="AG259" s="26">
        <f t="shared" si="270"/>
        <v>963980.35</v>
      </c>
      <c r="AH259" s="27" t="s">
        <v>1073</v>
      </c>
      <c r="AI259" s="28" t="s">
        <v>185</v>
      </c>
      <c r="AJ259" s="29">
        <f>360374.76+80428.02+85558.08+11319.22+96397+20389.47</f>
        <v>654466.54999999993</v>
      </c>
      <c r="AK259" s="29">
        <f>36349.9+31943.22+13703.1+20542.02+22271.75</f>
        <v>124809.99</v>
      </c>
    </row>
    <row r="260" spans="1:37" ht="409.5" x14ac:dyDescent="0.25">
      <c r="A260" s="12">
        <v>256</v>
      </c>
      <c r="B260" s="13">
        <v>109880</v>
      </c>
      <c r="C260" s="8">
        <v>261</v>
      </c>
      <c r="D260" s="14" t="s">
        <v>175</v>
      </c>
      <c r="E260" s="18" t="s">
        <v>165</v>
      </c>
      <c r="F260" s="75" t="s">
        <v>322</v>
      </c>
      <c r="G260" s="71" t="s">
        <v>420</v>
      </c>
      <c r="H260" s="204" t="s">
        <v>418</v>
      </c>
      <c r="I260" s="72" t="s">
        <v>419</v>
      </c>
      <c r="J260" s="19" t="s">
        <v>528</v>
      </c>
      <c r="K260" s="20">
        <v>43214</v>
      </c>
      <c r="L260" s="32">
        <v>43640</v>
      </c>
      <c r="M260" s="21">
        <f t="shared" si="273"/>
        <v>82.304184374786118</v>
      </c>
      <c r="N260" s="14" t="s">
        <v>324</v>
      </c>
      <c r="O260" s="14" t="s">
        <v>263</v>
      </c>
      <c r="P260" s="14" t="s">
        <v>421</v>
      </c>
      <c r="Q260" s="22" t="s">
        <v>326</v>
      </c>
      <c r="R260" s="18" t="s">
        <v>36</v>
      </c>
      <c r="S260" s="23">
        <f t="shared" si="276"/>
        <v>782828.76</v>
      </c>
      <c r="T260" s="23">
        <v>631283.18999999994</v>
      </c>
      <c r="U260" s="23">
        <v>151545.57</v>
      </c>
      <c r="V260" s="23">
        <f t="shared" si="274"/>
        <v>149289.32</v>
      </c>
      <c r="W260" s="23">
        <v>111402.93</v>
      </c>
      <c r="X260" s="23">
        <v>37886.39</v>
      </c>
      <c r="Y260" s="23">
        <f t="shared" si="277"/>
        <v>0</v>
      </c>
      <c r="Z260" s="23"/>
      <c r="AA260" s="23"/>
      <c r="AB260" s="23">
        <f t="shared" si="275"/>
        <v>19022.82</v>
      </c>
      <c r="AC260" s="23">
        <v>15156.86</v>
      </c>
      <c r="AD260" s="23">
        <v>3865.96</v>
      </c>
      <c r="AE260" s="23">
        <f t="shared" si="272"/>
        <v>951140.9</v>
      </c>
      <c r="AF260" s="23"/>
      <c r="AG260" s="26">
        <f t="shared" si="270"/>
        <v>951140.9</v>
      </c>
      <c r="AH260" s="27" t="s">
        <v>1529</v>
      </c>
      <c r="AI260" s="28" t="s">
        <v>422</v>
      </c>
      <c r="AJ260" s="29">
        <f>158718.42+71720.08+35094.89+253530.72</f>
        <v>519064.11</v>
      </c>
      <c r="AK260" s="29">
        <f>13036.61+13677.37+23924.58+31117.83</f>
        <v>81756.390000000014</v>
      </c>
    </row>
    <row r="261" spans="1:37" ht="330.75" x14ac:dyDescent="0.25">
      <c r="A261" s="14">
        <v>257</v>
      </c>
      <c r="B261" s="13">
        <v>110309</v>
      </c>
      <c r="C261" s="8">
        <v>304</v>
      </c>
      <c r="D261" s="14" t="s">
        <v>1074</v>
      </c>
      <c r="E261" s="18" t="s">
        <v>165</v>
      </c>
      <c r="F261" s="75" t="s">
        <v>322</v>
      </c>
      <c r="G261" s="17" t="s">
        <v>454</v>
      </c>
      <c r="H261" s="30" t="s">
        <v>455</v>
      </c>
      <c r="I261" s="18" t="s">
        <v>185</v>
      </c>
      <c r="J261" s="19" t="s">
        <v>456</v>
      </c>
      <c r="K261" s="20">
        <v>43217</v>
      </c>
      <c r="L261" s="32">
        <v>43704</v>
      </c>
      <c r="M261" s="21">
        <f t="shared" si="273"/>
        <v>82.304186243827388</v>
      </c>
      <c r="N261" s="14" t="s">
        <v>324</v>
      </c>
      <c r="O261" s="14" t="s">
        <v>425</v>
      </c>
      <c r="P261" s="14" t="s">
        <v>425</v>
      </c>
      <c r="Q261" s="22" t="s">
        <v>326</v>
      </c>
      <c r="R261" s="18" t="s">
        <v>36</v>
      </c>
      <c r="S261" s="23">
        <f t="shared" si="276"/>
        <v>822248.59</v>
      </c>
      <c r="T261" s="23">
        <v>663071.85</v>
      </c>
      <c r="U261" s="23">
        <v>159176.74</v>
      </c>
      <c r="V261" s="23">
        <f t="shared" si="274"/>
        <v>156806.85999999999</v>
      </c>
      <c r="W261" s="23">
        <v>117012.68</v>
      </c>
      <c r="X261" s="23">
        <v>39794.18</v>
      </c>
      <c r="Y261" s="23">
        <f t="shared" si="277"/>
        <v>0</v>
      </c>
      <c r="Z261" s="23">
        <v>0</v>
      </c>
      <c r="AA261" s="23">
        <v>0</v>
      </c>
      <c r="AB261" s="23">
        <f t="shared" si="275"/>
        <v>19980.72</v>
      </c>
      <c r="AC261" s="23">
        <v>15920.09</v>
      </c>
      <c r="AD261" s="23">
        <v>4060.63</v>
      </c>
      <c r="AE261" s="23">
        <f t="shared" si="272"/>
        <v>999036.16999999993</v>
      </c>
      <c r="AF261" s="23">
        <v>0</v>
      </c>
      <c r="AG261" s="26">
        <f t="shared" si="270"/>
        <v>999036.16999999993</v>
      </c>
      <c r="AH261" s="27" t="s">
        <v>585</v>
      </c>
      <c r="AI261" s="28" t="s">
        <v>185</v>
      </c>
      <c r="AJ261" s="29">
        <f>83798.27+102389.01-8104.35+153466.67</f>
        <v>331549.59999999998</v>
      </c>
      <c r="AK261" s="29">
        <f>11201.73+6188.13+8104.35+19616.99</f>
        <v>45111.199999999997</v>
      </c>
    </row>
    <row r="262" spans="1:37" ht="204.75" x14ac:dyDescent="0.25">
      <c r="A262" s="12">
        <v>258</v>
      </c>
      <c r="B262" s="13">
        <v>112122</v>
      </c>
      <c r="C262" s="8">
        <v>172</v>
      </c>
      <c r="D262" s="14" t="s">
        <v>171</v>
      </c>
      <c r="E262" s="18" t="s">
        <v>165</v>
      </c>
      <c r="F262" s="75" t="s">
        <v>322</v>
      </c>
      <c r="G262" s="205" t="s">
        <v>423</v>
      </c>
      <c r="H262" s="30" t="s">
        <v>424</v>
      </c>
      <c r="I262" s="18" t="s">
        <v>185</v>
      </c>
      <c r="J262" s="19" t="s">
        <v>1284</v>
      </c>
      <c r="K262" s="20">
        <v>43217</v>
      </c>
      <c r="L262" s="32">
        <v>43704</v>
      </c>
      <c r="M262" s="21">
        <f t="shared" si="273"/>
        <v>82.30418763248349</v>
      </c>
      <c r="N262" s="14" t="s">
        <v>324</v>
      </c>
      <c r="O262" s="14" t="s">
        <v>263</v>
      </c>
      <c r="P262" s="14" t="s">
        <v>421</v>
      </c>
      <c r="Q262" s="22" t="s">
        <v>326</v>
      </c>
      <c r="R262" s="18" t="s">
        <v>36</v>
      </c>
      <c r="S262" s="23">
        <f t="shared" si="276"/>
        <v>773010.27999999991</v>
      </c>
      <c r="T262" s="23">
        <v>623365.43999999994</v>
      </c>
      <c r="U262" s="23">
        <v>149644.84</v>
      </c>
      <c r="V262" s="23">
        <f t="shared" si="274"/>
        <v>147416.85999999999</v>
      </c>
      <c r="W262" s="23">
        <v>110005.65</v>
      </c>
      <c r="X262" s="23">
        <v>37411.21</v>
      </c>
      <c r="Y262" s="23">
        <f t="shared" si="277"/>
        <v>0</v>
      </c>
      <c r="Z262" s="23">
        <v>0</v>
      </c>
      <c r="AA262" s="23">
        <v>0</v>
      </c>
      <c r="AB262" s="23">
        <f t="shared" si="275"/>
        <v>18784.22</v>
      </c>
      <c r="AC262" s="23">
        <v>14966.72</v>
      </c>
      <c r="AD262" s="23">
        <v>3817.5</v>
      </c>
      <c r="AE262" s="23">
        <f t="shared" si="272"/>
        <v>939211.35999999987</v>
      </c>
      <c r="AF262" s="23">
        <v>0</v>
      </c>
      <c r="AG262" s="26">
        <f t="shared" ref="AG262:AG325" si="278">AE262+AF262</f>
        <v>939211.35999999987</v>
      </c>
      <c r="AH262" s="27" t="s">
        <v>585</v>
      </c>
      <c r="AI262" s="28" t="s">
        <v>1438</v>
      </c>
      <c r="AJ262" s="29">
        <f>203464.35+52738-9972.73+62266+18526.35+82225+36211.55+59667.9</f>
        <v>505126.42</v>
      </c>
      <c r="AK262" s="29">
        <f>20890.44+10057.4+9972.73+19214.05+7939.81+11378.95</f>
        <v>79453.37999999999</v>
      </c>
    </row>
    <row r="263" spans="1:37" ht="409.5" x14ac:dyDescent="0.25">
      <c r="A263" s="12">
        <v>259</v>
      </c>
      <c r="B263" s="13">
        <v>111683</v>
      </c>
      <c r="C263" s="8">
        <v>339</v>
      </c>
      <c r="D263" s="14" t="s">
        <v>1074</v>
      </c>
      <c r="E263" s="18" t="s">
        <v>165</v>
      </c>
      <c r="F263" s="75" t="s">
        <v>322</v>
      </c>
      <c r="G263" s="17" t="s">
        <v>438</v>
      </c>
      <c r="H263" s="17" t="s">
        <v>439</v>
      </c>
      <c r="I263" s="18" t="s">
        <v>185</v>
      </c>
      <c r="J263" s="19" t="s">
        <v>529</v>
      </c>
      <c r="K263" s="20">
        <v>43227</v>
      </c>
      <c r="L263" s="32">
        <v>43715</v>
      </c>
      <c r="M263" s="21">
        <f t="shared" si="273"/>
        <v>82.304184760647772</v>
      </c>
      <c r="N263" s="14" t="s">
        <v>324</v>
      </c>
      <c r="O263" s="14" t="s">
        <v>312</v>
      </c>
      <c r="P263" s="14" t="s">
        <v>312</v>
      </c>
      <c r="Q263" s="22" t="s">
        <v>326</v>
      </c>
      <c r="R263" s="18" t="s">
        <v>36</v>
      </c>
      <c r="S263" s="23">
        <f t="shared" si="276"/>
        <v>791387.51</v>
      </c>
      <c r="T263" s="23">
        <v>638185.07999999996</v>
      </c>
      <c r="U263" s="206">
        <v>153202.43</v>
      </c>
      <c r="V263" s="23">
        <f t="shared" si="274"/>
        <v>150921.51</v>
      </c>
      <c r="W263" s="207">
        <v>112620.9</v>
      </c>
      <c r="X263" s="23">
        <v>38300.61</v>
      </c>
      <c r="Y263" s="23">
        <f t="shared" si="277"/>
        <v>0</v>
      </c>
      <c r="Z263" s="23">
        <v>0</v>
      </c>
      <c r="AA263" s="23">
        <v>0</v>
      </c>
      <c r="AB263" s="23">
        <f t="shared" si="275"/>
        <v>19230.8</v>
      </c>
      <c r="AC263" s="23">
        <v>15322.57</v>
      </c>
      <c r="AD263" s="23">
        <v>3908.23</v>
      </c>
      <c r="AE263" s="23">
        <f t="shared" si="272"/>
        <v>961539.82000000007</v>
      </c>
      <c r="AF263" s="23"/>
      <c r="AG263" s="26">
        <f t="shared" si="278"/>
        <v>961539.82000000007</v>
      </c>
      <c r="AH263" s="27" t="s">
        <v>585</v>
      </c>
      <c r="AI263" s="28" t="s">
        <v>185</v>
      </c>
      <c r="AJ263" s="29">
        <f>96153.98-3298.47-11810.23+94334.22</f>
        <v>175379.5</v>
      </c>
      <c r="AK263" s="29">
        <f>3298.47+11810.23</f>
        <v>15108.699999999999</v>
      </c>
    </row>
    <row r="264" spans="1:37" ht="409.5" x14ac:dyDescent="0.25">
      <c r="A264" s="14">
        <v>260</v>
      </c>
      <c r="B264" s="13">
        <v>112332</v>
      </c>
      <c r="C264" s="8">
        <v>351</v>
      </c>
      <c r="D264" s="14" t="s">
        <v>1320</v>
      </c>
      <c r="E264" s="18" t="s">
        <v>165</v>
      </c>
      <c r="F264" s="75" t="s">
        <v>322</v>
      </c>
      <c r="G264" s="69" t="s">
        <v>440</v>
      </c>
      <c r="H264" s="208" t="s">
        <v>441</v>
      </c>
      <c r="I264" s="205" t="s">
        <v>442</v>
      </c>
      <c r="J264" s="19" t="s">
        <v>443</v>
      </c>
      <c r="K264" s="20">
        <v>43227</v>
      </c>
      <c r="L264" s="32">
        <v>43653</v>
      </c>
      <c r="M264" s="21">
        <f t="shared" si="273"/>
        <v>82.304185552831029</v>
      </c>
      <c r="N264" s="14" t="s">
        <v>324</v>
      </c>
      <c r="O264" s="14" t="s">
        <v>995</v>
      </c>
      <c r="P264" s="14" t="s">
        <v>996</v>
      </c>
      <c r="Q264" s="22" t="s">
        <v>326</v>
      </c>
      <c r="R264" s="18" t="s">
        <v>36</v>
      </c>
      <c r="S264" s="23">
        <f t="shared" si="276"/>
        <v>785144.49</v>
      </c>
      <c r="T264" s="23">
        <v>633150.63</v>
      </c>
      <c r="U264" s="23">
        <v>151993.85999999999</v>
      </c>
      <c r="V264" s="23">
        <f t="shared" si="274"/>
        <v>149730.93</v>
      </c>
      <c r="W264" s="23">
        <v>111732.46</v>
      </c>
      <c r="X264" s="23">
        <v>37998.47</v>
      </c>
      <c r="Y264" s="23">
        <f t="shared" si="277"/>
        <v>0</v>
      </c>
      <c r="Z264" s="23">
        <v>0</v>
      </c>
      <c r="AA264" s="23">
        <v>0</v>
      </c>
      <c r="AB264" s="23">
        <f t="shared" si="275"/>
        <v>19079.09</v>
      </c>
      <c r="AC264" s="23">
        <v>15201.7</v>
      </c>
      <c r="AD264" s="23">
        <v>3877.39</v>
      </c>
      <c r="AE264" s="23">
        <f t="shared" si="272"/>
        <v>953954.50999999989</v>
      </c>
      <c r="AF264" s="23">
        <v>0</v>
      </c>
      <c r="AG264" s="26">
        <f t="shared" si="278"/>
        <v>953954.50999999989</v>
      </c>
      <c r="AH264" s="27" t="s">
        <v>585</v>
      </c>
      <c r="AI264" s="28" t="s">
        <v>185</v>
      </c>
      <c r="AJ264" s="29">
        <f>103189.19-10344.17+64585.92+101525.85+67050.25</f>
        <v>326007.04000000004</v>
      </c>
      <c r="AK264" s="29">
        <f>6891.88+10344.17+32148.26</f>
        <v>49384.31</v>
      </c>
    </row>
    <row r="265" spans="1:37" ht="299.25" x14ac:dyDescent="0.25">
      <c r="A265" s="12">
        <v>261</v>
      </c>
      <c r="B265" s="13">
        <v>115657</v>
      </c>
      <c r="C265" s="8">
        <v>390</v>
      </c>
      <c r="D265" s="14" t="s">
        <v>173</v>
      </c>
      <c r="E265" s="18" t="s">
        <v>165</v>
      </c>
      <c r="F265" s="16" t="s">
        <v>445</v>
      </c>
      <c r="G265" s="17" t="s">
        <v>444</v>
      </c>
      <c r="H265" s="17" t="s">
        <v>42</v>
      </c>
      <c r="I265" s="14" t="s">
        <v>446</v>
      </c>
      <c r="J265" s="19" t="s">
        <v>447</v>
      </c>
      <c r="K265" s="20">
        <v>43223</v>
      </c>
      <c r="L265" s="32">
        <v>44015</v>
      </c>
      <c r="M265" s="21">
        <f t="shared" si="273"/>
        <v>83.983862800906138</v>
      </c>
      <c r="N265" s="14" t="s">
        <v>324</v>
      </c>
      <c r="O265" s="14" t="s">
        <v>363</v>
      </c>
      <c r="P265" s="14" t="s">
        <v>363</v>
      </c>
      <c r="Q265" s="22" t="s">
        <v>157</v>
      </c>
      <c r="R265" s="18" t="s">
        <v>36</v>
      </c>
      <c r="S265" s="23">
        <f t="shared" si="276"/>
        <v>5309367.55</v>
      </c>
      <c r="T265" s="23">
        <v>4281542.3499999996</v>
      </c>
      <c r="U265" s="23">
        <v>1027825.2</v>
      </c>
      <c r="V265" s="23">
        <f t="shared" si="274"/>
        <v>0</v>
      </c>
      <c r="W265" s="23">
        <v>0</v>
      </c>
      <c r="X265" s="23">
        <v>0</v>
      </c>
      <c r="Y265" s="23">
        <f t="shared" si="277"/>
        <v>1012522.6000000001</v>
      </c>
      <c r="Z265" s="23">
        <v>755566.3</v>
      </c>
      <c r="AA265" s="23">
        <v>256956.3</v>
      </c>
      <c r="AB265" s="23">
        <f t="shared" si="275"/>
        <v>0</v>
      </c>
      <c r="AC265" s="23">
        <v>0</v>
      </c>
      <c r="AD265" s="23">
        <v>0</v>
      </c>
      <c r="AE265" s="23">
        <f t="shared" si="272"/>
        <v>6321890.1500000004</v>
      </c>
      <c r="AF265" s="23">
        <v>0</v>
      </c>
      <c r="AG265" s="26">
        <f t="shared" si="278"/>
        <v>6321890.1500000004</v>
      </c>
      <c r="AH265" s="27" t="s">
        <v>585</v>
      </c>
      <c r="AI265" s="28" t="s">
        <v>1040</v>
      </c>
      <c r="AJ265" s="29">
        <f>353113.65+235442.42+97604.52</f>
        <v>686160.59000000008</v>
      </c>
      <c r="AK265" s="29">
        <v>0</v>
      </c>
    </row>
    <row r="266" spans="1:37" ht="220.5" x14ac:dyDescent="0.25">
      <c r="A266" s="12">
        <v>262</v>
      </c>
      <c r="B266" s="13">
        <v>121858</v>
      </c>
      <c r="C266" s="8">
        <v>50</v>
      </c>
      <c r="D266" s="14" t="s">
        <v>170</v>
      </c>
      <c r="E266" s="18" t="s">
        <v>165</v>
      </c>
      <c r="F266" s="75" t="s">
        <v>128</v>
      </c>
      <c r="G266" s="30" t="s">
        <v>448</v>
      </c>
      <c r="H266" s="30" t="s">
        <v>453</v>
      </c>
      <c r="I266" s="18" t="s">
        <v>349</v>
      </c>
      <c r="J266" s="19" t="s">
        <v>449</v>
      </c>
      <c r="K266" s="20">
        <v>43229</v>
      </c>
      <c r="L266" s="32">
        <v>44144</v>
      </c>
      <c r="M266" s="21">
        <f t="shared" si="273"/>
        <v>83.983862841119134</v>
      </c>
      <c r="N266" s="14" t="s">
        <v>324</v>
      </c>
      <c r="O266" s="14" t="s">
        <v>363</v>
      </c>
      <c r="P266" s="14" t="s">
        <v>363</v>
      </c>
      <c r="Q266" s="22" t="s">
        <v>157</v>
      </c>
      <c r="R266" s="14" t="s">
        <v>36</v>
      </c>
      <c r="S266" s="23">
        <f t="shared" si="276"/>
        <v>9905083.2300000004</v>
      </c>
      <c r="T266" s="23">
        <v>7987586.6500000004</v>
      </c>
      <c r="U266" s="23">
        <v>1917496.58</v>
      </c>
      <c r="V266" s="23">
        <f t="shared" si="274"/>
        <v>0</v>
      </c>
      <c r="W266" s="23">
        <v>0</v>
      </c>
      <c r="X266" s="23">
        <v>0</v>
      </c>
      <c r="Y266" s="23">
        <f t="shared" si="277"/>
        <v>1888948.2600000002</v>
      </c>
      <c r="Z266" s="25">
        <v>1409574.12</v>
      </c>
      <c r="AA266" s="23">
        <v>479374.14</v>
      </c>
      <c r="AB266" s="23">
        <f t="shared" si="275"/>
        <v>0</v>
      </c>
      <c r="AC266" s="23">
        <v>0</v>
      </c>
      <c r="AD266" s="23">
        <v>0</v>
      </c>
      <c r="AE266" s="23">
        <f t="shared" ref="AE266:AE268" si="279">S266+V266+Y266+AB266</f>
        <v>11794031.49</v>
      </c>
      <c r="AF266" s="23">
        <v>0</v>
      </c>
      <c r="AG266" s="26">
        <f t="shared" si="278"/>
        <v>11794031.49</v>
      </c>
      <c r="AH266" s="27" t="s">
        <v>585</v>
      </c>
      <c r="AI266" s="28" t="s">
        <v>185</v>
      </c>
      <c r="AJ266" s="29">
        <f>46758.01+81807.84+85847.46+78522.48</f>
        <v>292935.78999999998</v>
      </c>
      <c r="AK266" s="29">
        <v>0</v>
      </c>
    </row>
    <row r="267" spans="1:37" ht="409.5" x14ac:dyDescent="0.25">
      <c r="A267" s="14">
        <v>263</v>
      </c>
      <c r="B267" s="13">
        <v>116172</v>
      </c>
      <c r="C267" s="8">
        <v>391</v>
      </c>
      <c r="D267" s="14" t="s">
        <v>170</v>
      </c>
      <c r="E267" s="18" t="s">
        <v>165</v>
      </c>
      <c r="F267" s="16" t="s">
        <v>445</v>
      </c>
      <c r="G267" s="71" t="s">
        <v>458</v>
      </c>
      <c r="H267" s="30" t="s">
        <v>459</v>
      </c>
      <c r="I267" s="69" t="s">
        <v>460</v>
      </c>
      <c r="J267" s="112" t="s">
        <v>530</v>
      </c>
      <c r="K267" s="20">
        <v>43230</v>
      </c>
      <c r="L267" s="32">
        <v>44022</v>
      </c>
      <c r="M267" s="21">
        <f t="shared" si="273"/>
        <v>83.983862781809307</v>
      </c>
      <c r="N267" s="14" t="s">
        <v>324</v>
      </c>
      <c r="O267" s="14" t="s">
        <v>363</v>
      </c>
      <c r="P267" s="14" t="s">
        <v>363</v>
      </c>
      <c r="Q267" s="22" t="s">
        <v>157</v>
      </c>
      <c r="R267" s="14" t="s">
        <v>36</v>
      </c>
      <c r="S267" s="23">
        <f>T267+U267</f>
        <v>6564977.1999999993</v>
      </c>
      <c r="T267" s="23">
        <v>5294082.1399999997</v>
      </c>
      <c r="U267" s="23">
        <v>1270895.06</v>
      </c>
      <c r="V267" s="23">
        <f t="shared" si="274"/>
        <v>0</v>
      </c>
      <c r="W267" s="23">
        <v>0</v>
      </c>
      <c r="X267" s="23">
        <v>0</v>
      </c>
      <c r="Y267" s="23">
        <f t="shared" si="277"/>
        <v>1251973.56</v>
      </c>
      <c r="Z267" s="23">
        <v>934249.79</v>
      </c>
      <c r="AA267" s="23">
        <v>317723.77</v>
      </c>
      <c r="AB267" s="23">
        <f t="shared" si="275"/>
        <v>0</v>
      </c>
      <c r="AC267" s="23">
        <v>0</v>
      </c>
      <c r="AD267" s="23"/>
      <c r="AE267" s="23">
        <f t="shared" si="279"/>
        <v>7816950.7599999998</v>
      </c>
      <c r="AF267" s="23">
        <v>0</v>
      </c>
      <c r="AG267" s="26">
        <f t="shared" si="278"/>
        <v>7816950.7599999998</v>
      </c>
      <c r="AH267" s="27" t="s">
        <v>585</v>
      </c>
      <c r="AI267" s="28" t="s">
        <v>185</v>
      </c>
      <c r="AJ267" s="29">
        <f>25605.84+62835.23+42330.38</f>
        <v>130771.45000000001</v>
      </c>
      <c r="AK267" s="29">
        <v>0</v>
      </c>
    </row>
    <row r="268" spans="1:37" ht="299.25" x14ac:dyDescent="0.25">
      <c r="A268" s="12">
        <v>264</v>
      </c>
      <c r="B268" s="13">
        <v>111701</v>
      </c>
      <c r="C268" s="8">
        <v>251</v>
      </c>
      <c r="D268" s="14" t="s">
        <v>1320</v>
      </c>
      <c r="E268" s="18" t="s">
        <v>165</v>
      </c>
      <c r="F268" s="75" t="s">
        <v>322</v>
      </c>
      <c r="G268" s="69" t="s">
        <v>461</v>
      </c>
      <c r="H268" s="209" t="s">
        <v>462</v>
      </c>
      <c r="I268" s="209" t="s">
        <v>463</v>
      </c>
      <c r="J268" s="210" t="s">
        <v>531</v>
      </c>
      <c r="K268" s="20">
        <v>43231</v>
      </c>
      <c r="L268" s="32">
        <v>43780</v>
      </c>
      <c r="M268" s="21">
        <f t="shared" ref="M268" si="280">S268/AE268*100</f>
        <v>82.304184042493461</v>
      </c>
      <c r="N268" s="14" t="s">
        <v>324</v>
      </c>
      <c r="O268" s="14" t="s">
        <v>270</v>
      </c>
      <c r="P268" s="14" t="s">
        <v>270</v>
      </c>
      <c r="Q268" s="22" t="s">
        <v>326</v>
      </c>
      <c r="R268" s="18" t="s">
        <v>36</v>
      </c>
      <c r="S268" s="23">
        <f t="shared" ref="S268" si="281">T268+U268</f>
        <v>783324.87</v>
      </c>
      <c r="T268" s="23">
        <v>631683.26</v>
      </c>
      <c r="U268" s="23">
        <v>151641.60999999999</v>
      </c>
      <c r="V268" s="23">
        <f t="shared" ref="V268" si="282">W268+X268</f>
        <v>149383.93</v>
      </c>
      <c r="W268" s="23">
        <v>111473.52</v>
      </c>
      <c r="X268" s="23">
        <v>37910.410000000003</v>
      </c>
      <c r="Y268" s="23">
        <f t="shared" ref="Y268" si="283">Z268+AA268</f>
        <v>0</v>
      </c>
      <c r="Z268" s="23">
        <v>0</v>
      </c>
      <c r="AA268" s="23">
        <v>0</v>
      </c>
      <c r="AB268" s="23">
        <f t="shared" ref="AB268" si="284">AC268+AD268</f>
        <v>19034.879999999997</v>
      </c>
      <c r="AC268" s="23">
        <v>15166.47</v>
      </c>
      <c r="AD268" s="23">
        <v>3868.41</v>
      </c>
      <c r="AE268" s="23">
        <f t="shared" si="279"/>
        <v>951743.68</v>
      </c>
      <c r="AF268" s="23">
        <v>4162.62</v>
      </c>
      <c r="AG268" s="26">
        <f t="shared" si="278"/>
        <v>955906.3</v>
      </c>
      <c r="AH268" s="27" t="s">
        <v>585</v>
      </c>
      <c r="AI268" s="28" t="s">
        <v>185</v>
      </c>
      <c r="AJ268" s="29">
        <f>95051.96+39484.25+23955.55-8000</f>
        <v>150491.76</v>
      </c>
      <c r="AK268" s="29">
        <f>15075.6+9055.47+4568.44</f>
        <v>28699.51</v>
      </c>
    </row>
    <row r="269" spans="1:37" ht="330" x14ac:dyDescent="0.25">
      <c r="A269" s="12">
        <v>265</v>
      </c>
      <c r="B269" s="13">
        <v>111284</v>
      </c>
      <c r="C269" s="8">
        <v>182</v>
      </c>
      <c r="D269" s="14" t="s">
        <v>171</v>
      </c>
      <c r="E269" s="18" t="s">
        <v>165</v>
      </c>
      <c r="F269" s="75" t="s">
        <v>322</v>
      </c>
      <c r="G269" s="69" t="s">
        <v>468</v>
      </c>
      <c r="H269" s="14" t="s">
        <v>469</v>
      </c>
      <c r="I269" s="211"/>
      <c r="J269" s="80" t="s">
        <v>532</v>
      </c>
      <c r="K269" s="20">
        <v>43236</v>
      </c>
      <c r="L269" s="32">
        <v>43724</v>
      </c>
      <c r="M269" s="21">
        <f t="shared" si="273"/>
        <v>82.304186150868873</v>
      </c>
      <c r="N269" s="14" t="s">
        <v>324</v>
      </c>
      <c r="O269" s="14" t="s">
        <v>222</v>
      </c>
      <c r="P269" s="14" t="s">
        <v>470</v>
      </c>
      <c r="Q269" s="22" t="s">
        <v>326</v>
      </c>
      <c r="R269" s="18" t="s">
        <v>36</v>
      </c>
      <c r="S269" s="23">
        <f t="shared" si="276"/>
        <v>820224.26</v>
      </c>
      <c r="T269" s="23">
        <v>661439.4</v>
      </c>
      <c r="U269" s="23">
        <v>158784.85999999999</v>
      </c>
      <c r="V269" s="23">
        <f t="shared" si="274"/>
        <v>156420.81</v>
      </c>
      <c r="W269" s="23">
        <v>116724.6</v>
      </c>
      <c r="X269" s="23">
        <v>39696.21</v>
      </c>
      <c r="Y269" s="23">
        <f t="shared" si="277"/>
        <v>0</v>
      </c>
      <c r="Z269" s="23"/>
      <c r="AA269" s="23"/>
      <c r="AB269" s="23">
        <f t="shared" si="275"/>
        <v>19931.53</v>
      </c>
      <c r="AC269" s="23">
        <v>15880.9</v>
      </c>
      <c r="AD269" s="23">
        <v>4050.63</v>
      </c>
      <c r="AE269" s="23">
        <f t="shared" si="272"/>
        <v>996576.60000000009</v>
      </c>
      <c r="AF269" s="23"/>
      <c r="AG269" s="26">
        <f t="shared" si="278"/>
        <v>996576.60000000009</v>
      </c>
      <c r="AH269" s="27" t="s">
        <v>585</v>
      </c>
      <c r="AI269" s="28" t="s">
        <v>185</v>
      </c>
      <c r="AJ269" s="29">
        <f>89946.09+50286.21+28089.49+78330.42+133065.34+69728.09</f>
        <v>449445.6399999999</v>
      </c>
      <c r="AK269" s="29">
        <f>8053.91+20294.8+25376.22+13297.51</f>
        <v>67022.44</v>
      </c>
    </row>
    <row r="270" spans="1:37" ht="240" x14ac:dyDescent="0.25">
      <c r="A270" s="14">
        <v>266</v>
      </c>
      <c r="B270" s="13">
        <v>116994</v>
      </c>
      <c r="C270" s="8">
        <v>399</v>
      </c>
      <c r="D270" s="14" t="s">
        <v>170</v>
      </c>
      <c r="E270" s="18" t="s">
        <v>165</v>
      </c>
      <c r="F270" s="16" t="s">
        <v>445</v>
      </c>
      <c r="G270" s="69" t="s">
        <v>471</v>
      </c>
      <c r="H270" s="17" t="s">
        <v>87</v>
      </c>
      <c r="I270" s="105" t="s">
        <v>349</v>
      </c>
      <c r="J270" s="80" t="s">
        <v>533</v>
      </c>
      <c r="K270" s="20">
        <v>43236</v>
      </c>
      <c r="L270" s="32">
        <v>44028</v>
      </c>
      <c r="M270" s="21">
        <f t="shared" si="273"/>
        <v>83.983862868396045</v>
      </c>
      <c r="N270" s="14" t="s">
        <v>324</v>
      </c>
      <c r="O270" s="14" t="s">
        <v>156</v>
      </c>
      <c r="P270" s="14" t="s">
        <v>156</v>
      </c>
      <c r="Q270" s="22" t="s">
        <v>157</v>
      </c>
      <c r="R270" s="18" t="s">
        <v>36</v>
      </c>
      <c r="S270" s="23">
        <f>T270+U270</f>
        <v>6570135.6299999999</v>
      </c>
      <c r="T270" s="23">
        <v>5298241.96</v>
      </c>
      <c r="U270" s="23">
        <v>1271893.67</v>
      </c>
      <c r="V270" s="23">
        <f>W270+X270</f>
        <v>0</v>
      </c>
      <c r="W270" s="23">
        <v>0</v>
      </c>
      <c r="X270" s="23">
        <v>0</v>
      </c>
      <c r="Y270" s="23">
        <f>Z270+AA270</f>
        <v>1252957.29</v>
      </c>
      <c r="Z270" s="23">
        <v>934983.88</v>
      </c>
      <c r="AA270" s="23">
        <v>317973.40999999997</v>
      </c>
      <c r="AB270" s="23">
        <f t="shared" si="275"/>
        <v>0</v>
      </c>
      <c r="AC270" s="23">
        <v>0</v>
      </c>
      <c r="AD270" s="23">
        <v>0</v>
      </c>
      <c r="AE270" s="23">
        <f t="shared" si="272"/>
        <v>7823092.9199999999</v>
      </c>
      <c r="AF270" s="23">
        <v>0</v>
      </c>
      <c r="AG270" s="26">
        <f t="shared" si="278"/>
        <v>7823092.9199999999</v>
      </c>
      <c r="AH270" s="27" t="s">
        <v>585</v>
      </c>
      <c r="AI270" s="28"/>
      <c r="AJ270" s="29">
        <f>4248.74+31166.22+89220.52</f>
        <v>124635.48000000001</v>
      </c>
      <c r="AK270" s="29">
        <v>0</v>
      </c>
    </row>
    <row r="271" spans="1:37" ht="300" x14ac:dyDescent="0.25">
      <c r="A271" s="12">
        <v>267</v>
      </c>
      <c r="B271" s="13">
        <v>112921</v>
      </c>
      <c r="C271" s="8">
        <v>288</v>
      </c>
      <c r="D271" s="14" t="s">
        <v>1074</v>
      </c>
      <c r="E271" s="18" t="s">
        <v>165</v>
      </c>
      <c r="F271" s="16" t="s">
        <v>322</v>
      </c>
      <c r="G271" s="71" t="s">
        <v>473</v>
      </c>
      <c r="H271" s="17" t="s">
        <v>472</v>
      </c>
      <c r="I271" s="18" t="s">
        <v>474</v>
      </c>
      <c r="J271" s="80" t="s">
        <v>475</v>
      </c>
      <c r="K271" s="20">
        <v>43236</v>
      </c>
      <c r="L271" s="32">
        <v>43724</v>
      </c>
      <c r="M271" s="21">
        <f t="shared" si="273"/>
        <v>82.304184477468439</v>
      </c>
      <c r="N271" s="14" t="s">
        <v>324</v>
      </c>
      <c r="O271" s="14" t="s">
        <v>745</v>
      </c>
      <c r="P271" s="14" t="s">
        <v>745</v>
      </c>
      <c r="Q271" s="22" t="s">
        <v>326</v>
      </c>
      <c r="R271" s="18" t="s">
        <v>36</v>
      </c>
      <c r="S271" s="23">
        <f>T271+U271</f>
        <v>692528.19000000006</v>
      </c>
      <c r="T271" s="23">
        <v>558463.68000000005</v>
      </c>
      <c r="U271" s="23">
        <v>134064.51</v>
      </c>
      <c r="V271" s="23">
        <f>W271+X271</f>
        <v>132068.54999999999</v>
      </c>
      <c r="W271" s="23">
        <v>98552.39</v>
      </c>
      <c r="X271" s="23">
        <v>33516.160000000003</v>
      </c>
      <c r="Y271" s="23">
        <f>Z271+AA271</f>
        <v>0</v>
      </c>
      <c r="Z271" s="23">
        <v>0</v>
      </c>
      <c r="AA271" s="23">
        <v>0</v>
      </c>
      <c r="AB271" s="23">
        <f t="shared" si="275"/>
        <v>16828.509999999998</v>
      </c>
      <c r="AC271" s="23">
        <v>13408.49</v>
      </c>
      <c r="AD271" s="23">
        <v>3420.02</v>
      </c>
      <c r="AE271" s="23">
        <f t="shared" ref="AE271:AE289" si="285">S271+V271+Y271+AB271</f>
        <v>841425.25</v>
      </c>
      <c r="AF271" s="23">
        <v>0</v>
      </c>
      <c r="AG271" s="26">
        <f t="shared" si="278"/>
        <v>841425.25</v>
      </c>
      <c r="AH271" s="27" t="s">
        <v>585</v>
      </c>
      <c r="AI271" s="28" t="s">
        <v>1437</v>
      </c>
      <c r="AJ271" s="29">
        <f>59000+45054.47-7168.82+43487.54+82400+27588.29+82400</f>
        <v>332761.48</v>
      </c>
      <c r="AK271" s="29">
        <f>15760.94+11008.93+20975.3</f>
        <v>47745.17</v>
      </c>
    </row>
    <row r="272" spans="1:37" ht="150" x14ac:dyDescent="0.25">
      <c r="A272" s="12">
        <v>268</v>
      </c>
      <c r="B272" s="13">
        <v>122235</v>
      </c>
      <c r="C272" s="8">
        <v>60</v>
      </c>
      <c r="D272" s="14" t="s">
        <v>168</v>
      </c>
      <c r="E272" s="18" t="s">
        <v>169</v>
      </c>
      <c r="F272" s="16" t="s">
        <v>142</v>
      </c>
      <c r="G272" s="71" t="s">
        <v>476</v>
      </c>
      <c r="H272" s="14" t="s">
        <v>477</v>
      </c>
      <c r="I272" s="18" t="s">
        <v>185</v>
      </c>
      <c r="J272" s="80" t="s">
        <v>478</v>
      </c>
      <c r="K272" s="20">
        <v>43236</v>
      </c>
      <c r="L272" s="32">
        <v>44302</v>
      </c>
      <c r="M272" s="21">
        <f>S272/AE272*100</f>
        <v>83.983862861012312</v>
      </c>
      <c r="N272" s="14" t="s">
        <v>324</v>
      </c>
      <c r="O272" s="14" t="s">
        <v>312</v>
      </c>
      <c r="P272" s="14" t="s">
        <v>312</v>
      </c>
      <c r="Q272" s="22" t="s">
        <v>157</v>
      </c>
      <c r="R272" s="14" t="s">
        <v>36</v>
      </c>
      <c r="S272" s="23">
        <f>T272+U272</f>
        <v>9422880.1500000004</v>
      </c>
      <c r="T272" s="23">
        <v>7598731.8700000001</v>
      </c>
      <c r="U272" s="23">
        <v>1824148.28</v>
      </c>
      <c r="V272" s="23">
        <f t="shared" si="274"/>
        <v>0</v>
      </c>
      <c r="W272" s="23"/>
      <c r="X272" s="23"/>
      <c r="Y272" s="23">
        <f t="shared" si="277"/>
        <v>1796989.75</v>
      </c>
      <c r="Z272" s="23">
        <v>1340952.68</v>
      </c>
      <c r="AA272" s="23">
        <v>456037.07</v>
      </c>
      <c r="AB272" s="23">
        <f>AC272+AD272</f>
        <v>0</v>
      </c>
      <c r="AC272" s="23"/>
      <c r="AD272" s="23"/>
      <c r="AE272" s="23">
        <f t="shared" si="285"/>
        <v>11219869.9</v>
      </c>
      <c r="AF272" s="23">
        <v>0</v>
      </c>
      <c r="AG272" s="26">
        <f t="shared" si="278"/>
        <v>11219869.9</v>
      </c>
      <c r="AH272" s="27" t="s">
        <v>585</v>
      </c>
      <c r="AI272" s="28" t="s">
        <v>185</v>
      </c>
      <c r="AJ272" s="29">
        <f>177000+30000-137868.19+11251.1+63755.9</f>
        <v>144138.81</v>
      </c>
      <c r="AK272" s="29">
        <v>0</v>
      </c>
    </row>
    <row r="273" spans="1:37" ht="225" x14ac:dyDescent="0.25">
      <c r="A273" s="14">
        <v>269</v>
      </c>
      <c r="B273" s="13">
        <v>113205</v>
      </c>
      <c r="C273" s="8">
        <v>286</v>
      </c>
      <c r="D273" s="14" t="s">
        <v>1074</v>
      </c>
      <c r="E273" s="18" t="s">
        <v>165</v>
      </c>
      <c r="F273" s="16" t="s">
        <v>322</v>
      </c>
      <c r="G273" s="71" t="s">
        <v>479</v>
      </c>
      <c r="H273" s="17" t="s">
        <v>480</v>
      </c>
      <c r="I273" s="18" t="s">
        <v>481</v>
      </c>
      <c r="J273" s="80" t="s">
        <v>534</v>
      </c>
      <c r="K273" s="20">
        <v>43243</v>
      </c>
      <c r="L273" s="32">
        <v>43669</v>
      </c>
      <c r="M273" s="21">
        <f t="shared" si="273"/>
        <v>82.304187102769717</v>
      </c>
      <c r="N273" s="14" t="s">
        <v>324</v>
      </c>
      <c r="O273" s="14" t="s">
        <v>312</v>
      </c>
      <c r="P273" s="14" t="s">
        <v>312</v>
      </c>
      <c r="Q273" s="22" t="s">
        <v>157</v>
      </c>
      <c r="R273" s="14" t="s">
        <v>36</v>
      </c>
      <c r="S273" s="23">
        <f t="shared" si="276"/>
        <v>750653.75</v>
      </c>
      <c r="T273" s="23">
        <v>605336.84</v>
      </c>
      <c r="U273" s="23">
        <v>145316.91</v>
      </c>
      <c r="V273" s="23">
        <f t="shared" si="274"/>
        <v>143153.35999999999</v>
      </c>
      <c r="W273" s="23">
        <v>106824.15</v>
      </c>
      <c r="X273" s="23">
        <v>36329.21</v>
      </c>
      <c r="Y273" s="23">
        <f t="shared" si="277"/>
        <v>0</v>
      </c>
      <c r="Z273" s="23">
        <v>0</v>
      </c>
      <c r="AA273" s="23">
        <v>0</v>
      </c>
      <c r="AB273" s="23">
        <f t="shared" ref="AB273:AB289" si="286">AC273+AD273</f>
        <v>18240.96</v>
      </c>
      <c r="AC273" s="23">
        <v>14533.9</v>
      </c>
      <c r="AD273" s="23">
        <v>3707.06</v>
      </c>
      <c r="AE273" s="23">
        <f t="shared" si="285"/>
        <v>912048.07</v>
      </c>
      <c r="AF273" s="23">
        <v>0</v>
      </c>
      <c r="AG273" s="26">
        <f t="shared" si="278"/>
        <v>912048.07</v>
      </c>
      <c r="AH273" s="27" t="s">
        <v>585</v>
      </c>
      <c r="AI273" s="28"/>
      <c r="AJ273" s="29">
        <f>80989.07+73791.77+71604.65-11418.94+71296.47+10538.9+120276.34</f>
        <v>417078.26</v>
      </c>
      <c r="AK273" s="29">
        <f>12124.41+13655.35+11418.94+6176.71+18770.39</f>
        <v>62145.8</v>
      </c>
    </row>
    <row r="274" spans="1:37" ht="409.5" x14ac:dyDescent="0.25">
      <c r="A274" s="12">
        <v>270</v>
      </c>
      <c r="B274" s="13">
        <v>111084</v>
      </c>
      <c r="C274" s="8">
        <v>343</v>
      </c>
      <c r="D274" s="14" t="s">
        <v>1074</v>
      </c>
      <c r="E274" s="18" t="s">
        <v>165</v>
      </c>
      <c r="F274" s="16" t="s">
        <v>322</v>
      </c>
      <c r="G274" s="212" t="s">
        <v>482</v>
      </c>
      <c r="H274" s="213" t="s">
        <v>483</v>
      </c>
      <c r="I274" s="18" t="s">
        <v>482</v>
      </c>
      <c r="J274" s="80" t="s">
        <v>535</v>
      </c>
      <c r="K274" s="20">
        <v>43243</v>
      </c>
      <c r="L274" s="32">
        <v>43669</v>
      </c>
      <c r="M274" s="21">
        <f t="shared" si="273"/>
        <v>82.304185103544512</v>
      </c>
      <c r="N274" s="14" t="s">
        <v>324</v>
      </c>
      <c r="O274" s="14" t="s">
        <v>156</v>
      </c>
      <c r="P274" s="14" t="s">
        <v>156</v>
      </c>
      <c r="Q274" s="22" t="s">
        <v>326</v>
      </c>
      <c r="R274" s="14" t="s">
        <v>36</v>
      </c>
      <c r="S274" s="23">
        <f t="shared" si="276"/>
        <v>698744.26</v>
      </c>
      <c r="T274" s="214">
        <v>563476.37</v>
      </c>
      <c r="U274" s="214">
        <v>135267.89000000001</v>
      </c>
      <c r="V274" s="23">
        <f t="shared" si="274"/>
        <v>133253.97999999998</v>
      </c>
      <c r="W274" s="214">
        <v>99437.01</v>
      </c>
      <c r="X274" s="215">
        <v>33816.97</v>
      </c>
      <c r="Y274" s="23">
        <f t="shared" si="277"/>
        <v>0</v>
      </c>
      <c r="Z274" s="23"/>
      <c r="AA274" s="23"/>
      <c r="AB274" s="23">
        <f t="shared" si="286"/>
        <v>16979.560000000001</v>
      </c>
      <c r="AC274" s="214">
        <v>13528.85</v>
      </c>
      <c r="AD274" s="216">
        <v>3450.71</v>
      </c>
      <c r="AE274" s="23">
        <f t="shared" si="285"/>
        <v>848977.8</v>
      </c>
      <c r="AF274" s="23">
        <v>0</v>
      </c>
      <c r="AG274" s="26">
        <f t="shared" si="278"/>
        <v>848977.8</v>
      </c>
      <c r="AH274" s="27" t="s">
        <v>585</v>
      </c>
      <c r="AI274" s="28"/>
      <c r="AJ274" s="29">
        <f>81482.69+89509.54+12342.66+79890.06+56608.82</f>
        <v>319833.76999999996</v>
      </c>
      <c r="AK274" s="29">
        <f>12927.23+3853.32+17589.26+10795.58</f>
        <v>45165.39</v>
      </c>
    </row>
    <row r="275" spans="1:37" ht="409.5" x14ac:dyDescent="0.25">
      <c r="A275" s="12">
        <v>271</v>
      </c>
      <c r="B275" s="13">
        <v>110679</v>
      </c>
      <c r="C275" s="8">
        <v>197</v>
      </c>
      <c r="D275" s="14" t="s">
        <v>171</v>
      </c>
      <c r="E275" s="18" t="s">
        <v>165</v>
      </c>
      <c r="F275" s="16" t="s">
        <v>322</v>
      </c>
      <c r="G275" s="217" t="s">
        <v>484</v>
      </c>
      <c r="H275" s="30" t="s">
        <v>487</v>
      </c>
      <c r="I275" s="18" t="s">
        <v>185</v>
      </c>
      <c r="J275" s="19" t="s">
        <v>536</v>
      </c>
      <c r="K275" s="20">
        <v>43243</v>
      </c>
      <c r="L275" s="32">
        <v>43731</v>
      </c>
      <c r="M275" s="21">
        <f t="shared" si="273"/>
        <v>82.304185789589326</v>
      </c>
      <c r="N275" s="14" t="s">
        <v>324</v>
      </c>
      <c r="O275" s="14" t="s">
        <v>485</v>
      </c>
      <c r="P275" s="14" t="s">
        <v>486</v>
      </c>
      <c r="Q275" s="22" t="s">
        <v>326</v>
      </c>
      <c r="R275" s="14" t="s">
        <v>36</v>
      </c>
      <c r="S275" s="23">
        <f t="shared" si="276"/>
        <v>763944.72</v>
      </c>
      <c r="T275" s="23">
        <v>616054.86</v>
      </c>
      <c r="U275" s="23">
        <v>147889.85999999999</v>
      </c>
      <c r="V275" s="23">
        <f t="shared" si="274"/>
        <v>145688.03</v>
      </c>
      <c r="W275" s="23">
        <v>108715.56</v>
      </c>
      <c r="X275" s="23">
        <v>36972.47</v>
      </c>
      <c r="Y275" s="23">
        <f t="shared" si="277"/>
        <v>0</v>
      </c>
      <c r="Z275" s="23"/>
      <c r="AA275" s="23"/>
      <c r="AB275" s="23">
        <f t="shared" si="286"/>
        <v>18563.93</v>
      </c>
      <c r="AC275" s="23">
        <v>14791.23</v>
      </c>
      <c r="AD275" s="23">
        <v>3772.7</v>
      </c>
      <c r="AE275" s="23">
        <f t="shared" si="285"/>
        <v>928196.68</v>
      </c>
      <c r="AF275" s="23">
        <v>0</v>
      </c>
      <c r="AG275" s="26">
        <f t="shared" si="278"/>
        <v>928196.68</v>
      </c>
      <c r="AH275" s="27" t="s">
        <v>585</v>
      </c>
      <c r="AI275" s="218" t="s">
        <v>185</v>
      </c>
      <c r="AJ275" s="29">
        <f>155523.41+47135.61-8611.45+92000+71209.41-4305.28</f>
        <v>352951.69999999995</v>
      </c>
      <c r="AK275" s="29">
        <f>11958.04+8988.99+16058.8+13579.97+16723.79</f>
        <v>67309.59</v>
      </c>
    </row>
    <row r="276" spans="1:37" ht="299.25" x14ac:dyDescent="0.25">
      <c r="A276" s="14">
        <v>272</v>
      </c>
      <c r="B276" s="13">
        <v>112787</v>
      </c>
      <c r="C276" s="8">
        <v>276</v>
      </c>
      <c r="D276" s="14" t="s">
        <v>1074</v>
      </c>
      <c r="E276" s="18" t="s">
        <v>165</v>
      </c>
      <c r="F276" s="16" t="s">
        <v>322</v>
      </c>
      <c r="G276" s="219" t="s">
        <v>488</v>
      </c>
      <c r="H276" s="219" t="s">
        <v>489</v>
      </c>
      <c r="I276" s="18" t="s">
        <v>491</v>
      </c>
      <c r="J276" s="19" t="s">
        <v>492</v>
      </c>
      <c r="K276" s="20">
        <v>43243</v>
      </c>
      <c r="L276" s="32">
        <v>43731</v>
      </c>
      <c r="M276" s="21">
        <f t="shared" si="273"/>
        <v>82.304187377441963</v>
      </c>
      <c r="N276" s="14" t="s">
        <v>324</v>
      </c>
      <c r="O276" s="14" t="s">
        <v>490</v>
      </c>
      <c r="P276" s="14" t="s">
        <v>490</v>
      </c>
      <c r="Q276" s="22" t="s">
        <v>326</v>
      </c>
      <c r="R276" s="14" t="s">
        <v>36</v>
      </c>
      <c r="S276" s="23">
        <f t="shared" si="276"/>
        <v>813947.08000000007</v>
      </c>
      <c r="T276" s="23">
        <v>656377.4</v>
      </c>
      <c r="U276" s="23">
        <v>157569.68</v>
      </c>
      <c r="V276" s="23">
        <f t="shared" si="274"/>
        <v>155223.71000000002</v>
      </c>
      <c r="W276" s="23">
        <v>115831.3</v>
      </c>
      <c r="X276" s="23">
        <v>39392.410000000003</v>
      </c>
      <c r="Y276" s="23">
        <f t="shared" si="277"/>
        <v>0</v>
      </c>
      <c r="Z276" s="23"/>
      <c r="AA276" s="23"/>
      <c r="AB276" s="23">
        <f t="shared" si="286"/>
        <v>19778.990000000002</v>
      </c>
      <c r="AC276" s="23">
        <v>15759.36</v>
      </c>
      <c r="AD276" s="23">
        <v>4019.63</v>
      </c>
      <c r="AE276" s="23">
        <f t="shared" si="285"/>
        <v>988949.78</v>
      </c>
      <c r="AF276" s="23">
        <v>0</v>
      </c>
      <c r="AG276" s="26">
        <f t="shared" si="278"/>
        <v>988949.78</v>
      </c>
      <c r="AH276" s="27" t="s">
        <v>585</v>
      </c>
      <c r="AI276" s="28" t="s">
        <v>185</v>
      </c>
      <c r="AJ276" s="29">
        <f>188133.51-12724.93+92979.94+80602.08+76904.04</f>
        <v>425894.64</v>
      </c>
      <c r="AK276" s="29">
        <f>20686.62+12745.2+880.06+15371.21+4436.91+9586.41</f>
        <v>63706.41</v>
      </c>
    </row>
    <row r="277" spans="1:37" ht="189" x14ac:dyDescent="0.25">
      <c r="A277" s="12">
        <v>273</v>
      </c>
      <c r="B277" s="13">
        <v>110998</v>
      </c>
      <c r="C277" s="8">
        <v>333</v>
      </c>
      <c r="D277" s="14" t="s">
        <v>170</v>
      </c>
      <c r="E277" s="18" t="s">
        <v>165</v>
      </c>
      <c r="F277" s="16" t="s">
        <v>322</v>
      </c>
      <c r="G277" s="219" t="s">
        <v>493</v>
      </c>
      <c r="H277" s="219" t="s">
        <v>494</v>
      </c>
      <c r="I277" s="18" t="s">
        <v>185</v>
      </c>
      <c r="J277" s="19" t="s">
        <v>537</v>
      </c>
      <c r="K277" s="20">
        <v>43244</v>
      </c>
      <c r="L277" s="32">
        <v>43732</v>
      </c>
      <c r="M277" s="21">
        <f t="shared" si="273"/>
        <v>82.304186800362686</v>
      </c>
      <c r="N277" s="14" t="s">
        <v>324</v>
      </c>
      <c r="O277" s="14" t="s">
        <v>156</v>
      </c>
      <c r="P277" s="14" t="s">
        <v>156</v>
      </c>
      <c r="Q277" s="22" t="s">
        <v>326</v>
      </c>
      <c r="R277" s="14" t="s">
        <v>36</v>
      </c>
      <c r="S277" s="23">
        <f t="shared" si="276"/>
        <v>802303.17999999993</v>
      </c>
      <c r="T277" s="23">
        <v>646987.61</v>
      </c>
      <c r="U277" s="23">
        <v>155315.57</v>
      </c>
      <c r="V277" s="23">
        <f t="shared" si="274"/>
        <v>153003.18</v>
      </c>
      <c r="W277" s="23">
        <v>114174.29</v>
      </c>
      <c r="X277" s="23">
        <v>38828.89</v>
      </c>
      <c r="Y277" s="23">
        <f t="shared" si="277"/>
        <v>0</v>
      </c>
      <c r="Z277" s="220"/>
      <c r="AA277" s="220"/>
      <c r="AB277" s="23">
        <f t="shared" si="286"/>
        <v>19496.03</v>
      </c>
      <c r="AC277" s="23">
        <v>15533.9</v>
      </c>
      <c r="AD277" s="23">
        <v>3962.13</v>
      </c>
      <c r="AE277" s="23">
        <f t="shared" si="285"/>
        <v>974802.3899999999</v>
      </c>
      <c r="AF277" s="23">
        <v>0</v>
      </c>
      <c r="AG277" s="26">
        <f t="shared" si="278"/>
        <v>974802.3899999999</v>
      </c>
      <c r="AH277" s="27" t="s">
        <v>585</v>
      </c>
      <c r="AI277" s="28" t="s">
        <v>422</v>
      </c>
      <c r="AJ277" s="29">
        <f>140575.46+6566.7+79837.6+71604.41+17465.12+79837.6</f>
        <v>395886.89</v>
      </c>
      <c r="AK277" s="29">
        <f>11583.01+16477.73+13655.31+18556.11</f>
        <v>60272.159999999996</v>
      </c>
    </row>
    <row r="278" spans="1:37" ht="189" x14ac:dyDescent="0.25">
      <c r="A278" s="12">
        <v>274</v>
      </c>
      <c r="B278" s="13">
        <v>115539</v>
      </c>
      <c r="C278" s="8">
        <v>396</v>
      </c>
      <c r="D278" s="14" t="s">
        <v>170</v>
      </c>
      <c r="E278" s="18" t="s">
        <v>165</v>
      </c>
      <c r="F278" s="16" t="s">
        <v>445</v>
      </c>
      <c r="G278" s="17" t="s">
        <v>500</v>
      </c>
      <c r="H278" s="17" t="s">
        <v>501</v>
      </c>
      <c r="I278" s="18" t="s">
        <v>502</v>
      </c>
      <c r="J278" s="19" t="s">
        <v>538</v>
      </c>
      <c r="K278" s="20">
        <v>43249</v>
      </c>
      <c r="L278" s="32">
        <v>44041</v>
      </c>
      <c r="M278" s="21">
        <f t="shared" si="273"/>
        <v>83.983861240799271</v>
      </c>
      <c r="N278" s="14" t="s">
        <v>324</v>
      </c>
      <c r="O278" s="14" t="s">
        <v>156</v>
      </c>
      <c r="P278" s="14" t="s">
        <v>156</v>
      </c>
      <c r="Q278" s="22" t="s">
        <v>157</v>
      </c>
      <c r="R278" s="14" t="s">
        <v>36</v>
      </c>
      <c r="S278" s="23">
        <f t="shared" si="276"/>
        <v>2264152.09</v>
      </c>
      <c r="T278" s="23">
        <v>1825841.4</v>
      </c>
      <c r="U278" s="23">
        <v>438310.69</v>
      </c>
      <c r="V278" s="23">
        <f t="shared" si="274"/>
        <v>159763.60999999999</v>
      </c>
      <c r="W278" s="23">
        <v>118066.66</v>
      </c>
      <c r="X278" s="23">
        <v>41696.949999999997</v>
      </c>
      <c r="Y278" s="23">
        <f t="shared" si="277"/>
        <v>272021.42</v>
      </c>
      <c r="Z278" s="23">
        <v>204140.68</v>
      </c>
      <c r="AA278" s="23">
        <v>67880.740000000005</v>
      </c>
      <c r="AB278" s="23">
        <f t="shared" si="286"/>
        <v>0</v>
      </c>
      <c r="AC278" s="23">
        <v>0</v>
      </c>
      <c r="AD278" s="23">
        <v>0</v>
      </c>
      <c r="AE278" s="23">
        <f t="shared" si="285"/>
        <v>2695937.1199999996</v>
      </c>
      <c r="AF278" s="23">
        <v>0</v>
      </c>
      <c r="AG278" s="26">
        <f t="shared" si="278"/>
        <v>2695937.1199999996</v>
      </c>
      <c r="AH278" s="27" t="s">
        <v>585</v>
      </c>
      <c r="AI278" s="28"/>
      <c r="AJ278" s="29">
        <f>96923.08+40161.87+113985.46</f>
        <v>251070.41000000003</v>
      </c>
      <c r="AK278" s="29">
        <v>0</v>
      </c>
    </row>
    <row r="279" spans="1:37" ht="284.25" thickBot="1" x14ac:dyDescent="0.3">
      <c r="A279" s="14">
        <v>275</v>
      </c>
      <c r="B279" s="13">
        <v>118716</v>
      </c>
      <c r="C279" s="8">
        <v>455</v>
      </c>
      <c r="D279" s="14" t="s">
        <v>171</v>
      </c>
      <c r="E279" s="18" t="s">
        <v>1042</v>
      </c>
      <c r="F279" s="16" t="s">
        <v>505</v>
      </c>
      <c r="G279" s="17" t="s">
        <v>503</v>
      </c>
      <c r="H279" s="219" t="s">
        <v>504</v>
      </c>
      <c r="I279" s="18" t="s">
        <v>185</v>
      </c>
      <c r="J279" s="19" t="s">
        <v>539</v>
      </c>
      <c r="K279" s="20">
        <v>43249</v>
      </c>
      <c r="L279" s="32">
        <v>43980</v>
      </c>
      <c r="M279" s="21">
        <f t="shared" si="273"/>
        <v>83.98386320030896</v>
      </c>
      <c r="N279" s="14" t="s">
        <v>324</v>
      </c>
      <c r="O279" s="14" t="s">
        <v>156</v>
      </c>
      <c r="P279" s="14" t="s">
        <v>156</v>
      </c>
      <c r="Q279" s="22" t="s">
        <v>157</v>
      </c>
      <c r="R279" s="14" t="s">
        <v>36</v>
      </c>
      <c r="S279" s="23">
        <f t="shared" si="276"/>
        <v>2343689.4299999997</v>
      </c>
      <c r="T279" s="23">
        <v>1889981.38</v>
      </c>
      <c r="U279" s="23">
        <v>453708.05</v>
      </c>
      <c r="V279" s="23">
        <f t="shared" si="274"/>
        <v>0</v>
      </c>
      <c r="W279" s="23"/>
      <c r="X279" s="23"/>
      <c r="Y279" s="23">
        <f t="shared" si="277"/>
        <v>446953.13</v>
      </c>
      <c r="Z279" s="23">
        <v>333526.06</v>
      </c>
      <c r="AA279" s="23">
        <v>113427.07</v>
      </c>
      <c r="AB279" s="23">
        <f t="shared" si="286"/>
        <v>0</v>
      </c>
      <c r="AC279" s="23"/>
      <c r="AD279" s="23"/>
      <c r="AE279" s="23">
        <f t="shared" si="285"/>
        <v>2790642.5599999996</v>
      </c>
      <c r="AF279" s="23">
        <v>0</v>
      </c>
      <c r="AG279" s="26">
        <f t="shared" si="278"/>
        <v>2790642.5599999996</v>
      </c>
      <c r="AH279" s="27" t="s">
        <v>585</v>
      </c>
      <c r="AI279" s="28" t="s">
        <v>1528</v>
      </c>
      <c r="AJ279" s="29">
        <f>145011.94+359253.32+95755.51</f>
        <v>600020.77</v>
      </c>
      <c r="AK279" s="29">
        <v>0</v>
      </c>
    </row>
    <row r="280" spans="1:37" ht="409.5" x14ac:dyDescent="0.25">
      <c r="A280" s="12">
        <v>276</v>
      </c>
      <c r="B280" s="13">
        <v>109777</v>
      </c>
      <c r="C280" s="8">
        <v>363</v>
      </c>
      <c r="D280" s="14" t="s">
        <v>1320</v>
      </c>
      <c r="E280" s="18" t="s">
        <v>165</v>
      </c>
      <c r="F280" s="75" t="s">
        <v>322</v>
      </c>
      <c r="G280" s="69" t="s">
        <v>507</v>
      </c>
      <c r="H280" s="70" t="s">
        <v>506</v>
      </c>
      <c r="I280" s="70" t="s">
        <v>185</v>
      </c>
      <c r="J280" s="221" t="s">
        <v>508</v>
      </c>
      <c r="K280" s="32">
        <v>43251</v>
      </c>
      <c r="L280" s="32">
        <v>43708</v>
      </c>
      <c r="M280" s="21">
        <f t="shared" si="273"/>
        <v>82.304185429325983</v>
      </c>
      <c r="N280" s="14" t="s">
        <v>324</v>
      </c>
      <c r="O280" s="14" t="s">
        <v>263</v>
      </c>
      <c r="P280" s="14" t="s">
        <v>421</v>
      </c>
      <c r="Q280" s="22" t="s">
        <v>326</v>
      </c>
      <c r="R280" s="14" t="s">
        <v>36</v>
      </c>
      <c r="S280" s="23">
        <f t="shared" si="276"/>
        <v>809738</v>
      </c>
      <c r="T280" s="23">
        <v>652983.16</v>
      </c>
      <c r="U280" s="23">
        <v>156754.84</v>
      </c>
      <c r="V280" s="23">
        <f t="shared" si="274"/>
        <v>154421.03</v>
      </c>
      <c r="W280" s="23">
        <v>115232.31</v>
      </c>
      <c r="X280" s="23">
        <v>39188.720000000001</v>
      </c>
      <c r="Y280" s="23">
        <f>Z280+AA280</f>
        <v>0</v>
      </c>
      <c r="Z280" s="23">
        <v>0</v>
      </c>
      <c r="AA280" s="23">
        <v>0</v>
      </c>
      <c r="AB280" s="23">
        <f>AC280+AD280</f>
        <v>19676.72</v>
      </c>
      <c r="AC280" s="23">
        <v>15677.86</v>
      </c>
      <c r="AD280" s="23">
        <v>3998.86</v>
      </c>
      <c r="AE280" s="23">
        <f t="shared" si="285"/>
        <v>983835.75</v>
      </c>
      <c r="AF280" s="3">
        <v>0</v>
      </c>
      <c r="AG280" s="26">
        <f t="shared" si="278"/>
        <v>983835.75</v>
      </c>
      <c r="AH280" s="27" t="s">
        <v>585</v>
      </c>
      <c r="AI280" s="28"/>
      <c r="AJ280" s="222">
        <f>98383.57+67957.2+131759+61030.49+98383.57-15548.08+97077.59+100688.53</f>
        <v>639731.87</v>
      </c>
      <c r="AK280" s="29">
        <f>12959.77+25127.1+30401.05+15548.08+19201.81</f>
        <v>103237.81</v>
      </c>
    </row>
    <row r="281" spans="1:37" ht="330.75" x14ac:dyDescent="0.25">
      <c r="A281" s="12">
        <v>277</v>
      </c>
      <c r="B281" s="13">
        <v>112263</v>
      </c>
      <c r="C281" s="8">
        <v>212</v>
      </c>
      <c r="D281" s="14" t="s">
        <v>172</v>
      </c>
      <c r="E281" s="18" t="s">
        <v>165</v>
      </c>
      <c r="F281" s="16" t="s">
        <v>322</v>
      </c>
      <c r="G281" s="219" t="s">
        <v>511</v>
      </c>
      <c r="H281" s="219" t="s">
        <v>512</v>
      </c>
      <c r="I281" s="18" t="s">
        <v>185</v>
      </c>
      <c r="J281" s="19" t="s">
        <v>540</v>
      </c>
      <c r="K281" s="20">
        <v>43257</v>
      </c>
      <c r="L281" s="32">
        <v>43744</v>
      </c>
      <c r="M281" s="21">
        <f t="shared" si="273"/>
        <v>82.304186636665435</v>
      </c>
      <c r="N281" s="14" t="s">
        <v>324</v>
      </c>
      <c r="O281" s="14" t="s">
        <v>312</v>
      </c>
      <c r="P281" s="14" t="s">
        <v>541</v>
      </c>
      <c r="Q281" s="22" t="s">
        <v>326</v>
      </c>
      <c r="R281" s="14" t="s">
        <v>36</v>
      </c>
      <c r="S281" s="23">
        <f>T281+U281</f>
        <v>804068.05999999994</v>
      </c>
      <c r="T281" s="23">
        <v>648410.84</v>
      </c>
      <c r="U281" s="23">
        <v>155657.22</v>
      </c>
      <c r="V281" s="23">
        <f>W281+X281</f>
        <v>153339.75</v>
      </c>
      <c r="W281" s="23">
        <v>114425.45</v>
      </c>
      <c r="X281" s="23">
        <v>38914.300000000003</v>
      </c>
      <c r="Y281" s="223">
        <f>Z281+AA281</f>
        <v>0</v>
      </c>
      <c r="Z281" s="23">
        <v>0</v>
      </c>
      <c r="AA281" s="23">
        <v>0</v>
      </c>
      <c r="AB281" s="23">
        <f>AC281+AD281</f>
        <v>19538.919999999998</v>
      </c>
      <c r="AC281" s="23">
        <v>15568.08</v>
      </c>
      <c r="AD281" s="23">
        <v>3970.84</v>
      </c>
      <c r="AE281" s="23">
        <f>S281+V281+Y281+AB281</f>
        <v>976946.73</v>
      </c>
      <c r="AF281" s="23">
        <v>0</v>
      </c>
      <c r="AG281" s="26">
        <f t="shared" si="278"/>
        <v>976946.73</v>
      </c>
      <c r="AH281" s="27" t="s">
        <v>585</v>
      </c>
      <c r="AI281" s="28"/>
      <c r="AJ281" s="29">
        <f>84638.59+81518.25+15437.85+121639.28+42099.38+37504.88</f>
        <v>382838.23</v>
      </c>
      <c r="AK281" s="29">
        <f>13056.08+21574.93+4566.35+8028.56+23258.8</f>
        <v>70484.72</v>
      </c>
    </row>
    <row r="282" spans="1:37" ht="173.25" x14ac:dyDescent="0.25">
      <c r="A282" s="14">
        <v>278</v>
      </c>
      <c r="B282" s="13">
        <v>118978</v>
      </c>
      <c r="C282" s="8">
        <v>453</v>
      </c>
      <c r="D282" s="14" t="s">
        <v>171</v>
      </c>
      <c r="E282" s="18" t="s">
        <v>1042</v>
      </c>
      <c r="F282" s="16" t="s">
        <v>505</v>
      </c>
      <c r="G282" s="219" t="s">
        <v>510</v>
      </c>
      <c r="H282" s="219" t="s">
        <v>509</v>
      </c>
      <c r="I282" s="18" t="s">
        <v>185</v>
      </c>
      <c r="J282" s="19" t="s">
        <v>547</v>
      </c>
      <c r="K282" s="20">
        <v>43257</v>
      </c>
      <c r="L282" s="32">
        <v>44536</v>
      </c>
      <c r="M282" s="21">
        <f t="shared" si="273"/>
        <v>83.983863009633808</v>
      </c>
      <c r="N282" s="14" t="s">
        <v>324</v>
      </c>
      <c r="O282" s="14" t="s">
        <v>156</v>
      </c>
      <c r="P282" s="14" t="s">
        <v>156</v>
      </c>
      <c r="Q282" s="22" t="s">
        <v>157</v>
      </c>
      <c r="R282" s="14" t="s">
        <v>36</v>
      </c>
      <c r="S282" s="23">
        <f t="shared" si="276"/>
        <v>10919953.010000002</v>
      </c>
      <c r="T282" s="23">
        <v>8805990.7100000009</v>
      </c>
      <c r="U282" s="23">
        <v>2113962.2999999998</v>
      </c>
      <c r="V282" s="23">
        <f t="shared" si="274"/>
        <v>0</v>
      </c>
      <c r="W282" s="23">
        <v>0</v>
      </c>
      <c r="X282" s="23">
        <v>0</v>
      </c>
      <c r="Y282" s="23">
        <f t="shared" si="277"/>
        <v>2082488.9100000001</v>
      </c>
      <c r="Z282" s="23">
        <v>1553998.33</v>
      </c>
      <c r="AA282" s="23">
        <v>528490.57999999996</v>
      </c>
      <c r="AB282" s="23">
        <f t="shared" si="286"/>
        <v>0</v>
      </c>
      <c r="AC282" s="23">
        <v>0</v>
      </c>
      <c r="AD282" s="23">
        <v>0</v>
      </c>
      <c r="AE282" s="23">
        <f t="shared" si="285"/>
        <v>13002441.920000002</v>
      </c>
      <c r="AF282" s="23">
        <v>1503920</v>
      </c>
      <c r="AG282" s="26">
        <f t="shared" si="278"/>
        <v>14506361.920000002</v>
      </c>
      <c r="AH282" s="27" t="s">
        <v>585</v>
      </c>
      <c r="AI282" s="28" t="s">
        <v>1249</v>
      </c>
      <c r="AJ282" s="29">
        <f>104375.19+162416.48+52075.09+194641.75</f>
        <v>513508.51</v>
      </c>
      <c r="AK282" s="29">
        <v>0</v>
      </c>
    </row>
    <row r="283" spans="1:37" ht="141.75" x14ac:dyDescent="0.25">
      <c r="A283" s="12">
        <v>279</v>
      </c>
      <c r="B283" s="13">
        <v>119317</v>
      </c>
      <c r="C283" s="8">
        <v>456</v>
      </c>
      <c r="D283" s="14" t="s">
        <v>171</v>
      </c>
      <c r="E283" s="18" t="s">
        <v>1042</v>
      </c>
      <c r="F283" s="16" t="s">
        <v>505</v>
      </c>
      <c r="G283" s="219" t="s">
        <v>548</v>
      </c>
      <c r="H283" s="219" t="s">
        <v>623</v>
      </c>
      <c r="I283" s="18" t="s">
        <v>185</v>
      </c>
      <c r="J283" s="19" t="s">
        <v>549</v>
      </c>
      <c r="K283" s="20">
        <v>43257</v>
      </c>
      <c r="L283" s="32">
        <v>43988</v>
      </c>
      <c r="M283" s="21">
        <f t="shared" si="273"/>
        <v>83.983862821417162</v>
      </c>
      <c r="N283" s="14" t="s">
        <v>324</v>
      </c>
      <c r="O283" s="14" t="s">
        <v>156</v>
      </c>
      <c r="P283" s="14" t="s">
        <v>156</v>
      </c>
      <c r="Q283" s="22" t="s">
        <v>157</v>
      </c>
      <c r="R283" s="14" t="s">
        <v>36</v>
      </c>
      <c r="S283" s="23">
        <f t="shared" si="276"/>
        <v>26702638.32</v>
      </c>
      <c r="T283" s="23">
        <v>21533351.34</v>
      </c>
      <c r="U283" s="23">
        <v>5169286.9800000004</v>
      </c>
      <c r="V283" s="23">
        <f t="shared" si="274"/>
        <v>0</v>
      </c>
      <c r="W283" s="23"/>
      <c r="X283" s="23"/>
      <c r="Y283" s="23">
        <f t="shared" si="277"/>
        <v>5092324.93</v>
      </c>
      <c r="Z283" s="23">
        <v>3800003.18</v>
      </c>
      <c r="AA283" s="23">
        <v>1292321.75</v>
      </c>
      <c r="AB283" s="23">
        <f t="shared" si="286"/>
        <v>0</v>
      </c>
      <c r="AC283" s="23">
        <v>0</v>
      </c>
      <c r="AD283" s="23">
        <v>0</v>
      </c>
      <c r="AE283" s="23">
        <f t="shared" si="285"/>
        <v>31794963.25</v>
      </c>
      <c r="AF283" s="23">
        <v>0</v>
      </c>
      <c r="AG283" s="26">
        <f t="shared" si="278"/>
        <v>31794963.25</v>
      </c>
      <c r="AH283" s="27" t="s">
        <v>585</v>
      </c>
      <c r="AI283" s="28"/>
      <c r="AJ283" s="29">
        <f>155213.76+241470.09+76680.76+1501.26</f>
        <v>474865.87</v>
      </c>
      <c r="AK283" s="29">
        <v>0</v>
      </c>
    </row>
    <row r="284" spans="1:37" ht="409.5" x14ac:dyDescent="0.25">
      <c r="A284" s="12">
        <v>280</v>
      </c>
      <c r="B284" s="13">
        <v>111319</v>
      </c>
      <c r="C284" s="8">
        <v>359</v>
      </c>
      <c r="D284" s="14" t="s">
        <v>1320</v>
      </c>
      <c r="E284" s="18" t="s">
        <v>165</v>
      </c>
      <c r="F284" s="16" t="s">
        <v>322</v>
      </c>
      <c r="G284" s="219" t="s">
        <v>553</v>
      </c>
      <c r="H284" s="219" t="s">
        <v>551</v>
      </c>
      <c r="I284" s="14" t="s">
        <v>554</v>
      </c>
      <c r="J284" s="19" t="s">
        <v>555</v>
      </c>
      <c r="K284" s="20">
        <v>43256</v>
      </c>
      <c r="L284" s="32">
        <v>43743</v>
      </c>
      <c r="M284" s="21">
        <f t="shared" si="273"/>
        <v>82.304189744785745</v>
      </c>
      <c r="N284" s="14" t="s">
        <v>324</v>
      </c>
      <c r="O284" s="14" t="s">
        <v>817</v>
      </c>
      <c r="P284" s="14" t="s">
        <v>817</v>
      </c>
      <c r="Q284" s="22" t="s">
        <v>326</v>
      </c>
      <c r="R284" s="14" t="s">
        <v>36</v>
      </c>
      <c r="S284" s="23">
        <f t="shared" si="276"/>
        <v>822860.82000000007</v>
      </c>
      <c r="T284" s="23">
        <v>663565.56000000006</v>
      </c>
      <c r="U284" s="23">
        <v>159295.26</v>
      </c>
      <c r="V284" s="23">
        <f t="shared" si="274"/>
        <v>156923.62</v>
      </c>
      <c r="W284" s="23">
        <v>117099.8</v>
      </c>
      <c r="X284" s="23">
        <v>39823.82</v>
      </c>
      <c r="Y284" s="23">
        <f t="shared" si="277"/>
        <v>0</v>
      </c>
      <c r="Z284" s="23"/>
      <c r="AA284" s="23"/>
      <c r="AB284" s="23">
        <f t="shared" si="286"/>
        <v>19995.55</v>
      </c>
      <c r="AC284" s="23">
        <v>15931.91</v>
      </c>
      <c r="AD284" s="23">
        <v>4063.64</v>
      </c>
      <c r="AE284" s="23">
        <f t="shared" si="285"/>
        <v>999779.99000000011</v>
      </c>
      <c r="AF284" s="23">
        <v>0</v>
      </c>
      <c r="AG284" s="26">
        <f t="shared" si="278"/>
        <v>999779.99000000011</v>
      </c>
      <c r="AH284" s="27" t="s">
        <v>585</v>
      </c>
      <c r="AI284" s="28" t="s">
        <v>1065</v>
      </c>
      <c r="AJ284" s="29">
        <f>115253.85+83737.14+92702.34+29518.18+84169.97</f>
        <v>405381.48</v>
      </c>
      <c r="AK284" s="29">
        <f>18935.29+25587.45+13802.72+159.94</f>
        <v>58485.400000000009</v>
      </c>
    </row>
    <row r="285" spans="1:37" ht="409.5" x14ac:dyDescent="0.25">
      <c r="A285" s="14">
        <v>281</v>
      </c>
      <c r="B285" s="13">
        <v>111320</v>
      </c>
      <c r="C285" s="8">
        <v>132</v>
      </c>
      <c r="D285" s="14" t="s">
        <v>1074</v>
      </c>
      <c r="E285" s="18" t="s">
        <v>165</v>
      </c>
      <c r="F285" s="16" t="s">
        <v>322</v>
      </c>
      <c r="G285" s="219" t="s">
        <v>556</v>
      </c>
      <c r="H285" s="219" t="s">
        <v>557</v>
      </c>
      <c r="I285" s="18" t="s">
        <v>422</v>
      </c>
      <c r="J285" s="19" t="s">
        <v>558</v>
      </c>
      <c r="K285" s="20">
        <v>43258</v>
      </c>
      <c r="L285" s="32">
        <v>43745</v>
      </c>
      <c r="M285" s="21">
        <f t="shared" si="273"/>
        <v>82.304187096462158</v>
      </c>
      <c r="N285" s="14" t="s">
        <v>324</v>
      </c>
      <c r="O285" s="14" t="s">
        <v>312</v>
      </c>
      <c r="P285" s="14" t="s">
        <v>541</v>
      </c>
      <c r="Q285" s="22" t="s">
        <v>326</v>
      </c>
      <c r="R285" s="14" t="s">
        <v>36</v>
      </c>
      <c r="S285" s="23">
        <f t="shared" si="276"/>
        <v>745773.49</v>
      </c>
      <c r="T285" s="23">
        <v>601401.34</v>
      </c>
      <c r="U285" s="23">
        <v>144372.15</v>
      </c>
      <c r="V285" s="23">
        <f t="shared" si="274"/>
        <v>142222.68</v>
      </c>
      <c r="W285" s="23">
        <v>106129.65</v>
      </c>
      <c r="X285" s="23">
        <v>36093.03</v>
      </c>
      <c r="Y285" s="23">
        <f t="shared" si="277"/>
        <v>0</v>
      </c>
      <c r="Z285" s="23"/>
      <c r="AA285" s="23"/>
      <c r="AB285" s="23">
        <f t="shared" si="286"/>
        <v>18122.359700000001</v>
      </c>
      <c r="AC285" s="23">
        <v>14439.398999999999</v>
      </c>
      <c r="AD285" s="23">
        <v>3682.9607000000001</v>
      </c>
      <c r="AE285" s="23">
        <f t="shared" si="285"/>
        <v>906118.52969999996</v>
      </c>
      <c r="AF285" s="23"/>
      <c r="AG285" s="26">
        <f t="shared" si="278"/>
        <v>906118.52969999996</v>
      </c>
      <c r="AH285" s="27" t="s">
        <v>585</v>
      </c>
      <c r="AI285" s="28"/>
      <c r="AJ285" s="29">
        <f>218312.37+90611.85+214.38+90611.85+7774.08+90611.85</f>
        <v>498136.38</v>
      </c>
      <c r="AK285" s="29">
        <f>23379.78+18253.47+17321.01+18762.68</f>
        <v>77716.94</v>
      </c>
    </row>
    <row r="286" spans="1:37" ht="220.5" x14ac:dyDescent="0.25">
      <c r="A286" s="12">
        <v>282</v>
      </c>
      <c r="B286" s="13">
        <v>110527</v>
      </c>
      <c r="C286" s="8">
        <v>353</v>
      </c>
      <c r="D286" s="14" t="s">
        <v>1320</v>
      </c>
      <c r="E286" s="18" t="s">
        <v>165</v>
      </c>
      <c r="F286" s="16" t="s">
        <v>322</v>
      </c>
      <c r="G286" s="219" t="s">
        <v>559</v>
      </c>
      <c r="H286" s="219" t="s">
        <v>560</v>
      </c>
      <c r="I286" s="18" t="s">
        <v>561</v>
      </c>
      <c r="J286" s="19" t="s">
        <v>562</v>
      </c>
      <c r="K286" s="20">
        <v>43258</v>
      </c>
      <c r="L286" s="32">
        <v>43745</v>
      </c>
      <c r="M286" s="21">
        <f t="shared" si="273"/>
        <v>82.304183804307399</v>
      </c>
      <c r="N286" s="14" t="s">
        <v>324</v>
      </c>
      <c r="O286" s="14" t="s">
        <v>312</v>
      </c>
      <c r="P286" s="14" t="s">
        <v>312</v>
      </c>
      <c r="Q286" s="22" t="s">
        <v>326</v>
      </c>
      <c r="R286" s="14" t="s">
        <v>36</v>
      </c>
      <c r="S286" s="23">
        <f t="shared" si="276"/>
        <v>797101.36999999988</v>
      </c>
      <c r="T286" s="23">
        <v>642792.81999999995</v>
      </c>
      <c r="U286" s="23">
        <v>154308.54999999999</v>
      </c>
      <c r="V286" s="23">
        <f t="shared" si="274"/>
        <v>152011.18</v>
      </c>
      <c r="W286" s="23">
        <v>113434.03</v>
      </c>
      <c r="X286" s="23">
        <v>38577.15</v>
      </c>
      <c r="Y286" s="23">
        <f t="shared" si="277"/>
        <v>0</v>
      </c>
      <c r="Z286" s="23"/>
      <c r="AA286" s="23"/>
      <c r="AB286" s="23">
        <f t="shared" si="286"/>
        <v>19369.649999999998</v>
      </c>
      <c r="AC286" s="23">
        <v>15433.21</v>
      </c>
      <c r="AD286" s="23">
        <v>3936.44</v>
      </c>
      <c r="AE286" s="23">
        <f t="shared" si="285"/>
        <v>968482.19999999984</v>
      </c>
      <c r="AF286" s="23"/>
      <c r="AG286" s="26">
        <f t="shared" si="278"/>
        <v>968482.19999999984</v>
      </c>
      <c r="AH286" s="27" t="s">
        <v>585</v>
      </c>
      <c r="AI286" s="28"/>
      <c r="AJ286" s="29">
        <f>151069.39+15306.08+96848.21+24994.02+61062.29+191670.85</f>
        <v>540950.84</v>
      </c>
      <c r="AK286" s="29">
        <f>10340.24+21388.37+4766.48+30114.35+18083.14</f>
        <v>84692.58</v>
      </c>
    </row>
    <row r="287" spans="1:37" ht="283.5" x14ac:dyDescent="0.25">
      <c r="A287" s="12">
        <v>283</v>
      </c>
      <c r="B287" s="13">
        <v>112412</v>
      </c>
      <c r="C287" s="8">
        <v>269</v>
      </c>
      <c r="D287" s="14" t="s">
        <v>175</v>
      </c>
      <c r="E287" s="18" t="s">
        <v>165</v>
      </c>
      <c r="F287" s="16" t="s">
        <v>322</v>
      </c>
      <c r="G287" s="219" t="s">
        <v>563</v>
      </c>
      <c r="H287" s="219" t="s">
        <v>564</v>
      </c>
      <c r="I287" s="14" t="s">
        <v>565</v>
      </c>
      <c r="J287" s="19" t="s">
        <v>566</v>
      </c>
      <c r="K287" s="20">
        <v>43259</v>
      </c>
      <c r="L287" s="32">
        <v>43746</v>
      </c>
      <c r="M287" s="21">
        <f t="shared" si="273"/>
        <v>82.304183541065214</v>
      </c>
      <c r="N287" s="14" t="s">
        <v>324</v>
      </c>
      <c r="O287" s="14" t="s">
        <v>312</v>
      </c>
      <c r="P287" s="14" t="s">
        <v>312</v>
      </c>
      <c r="Q287" s="22" t="s">
        <v>326</v>
      </c>
      <c r="R287" s="14" t="s">
        <v>36</v>
      </c>
      <c r="S287" s="23">
        <f t="shared" si="276"/>
        <v>789670.74</v>
      </c>
      <c r="T287" s="23">
        <v>636800.65</v>
      </c>
      <c r="U287" s="23">
        <v>152870.09</v>
      </c>
      <c r="V287" s="23">
        <f t="shared" si="274"/>
        <v>150594.14000000001</v>
      </c>
      <c r="W287" s="23">
        <v>112376.61</v>
      </c>
      <c r="X287" s="23">
        <v>38217.53</v>
      </c>
      <c r="Y287" s="23">
        <f t="shared" si="277"/>
        <v>0</v>
      </c>
      <c r="Z287" s="23"/>
      <c r="AA287" s="23"/>
      <c r="AB287" s="23">
        <f t="shared" si="286"/>
        <v>19189.07</v>
      </c>
      <c r="AC287" s="23">
        <v>15289.33</v>
      </c>
      <c r="AD287" s="23">
        <v>3899.74</v>
      </c>
      <c r="AE287" s="23">
        <f t="shared" si="285"/>
        <v>959453.95</v>
      </c>
      <c r="AF287" s="23"/>
      <c r="AG287" s="26">
        <f t="shared" si="278"/>
        <v>959453.95</v>
      </c>
      <c r="AH287" s="27" t="s">
        <v>585</v>
      </c>
      <c r="AI287" s="28" t="s">
        <v>422</v>
      </c>
      <c r="AJ287" s="29">
        <f>95945.38+5019.44+25010.26+9763.75+114260.12+16124.2+16125.04</f>
        <v>282248.19</v>
      </c>
      <c r="AK287" s="29">
        <f>7941.36+4769.59+16667.83+3074.99+3075.12</f>
        <v>35528.890000000007</v>
      </c>
    </row>
    <row r="288" spans="1:37" ht="409.5" x14ac:dyDescent="0.25">
      <c r="A288" s="14">
        <v>284</v>
      </c>
      <c r="B288" s="13">
        <v>113035</v>
      </c>
      <c r="C288" s="8">
        <v>332</v>
      </c>
      <c r="D288" s="14" t="s">
        <v>170</v>
      </c>
      <c r="E288" s="18" t="s">
        <v>165</v>
      </c>
      <c r="F288" s="16" t="s">
        <v>322</v>
      </c>
      <c r="G288" s="71" t="s">
        <v>567</v>
      </c>
      <c r="H288" s="30" t="s">
        <v>568</v>
      </c>
      <c r="I288" s="18" t="s">
        <v>422</v>
      </c>
      <c r="J288" s="19" t="s">
        <v>569</v>
      </c>
      <c r="K288" s="20">
        <v>43258</v>
      </c>
      <c r="L288" s="32">
        <v>43745</v>
      </c>
      <c r="M288" s="21">
        <f t="shared" si="273"/>
        <v>82.304188758643321</v>
      </c>
      <c r="N288" s="14" t="s">
        <v>324</v>
      </c>
      <c r="O288" s="14" t="s">
        <v>312</v>
      </c>
      <c r="P288" s="14" t="s">
        <v>312</v>
      </c>
      <c r="Q288" s="22" t="s">
        <v>326</v>
      </c>
      <c r="R288" s="14" t="s">
        <v>36</v>
      </c>
      <c r="S288" s="23">
        <f t="shared" si="276"/>
        <v>813615.63</v>
      </c>
      <c r="T288" s="23">
        <v>656110.09</v>
      </c>
      <c r="U288" s="23">
        <v>157505.54</v>
      </c>
      <c r="V288" s="23">
        <f t="shared" si="274"/>
        <v>155160.46</v>
      </c>
      <c r="W288" s="23">
        <v>115784.14</v>
      </c>
      <c r="X288" s="23">
        <v>39376.32</v>
      </c>
      <c r="Y288" s="23">
        <f t="shared" si="277"/>
        <v>0</v>
      </c>
      <c r="Z288" s="23">
        <v>0</v>
      </c>
      <c r="AA288" s="23">
        <v>0</v>
      </c>
      <c r="AB288" s="23">
        <f t="shared" si="286"/>
        <v>19770.96</v>
      </c>
      <c r="AC288" s="23">
        <v>15752.94</v>
      </c>
      <c r="AD288" s="23">
        <v>4018.02</v>
      </c>
      <c r="AE288" s="23">
        <f t="shared" si="285"/>
        <v>988547.04999999993</v>
      </c>
      <c r="AF288" s="23">
        <v>0</v>
      </c>
      <c r="AG288" s="26">
        <f t="shared" si="278"/>
        <v>988547.04999999993</v>
      </c>
      <c r="AH288" s="27" t="s">
        <v>585</v>
      </c>
      <c r="AI288" s="28" t="s">
        <v>1211</v>
      </c>
      <c r="AJ288" s="29">
        <f>239002.19+7716.3+76236.18+77866.17-9062.7+110648.92+47012.15</f>
        <v>549419.21</v>
      </c>
      <c r="AK288" s="29">
        <f>26726.95+18388.45+12471.15+9062.7+10310.26+8965.45</f>
        <v>85924.959999999992</v>
      </c>
    </row>
    <row r="289" spans="1:37" ht="393.75" x14ac:dyDescent="0.25">
      <c r="A289" s="12">
        <v>285</v>
      </c>
      <c r="B289" s="13">
        <v>112992</v>
      </c>
      <c r="C289" s="67">
        <v>233</v>
      </c>
      <c r="D289" s="13" t="s">
        <v>170</v>
      </c>
      <c r="E289" s="18" t="s">
        <v>165</v>
      </c>
      <c r="F289" s="16" t="s">
        <v>322</v>
      </c>
      <c r="G289" s="224" t="s">
        <v>570</v>
      </c>
      <c r="H289" s="30" t="s">
        <v>571</v>
      </c>
      <c r="I289" s="18" t="s">
        <v>422</v>
      </c>
      <c r="J289" s="112" t="s">
        <v>572</v>
      </c>
      <c r="K289" s="20">
        <v>43259</v>
      </c>
      <c r="L289" s="32">
        <v>43746</v>
      </c>
      <c r="M289" s="21">
        <f t="shared" si="273"/>
        <v>82.304185804634827</v>
      </c>
      <c r="N289" s="14" t="s">
        <v>324</v>
      </c>
      <c r="O289" s="14" t="s">
        <v>312</v>
      </c>
      <c r="P289" s="14" t="s">
        <v>312</v>
      </c>
      <c r="Q289" s="22" t="s">
        <v>326</v>
      </c>
      <c r="R289" s="14" t="s">
        <v>36</v>
      </c>
      <c r="S289" s="23">
        <f t="shared" si="276"/>
        <v>413202.42000000004</v>
      </c>
      <c r="T289" s="23">
        <v>333211.76</v>
      </c>
      <c r="U289" s="23">
        <v>79990.66</v>
      </c>
      <c r="V289" s="23">
        <f t="shared" si="274"/>
        <v>78799.740000000005</v>
      </c>
      <c r="W289" s="23">
        <v>58802.080000000002</v>
      </c>
      <c r="X289" s="23">
        <v>19997.66</v>
      </c>
      <c r="Y289" s="23">
        <f t="shared" si="277"/>
        <v>0</v>
      </c>
      <c r="Z289" s="23"/>
      <c r="AA289" s="23"/>
      <c r="AB289" s="23">
        <f t="shared" si="286"/>
        <v>10040.86</v>
      </c>
      <c r="AC289" s="23">
        <v>8000.27</v>
      </c>
      <c r="AD289" s="23">
        <v>2040.59</v>
      </c>
      <c r="AE289" s="23">
        <f t="shared" si="285"/>
        <v>502043.02</v>
      </c>
      <c r="AF289" s="23">
        <v>96.29</v>
      </c>
      <c r="AG289" s="26">
        <f t="shared" si="278"/>
        <v>502139.31</v>
      </c>
      <c r="AH289" s="27" t="s">
        <v>585</v>
      </c>
      <c r="AI289" s="28" t="s">
        <v>422</v>
      </c>
      <c r="AJ289" s="29">
        <f>86645.8-7709.4+41322.63-2793.73+353.36+111180.69</f>
        <v>228999.35</v>
      </c>
      <c r="AK289" s="29">
        <f>6949.62+7709.4+2793.73+5015.84+11628.57</f>
        <v>34097.160000000003</v>
      </c>
    </row>
    <row r="290" spans="1:37" ht="315" x14ac:dyDescent="0.25">
      <c r="A290" s="12">
        <v>286</v>
      </c>
      <c r="B290" s="13">
        <v>109834</v>
      </c>
      <c r="C290" s="67">
        <v>202</v>
      </c>
      <c r="D290" s="13" t="s">
        <v>172</v>
      </c>
      <c r="E290" s="18" t="s">
        <v>165</v>
      </c>
      <c r="F290" s="16" t="s">
        <v>322</v>
      </c>
      <c r="G290" s="224" t="s">
        <v>577</v>
      </c>
      <c r="H290" s="30" t="s">
        <v>578</v>
      </c>
      <c r="I290" s="18" t="s">
        <v>422</v>
      </c>
      <c r="J290" s="112" t="s">
        <v>579</v>
      </c>
      <c r="K290" s="20">
        <v>43264</v>
      </c>
      <c r="L290" s="32">
        <v>43751</v>
      </c>
      <c r="M290" s="21">
        <f>S290/AE290*100</f>
        <v>82.304184351416225</v>
      </c>
      <c r="N290" s="14" t="s">
        <v>324</v>
      </c>
      <c r="O290" s="14" t="s">
        <v>312</v>
      </c>
      <c r="P290" s="14" t="s">
        <v>312</v>
      </c>
      <c r="Q290" s="22" t="s">
        <v>326</v>
      </c>
      <c r="R290" s="14" t="s">
        <v>36</v>
      </c>
      <c r="S290" s="23">
        <f>T290+U290</f>
        <v>757659.49</v>
      </c>
      <c r="T290" s="23">
        <v>610986.4</v>
      </c>
      <c r="U290" s="23">
        <v>146673.09</v>
      </c>
      <c r="V290" s="23">
        <f>W290+X290</f>
        <v>144489.43</v>
      </c>
      <c r="W290" s="23">
        <v>107821.13</v>
      </c>
      <c r="X290" s="23">
        <v>36668.300000000003</v>
      </c>
      <c r="Y290" s="23">
        <f>Z290+AA290</f>
        <v>0</v>
      </c>
      <c r="Z290" s="23"/>
      <c r="AA290" s="23"/>
      <c r="AB290" s="23">
        <f>AC290+AD290</f>
        <v>18411.190000000002</v>
      </c>
      <c r="AC290" s="23">
        <v>14669.52</v>
      </c>
      <c r="AD290" s="23">
        <v>3741.67</v>
      </c>
      <c r="AE290" s="23">
        <f>S290+V290+Y290+AB290</f>
        <v>920560.10999999987</v>
      </c>
      <c r="AF290" s="23">
        <v>0</v>
      </c>
      <c r="AG290" s="26">
        <f t="shared" si="278"/>
        <v>920560.10999999987</v>
      </c>
      <c r="AH290" s="27" t="s">
        <v>585</v>
      </c>
      <c r="AI290" s="28" t="s">
        <v>1393</v>
      </c>
      <c r="AJ290" s="29">
        <f>213672.38+10844.44+40106.9-4967.47+69008.21+10185.97-7830.59+48891.76</f>
        <v>379911.6</v>
      </c>
      <c r="AK290" s="29">
        <f>23567.39+2068.09+7666.13+12212.88+1942.51+7830.59</f>
        <v>55287.59</v>
      </c>
    </row>
    <row r="291" spans="1:37" ht="409.5" x14ac:dyDescent="0.25">
      <c r="A291" s="14">
        <v>287</v>
      </c>
      <c r="B291" s="13">
        <v>111613</v>
      </c>
      <c r="C291" s="67">
        <v>289</v>
      </c>
      <c r="D291" s="13" t="s">
        <v>1320</v>
      </c>
      <c r="E291" s="18" t="s">
        <v>165</v>
      </c>
      <c r="F291" s="16" t="s">
        <v>322</v>
      </c>
      <c r="G291" s="224" t="s">
        <v>580</v>
      </c>
      <c r="H291" s="30" t="s">
        <v>581</v>
      </c>
      <c r="I291" s="18" t="s">
        <v>582</v>
      </c>
      <c r="J291" s="112" t="s">
        <v>583</v>
      </c>
      <c r="K291" s="20">
        <v>43264</v>
      </c>
      <c r="L291" s="32">
        <v>43751</v>
      </c>
      <c r="M291" s="21">
        <f t="shared" ref="M291:M293" si="287">S291/AE291*100</f>
        <v>82.304185024184278</v>
      </c>
      <c r="N291" s="14" t="s">
        <v>324</v>
      </c>
      <c r="O291" s="14" t="s">
        <v>584</v>
      </c>
      <c r="P291" s="14" t="s">
        <v>584</v>
      </c>
      <c r="Q291" s="22" t="s">
        <v>326</v>
      </c>
      <c r="R291" s="14" t="s">
        <v>36</v>
      </c>
      <c r="S291" s="23">
        <f>T291+U291</f>
        <v>790560.66</v>
      </c>
      <c r="T291" s="23">
        <v>637518.30000000005</v>
      </c>
      <c r="U291" s="23">
        <v>153042.35999999999</v>
      </c>
      <c r="V291" s="23">
        <f>W291+X291</f>
        <v>150763.83000000002</v>
      </c>
      <c r="W291" s="23">
        <v>112503.22</v>
      </c>
      <c r="X291" s="23">
        <v>38260.61</v>
      </c>
      <c r="Y291" s="23">
        <v>0</v>
      </c>
      <c r="Z291" s="23"/>
      <c r="AA291" s="23"/>
      <c r="AB291" s="23">
        <f>AC291+AD291</f>
        <v>19210.7</v>
      </c>
      <c r="AC291" s="23">
        <v>15306.57</v>
      </c>
      <c r="AD291" s="23">
        <v>3904.13</v>
      </c>
      <c r="AE291" s="23">
        <f>S291+V291+Y291+AB291</f>
        <v>960535.19</v>
      </c>
      <c r="AF291" s="23">
        <v>67830</v>
      </c>
      <c r="AG291" s="26">
        <f t="shared" si="278"/>
        <v>1028365.19</v>
      </c>
      <c r="AH291" s="27" t="s">
        <v>585</v>
      </c>
      <c r="AI291" s="28" t="s">
        <v>422</v>
      </c>
      <c r="AJ291" s="29">
        <f>151237.06+59857.57+64477.1+31001.93+68841.22+91071.02</f>
        <v>466485.9</v>
      </c>
      <c r="AK291" s="29">
        <f>10523.78+11415.13+12296.1+5912.22+30496.07</f>
        <v>70643.3</v>
      </c>
    </row>
    <row r="292" spans="1:37" ht="299.25" x14ac:dyDescent="0.25">
      <c r="A292" s="12">
        <v>288</v>
      </c>
      <c r="B292" s="13">
        <v>112219</v>
      </c>
      <c r="C292" s="67">
        <v>274</v>
      </c>
      <c r="D292" s="13" t="s">
        <v>175</v>
      </c>
      <c r="E292" s="18" t="s">
        <v>165</v>
      </c>
      <c r="F292" s="16" t="s">
        <v>322</v>
      </c>
      <c r="G292" s="219" t="s">
        <v>590</v>
      </c>
      <c r="H292" s="30" t="s">
        <v>591</v>
      </c>
      <c r="I292" s="18" t="s">
        <v>592</v>
      </c>
      <c r="J292" s="112" t="s">
        <v>595</v>
      </c>
      <c r="K292" s="20">
        <v>43262</v>
      </c>
      <c r="L292" s="32">
        <v>43749</v>
      </c>
      <c r="M292" s="21">
        <f t="shared" si="287"/>
        <v>82.30418549066529</v>
      </c>
      <c r="N292" s="14" t="s">
        <v>324</v>
      </c>
      <c r="O292" s="14" t="s">
        <v>593</v>
      </c>
      <c r="P292" s="14" t="s">
        <v>594</v>
      </c>
      <c r="Q292" s="22" t="s">
        <v>326</v>
      </c>
      <c r="R292" s="14" t="s">
        <v>36</v>
      </c>
      <c r="S292" s="23">
        <f t="shared" ref="S292:S360" si="288">T292+U292</f>
        <v>796961.1399999999</v>
      </c>
      <c r="T292" s="23">
        <v>642679.71</v>
      </c>
      <c r="U292" s="23">
        <v>154281.43</v>
      </c>
      <c r="V292" s="23">
        <f t="shared" ref="V292:V360" si="289">W292+X292</f>
        <v>151984.41</v>
      </c>
      <c r="W292" s="23">
        <v>113414.08</v>
      </c>
      <c r="X292" s="23">
        <v>38570.33</v>
      </c>
      <c r="Y292" s="23">
        <f t="shared" ref="Y292" si="290">Z292+AA292</f>
        <v>0</v>
      </c>
      <c r="Z292" s="23"/>
      <c r="AA292" s="23"/>
      <c r="AB292" s="23">
        <f t="shared" ref="AB292:AB293" si="291">AC292+AD292</f>
        <v>19366.25</v>
      </c>
      <c r="AC292" s="23">
        <v>15430.49</v>
      </c>
      <c r="AD292" s="23">
        <v>3935.76</v>
      </c>
      <c r="AE292" s="23">
        <f t="shared" ref="AE292:AE360" si="292">S292+V292+Y292+AB292</f>
        <v>968311.79999999993</v>
      </c>
      <c r="AF292" s="23"/>
      <c r="AG292" s="26">
        <f t="shared" si="278"/>
        <v>968311.79999999993</v>
      </c>
      <c r="AH292" s="27" t="s">
        <v>585</v>
      </c>
      <c r="AI292" s="28" t="s">
        <v>422</v>
      </c>
      <c r="AJ292" s="29">
        <f>191558.95+82810.85-11941.24+189135.5</f>
        <v>451564.06000000006</v>
      </c>
      <c r="AK292" s="29">
        <f>18065.03+15792.44+11941.24+3307.22+18543.36</f>
        <v>67649.290000000008</v>
      </c>
    </row>
    <row r="293" spans="1:37" ht="173.25" x14ac:dyDescent="0.25">
      <c r="A293" s="12">
        <v>289</v>
      </c>
      <c r="B293" s="13">
        <v>111981</v>
      </c>
      <c r="C293" s="67">
        <v>264</v>
      </c>
      <c r="D293" s="13" t="s">
        <v>175</v>
      </c>
      <c r="E293" s="18" t="s">
        <v>165</v>
      </c>
      <c r="F293" s="16" t="s">
        <v>322</v>
      </c>
      <c r="G293" s="219" t="s">
        <v>596</v>
      </c>
      <c r="H293" s="30" t="s">
        <v>597</v>
      </c>
      <c r="I293" s="18" t="s">
        <v>598</v>
      </c>
      <c r="J293" s="112" t="s">
        <v>600</v>
      </c>
      <c r="K293" s="20">
        <v>43264</v>
      </c>
      <c r="L293" s="32">
        <v>43751</v>
      </c>
      <c r="M293" s="21">
        <f t="shared" si="287"/>
        <v>82.304187524210803</v>
      </c>
      <c r="N293" s="14" t="s">
        <v>324</v>
      </c>
      <c r="O293" s="14" t="s">
        <v>599</v>
      </c>
      <c r="P293" s="14" t="s">
        <v>421</v>
      </c>
      <c r="Q293" s="22" t="s">
        <v>326</v>
      </c>
      <c r="R293" s="14" t="s">
        <v>36</v>
      </c>
      <c r="S293" s="23">
        <f t="shared" si="288"/>
        <v>771066.18</v>
      </c>
      <c r="T293" s="23">
        <v>621797.65</v>
      </c>
      <c r="U293" s="23">
        <v>149268.53</v>
      </c>
      <c r="V293" s="23">
        <f t="shared" si="289"/>
        <v>147046.1</v>
      </c>
      <c r="W293" s="23">
        <v>109729</v>
      </c>
      <c r="X293" s="23">
        <v>37317.1</v>
      </c>
      <c r="Y293" s="23">
        <f t="shared" ref="Y293:Y360" si="293">Z293+AA293</f>
        <v>0</v>
      </c>
      <c r="Z293" s="23"/>
      <c r="AA293" s="23"/>
      <c r="AB293" s="23">
        <f t="shared" si="291"/>
        <v>18736.989999999998</v>
      </c>
      <c r="AC293" s="23">
        <v>14929.14</v>
      </c>
      <c r="AD293" s="23">
        <v>3807.85</v>
      </c>
      <c r="AE293" s="23">
        <f t="shared" si="292"/>
        <v>936849.27</v>
      </c>
      <c r="AF293" s="23"/>
      <c r="AG293" s="26">
        <f t="shared" si="278"/>
        <v>936849.27</v>
      </c>
      <c r="AH293" s="27" t="s">
        <v>585</v>
      </c>
      <c r="AI293" s="28" t="s">
        <v>422</v>
      </c>
      <c r="AJ293" s="29">
        <f>90931+53329.56+57210.46+106559.17+87755.66-53.91+41459.09+61861.47</f>
        <v>499052.5</v>
      </c>
      <c r="AK293" s="29">
        <f>10170.21+10910.32+23029.37+14027.44+53.91+7906.45+11797.29</f>
        <v>77894.989999999991</v>
      </c>
    </row>
    <row r="294" spans="1:37" ht="409.5" x14ac:dyDescent="0.25">
      <c r="A294" s="14">
        <v>290</v>
      </c>
      <c r="B294" s="13">
        <v>113037</v>
      </c>
      <c r="C294" s="67">
        <v>280</v>
      </c>
      <c r="D294" s="13" t="s">
        <v>1074</v>
      </c>
      <c r="E294" s="18" t="s">
        <v>165</v>
      </c>
      <c r="F294" s="16" t="s">
        <v>322</v>
      </c>
      <c r="G294" s="219" t="s">
        <v>614</v>
      </c>
      <c r="H294" s="30" t="s">
        <v>612</v>
      </c>
      <c r="I294" s="18" t="s">
        <v>613</v>
      </c>
      <c r="J294" s="112" t="s">
        <v>615</v>
      </c>
      <c r="K294" s="20">
        <v>43269</v>
      </c>
      <c r="L294" s="32">
        <v>43756</v>
      </c>
      <c r="M294" s="21">
        <f t="shared" ref="M294:M360" si="294">S294/AE294*100</f>
        <v>82.304185659324261</v>
      </c>
      <c r="N294" s="14" t="s">
        <v>324</v>
      </c>
      <c r="O294" s="14" t="s">
        <v>156</v>
      </c>
      <c r="P294" s="14" t="s">
        <v>156</v>
      </c>
      <c r="Q294" s="22" t="s">
        <v>326</v>
      </c>
      <c r="R294" s="14" t="s">
        <v>36</v>
      </c>
      <c r="S294" s="23">
        <f t="shared" si="288"/>
        <v>812766.5</v>
      </c>
      <c r="T294" s="23">
        <v>655425.36</v>
      </c>
      <c r="U294" s="23">
        <v>157341.14000000001</v>
      </c>
      <c r="V294" s="23">
        <f t="shared" si="289"/>
        <v>154998.59</v>
      </c>
      <c r="W294" s="23">
        <v>115663.31</v>
      </c>
      <c r="X294" s="23">
        <v>39335.279999999999</v>
      </c>
      <c r="Y294" s="23">
        <f t="shared" si="293"/>
        <v>0</v>
      </c>
      <c r="Z294" s="23"/>
      <c r="AA294" s="23"/>
      <c r="AB294" s="23">
        <f t="shared" ref="AB294:AB360" si="295">AC294+AD294</f>
        <v>19750.3</v>
      </c>
      <c r="AC294" s="23">
        <v>15736.51</v>
      </c>
      <c r="AD294" s="23">
        <v>4013.79</v>
      </c>
      <c r="AE294" s="23">
        <f t="shared" si="292"/>
        <v>987515.39</v>
      </c>
      <c r="AF294" s="23"/>
      <c r="AG294" s="26">
        <f t="shared" si="278"/>
        <v>987515.39</v>
      </c>
      <c r="AH294" s="27" t="s">
        <v>585</v>
      </c>
      <c r="AI294" s="28" t="s">
        <v>422</v>
      </c>
      <c r="AJ294" s="29">
        <f>98751.53+76285.17-2339.65+174517.47</f>
        <v>347214.52</v>
      </c>
      <c r="AK294" s="29">
        <f>14547.96+18386.23+14448.94</f>
        <v>47383.130000000005</v>
      </c>
    </row>
    <row r="295" spans="1:37" ht="141.75" x14ac:dyDescent="0.25">
      <c r="A295" s="12">
        <v>291</v>
      </c>
      <c r="B295" s="13">
        <v>111983</v>
      </c>
      <c r="C295" s="67">
        <v>238</v>
      </c>
      <c r="D295" s="13" t="s">
        <v>170</v>
      </c>
      <c r="E295" s="18" t="s">
        <v>165</v>
      </c>
      <c r="F295" s="16" t="s">
        <v>322</v>
      </c>
      <c r="G295" s="219" t="s">
        <v>616</v>
      </c>
      <c r="H295" s="30" t="s">
        <v>617</v>
      </c>
      <c r="I295" s="18" t="s">
        <v>422</v>
      </c>
      <c r="J295" s="112" t="s">
        <v>618</v>
      </c>
      <c r="K295" s="20">
        <v>43270</v>
      </c>
      <c r="L295" s="32">
        <v>43757</v>
      </c>
      <c r="M295" s="21">
        <f t="shared" si="294"/>
        <v>82.304184684756876</v>
      </c>
      <c r="N295" s="14" t="s">
        <v>324</v>
      </c>
      <c r="O295" s="14" t="s">
        <v>156</v>
      </c>
      <c r="P295" s="14" t="s">
        <v>156</v>
      </c>
      <c r="Q295" s="22" t="s">
        <v>326</v>
      </c>
      <c r="R295" s="14" t="s">
        <v>36</v>
      </c>
      <c r="S295" s="23">
        <f t="shared" si="288"/>
        <v>768299.49</v>
      </c>
      <c r="T295" s="23">
        <v>619566.6</v>
      </c>
      <c r="U295" s="23">
        <v>148732.89000000001</v>
      </c>
      <c r="V295" s="23">
        <f t="shared" si="289"/>
        <v>146518.51</v>
      </c>
      <c r="W295" s="23">
        <v>109335.29</v>
      </c>
      <c r="X295" s="23">
        <v>37183.22</v>
      </c>
      <c r="Y295" s="23">
        <f t="shared" si="293"/>
        <v>0</v>
      </c>
      <c r="Z295" s="23"/>
      <c r="AA295" s="23"/>
      <c r="AB295" s="23">
        <f t="shared" si="295"/>
        <v>18669.759999999998</v>
      </c>
      <c r="AC295" s="23">
        <v>14875.55</v>
      </c>
      <c r="AD295" s="23">
        <v>3794.21</v>
      </c>
      <c r="AE295" s="23">
        <f t="shared" si="292"/>
        <v>933487.76</v>
      </c>
      <c r="AF295" s="23">
        <v>0</v>
      </c>
      <c r="AG295" s="26">
        <f t="shared" si="278"/>
        <v>933487.76</v>
      </c>
      <c r="AH295" s="27" t="s">
        <v>585</v>
      </c>
      <c r="AI295" s="28" t="s">
        <v>422</v>
      </c>
      <c r="AJ295" s="29">
        <f>81982.44+68790.33-12682.51+93000-3589.63+93000</f>
        <v>320500.63</v>
      </c>
      <c r="AK295" s="29">
        <f>11017.56+15316.94+17051</f>
        <v>43385.5</v>
      </c>
    </row>
    <row r="296" spans="1:37" ht="393.75" x14ac:dyDescent="0.25">
      <c r="A296" s="12">
        <v>292</v>
      </c>
      <c r="B296" s="225">
        <v>115759</v>
      </c>
      <c r="C296" s="226">
        <v>400</v>
      </c>
      <c r="D296" s="225" t="s">
        <v>170</v>
      </c>
      <c r="E296" s="227" t="s">
        <v>165</v>
      </c>
      <c r="F296" s="228" t="s">
        <v>445</v>
      </c>
      <c r="G296" s="229" t="s">
        <v>619</v>
      </c>
      <c r="H296" s="230" t="s">
        <v>620</v>
      </c>
      <c r="I296" s="227" t="s">
        <v>621</v>
      </c>
      <c r="J296" s="231" t="s">
        <v>622</v>
      </c>
      <c r="K296" s="232">
        <v>43270</v>
      </c>
      <c r="L296" s="32">
        <v>44062</v>
      </c>
      <c r="M296" s="233">
        <f t="shared" si="294"/>
        <v>83.983862848432537</v>
      </c>
      <c r="N296" s="234" t="s">
        <v>324</v>
      </c>
      <c r="O296" s="234" t="s">
        <v>156</v>
      </c>
      <c r="P296" s="234" t="s">
        <v>156</v>
      </c>
      <c r="Q296" s="235" t="s">
        <v>157</v>
      </c>
      <c r="R296" s="234" t="s">
        <v>36</v>
      </c>
      <c r="S296" s="23">
        <f t="shared" si="288"/>
        <v>11840890.029999999</v>
      </c>
      <c r="T296" s="23">
        <v>9548646.1699999999</v>
      </c>
      <c r="U296" s="23">
        <v>2292243.86</v>
      </c>
      <c r="V296" s="23">
        <f t="shared" si="289"/>
        <v>0</v>
      </c>
      <c r="W296" s="23"/>
      <c r="X296" s="23"/>
      <c r="Y296" s="23">
        <f t="shared" si="293"/>
        <v>2258116.17</v>
      </c>
      <c r="Z296" s="23">
        <v>1685055.21</v>
      </c>
      <c r="AA296" s="23">
        <v>573060.96</v>
      </c>
      <c r="AB296" s="23">
        <f t="shared" si="295"/>
        <v>0</v>
      </c>
      <c r="AC296" s="23"/>
      <c r="AD296" s="23"/>
      <c r="AE296" s="23">
        <f t="shared" si="292"/>
        <v>14099006.199999999</v>
      </c>
      <c r="AF296" s="23"/>
      <c r="AG296" s="26">
        <f t="shared" si="278"/>
        <v>14099006.199999999</v>
      </c>
      <c r="AH296" s="27" t="s">
        <v>585</v>
      </c>
      <c r="AI296" s="28" t="s">
        <v>185</v>
      </c>
      <c r="AJ296" s="29">
        <f>821485.68+1164341.89+225959.67+840790.22+382.88+832032.46</f>
        <v>3884992.8</v>
      </c>
      <c r="AK296" s="29">
        <v>0</v>
      </c>
    </row>
    <row r="297" spans="1:37" ht="220.5" x14ac:dyDescent="0.25">
      <c r="A297" s="14">
        <v>293</v>
      </c>
      <c r="B297" s="13">
        <v>111409</v>
      </c>
      <c r="C297" s="67">
        <v>193</v>
      </c>
      <c r="D297" s="13" t="s">
        <v>171</v>
      </c>
      <c r="E297" s="18" t="s">
        <v>165</v>
      </c>
      <c r="F297" s="16" t="s">
        <v>322</v>
      </c>
      <c r="G297" s="236" t="s">
        <v>628</v>
      </c>
      <c r="H297" s="237" t="s">
        <v>627</v>
      </c>
      <c r="I297" s="18" t="s">
        <v>422</v>
      </c>
      <c r="J297" s="112" t="s">
        <v>629</v>
      </c>
      <c r="K297" s="20">
        <v>43271</v>
      </c>
      <c r="L297" s="32">
        <v>43758</v>
      </c>
      <c r="M297" s="21">
        <f t="shared" si="294"/>
        <v>82.304194845785176</v>
      </c>
      <c r="N297" s="14" t="s">
        <v>324</v>
      </c>
      <c r="O297" s="70" t="s">
        <v>156</v>
      </c>
      <c r="P297" s="70" t="s">
        <v>156</v>
      </c>
      <c r="Q297" s="22" t="s">
        <v>326</v>
      </c>
      <c r="R297" s="14" t="s">
        <v>36</v>
      </c>
      <c r="S297" s="238">
        <f>T297+U297</f>
        <v>813056.82000000007</v>
      </c>
      <c r="T297" s="23">
        <v>655659.42000000004</v>
      </c>
      <c r="U297" s="23">
        <v>157397.4</v>
      </c>
      <c r="V297" s="23">
        <f t="shared" si="289"/>
        <v>155053.85</v>
      </c>
      <c r="W297" s="23">
        <v>115704.6</v>
      </c>
      <c r="X297" s="23">
        <v>39349.25</v>
      </c>
      <c r="Y297" s="23">
        <f t="shared" si="293"/>
        <v>0</v>
      </c>
      <c r="Z297" s="23"/>
      <c r="AA297" s="23"/>
      <c r="AB297" s="23">
        <f t="shared" si="295"/>
        <v>19757.350000000002</v>
      </c>
      <c r="AC297" s="23">
        <v>15742.12</v>
      </c>
      <c r="AD297" s="23">
        <v>4015.23</v>
      </c>
      <c r="AE297" s="23">
        <f>S297+V297+Y297+AB297</f>
        <v>987868.02</v>
      </c>
      <c r="AF297" s="23">
        <v>0</v>
      </c>
      <c r="AG297" s="26">
        <f t="shared" si="278"/>
        <v>987868.02</v>
      </c>
      <c r="AH297" s="27" t="s">
        <v>585</v>
      </c>
      <c r="AI297" s="28" t="s">
        <v>1392</v>
      </c>
      <c r="AJ297" s="29">
        <f>104036.05+83299.38+40723.7+153044.06+23273.36+53101.78+28583.42</f>
        <v>486061.74999999994</v>
      </c>
      <c r="AK297" s="29">
        <f>16886.65+26605.33+10347.13+4438.35+10126.8+5451</f>
        <v>73855.259999999995</v>
      </c>
    </row>
    <row r="298" spans="1:37" ht="141.75" x14ac:dyDescent="0.25">
      <c r="A298" s="12">
        <v>294</v>
      </c>
      <c r="B298" s="13">
        <v>118676</v>
      </c>
      <c r="C298" s="67">
        <v>432</v>
      </c>
      <c r="D298" s="13" t="s">
        <v>171</v>
      </c>
      <c r="E298" s="18" t="s">
        <v>1083</v>
      </c>
      <c r="F298" s="16" t="s">
        <v>630</v>
      </c>
      <c r="G298" s="224" t="s">
        <v>631</v>
      </c>
      <c r="H298" s="30" t="s">
        <v>632</v>
      </c>
      <c r="I298" s="18" t="s">
        <v>633</v>
      </c>
      <c r="J298" s="112" t="s">
        <v>634</v>
      </c>
      <c r="K298" s="20">
        <v>43270</v>
      </c>
      <c r="L298" s="32">
        <v>43818</v>
      </c>
      <c r="M298" s="21">
        <f t="shared" si="294"/>
        <v>83.983861980210861</v>
      </c>
      <c r="N298" s="14" t="s">
        <v>324</v>
      </c>
      <c r="O298" s="70" t="s">
        <v>156</v>
      </c>
      <c r="P298" s="70" t="s">
        <v>156</v>
      </c>
      <c r="Q298" s="22" t="s">
        <v>157</v>
      </c>
      <c r="R298" s="14" t="s">
        <v>36</v>
      </c>
      <c r="S298" s="23">
        <f t="shared" si="288"/>
        <v>3030823.88</v>
      </c>
      <c r="T298" s="23">
        <v>2444095.39</v>
      </c>
      <c r="U298" s="23">
        <v>586728.49</v>
      </c>
      <c r="V298" s="23">
        <f t="shared" si="289"/>
        <v>0</v>
      </c>
      <c r="W298" s="23"/>
      <c r="X298" s="23"/>
      <c r="Y298" s="23">
        <f t="shared" si="293"/>
        <v>577993.11</v>
      </c>
      <c r="Z298" s="23">
        <v>431310.99</v>
      </c>
      <c r="AA298" s="23">
        <v>146682.12</v>
      </c>
      <c r="AB298" s="23">
        <f t="shared" si="295"/>
        <v>0</v>
      </c>
      <c r="AC298" s="23"/>
      <c r="AD298" s="23"/>
      <c r="AE298" s="23">
        <f t="shared" si="292"/>
        <v>3608816.9899999998</v>
      </c>
      <c r="AF298" s="23">
        <v>0</v>
      </c>
      <c r="AG298" s="26">
        <f t="shared" si="278"/>
        <v>3608816.9899999998</v>
      </c>
      <c r="AH298" s="27" t="s">
        <v>585</v>
      </c>
      <c r="AI298" s="28" t="s">
        <v>185</v>
      </c>
      <c r="AJ298" s="29">
        <f>43102.2+366371.99+199.89+120510.92</f>
        <v>530185</v>
      </c>
      <c r="AK298" s="29">
        <v>0</v>
      </c>
    </row>
    <row r="299" spans="1:37" ht="409.5" x14ac:dyDescent="0.25">
      <c r="A299" s="12">
        <v>295</v>
      </c>
      <c r="B299" s="13">
        <v>111610</v>
      </c>
      <c r="C299" s="67">
        <v>374</v>
      </c>
      <c r="D299" s="13" t="s">
        <v>168</v>
      </c>
      <c r="E299" s="18" t="s">
        <v>1084</v>
      </c>
      <c r="F299" s="16" t="s">
        <v>635</v>
      </c>
      <c r="G299" s="224" t="s">
        <v>637</v>
      </c>
      <c r="H299" s="30" t="s">
        <v>636</v>
      </c>
      <c r="I299" s="18" t="s">
        <v>638</v>
      </c>
      <c r="J299" s="112" t="s">
        <v>642</v>
      </c>
      <c r="K299" s="20">
        <v>43272</v>
      </c>
      <c r="L299" s="32">
        <v>43637</v>
      </c>
      <c r="M299" s="21">
        <f t="shared" si="294"/>
        <v>82.30418774976819</v>
      </c>
      <c r="N299" s="14" t="s">
        <v>324</v>
      </c>
      <c r="O299" s="70" t="s">
        <v>156</v>
      </c>
      <c r="P299" s="70" t="s">
        <v>156</v>
      </c>
      <c r="Q299" s="22" t="s">
        <v>326</v>
      </c>
      <c r="R299" s="14" t="s">
        <v>36</v>
      </c>
      <c r="S299" s="23">
        <f t="shared" si="288"/>
        <v>3413208.46</v>
      </c>
      <c r="T299" s="23">
        <v>2752455.25</v>
      </c>
      <c r="U299" s="23">
        <v>660753.21</v>
      </c>
      <c r="V299" s="23">
        <f t="shared" si="289"/>
        <v>650915.6</v>
      </c>
      <c r="W299" s="23">
        <v>485727.33</v>
      </c>
      <c r="X299" s="23">
        <v>165188.26999999999</v>
      </c>
      <c r="Y299" s="23">
        <f t="shared" si="293"/>
        <v>0</v>
      </c>
      <c r="Z299" s="23">
        <v>0</v>
      </c>
      <c r="AA299" s="23">
        <v>0</v>
      </c>
      <c r="AB299" s="23">
        <f t="shared" si="295"/>
        <v>82941.300000000017</v>
      </c>
      <c r="AC299" s="23">
        <v>66085.326136337957</v>
      </c>
      <c r="AD299" s="23">
        <v>16855.97386366206</v>
      </c>
      <c r="AE299" s="23">
        <f>S299+V299+Y299+AB299</f>
        <v>4147065.36</v>
      </c>
      <c r="AF299" s="23">
        <v>0</v>
      </c>
      <c r="AG299" s="26">
        <f t="shared" si="278"/>
        <v>4147065.36</v>
      </c>
      <c r="AH299" s="27" t="s">
        <v>585</v>
      </c>
      <c r="AI299" s="28" t="s">
        <v>1131</v>
      </c>
      <c r="AJ299" s="29">
        <f>413506.52+39634.08+203862.73+22675.21+238112.3-5677.61+315671.54+256839.5+48499.95</f>
        <v>1533124.22</v>
      </c>
      <c r="AK299" s="29">
        <f>51329.52+25659.99+79433+5677.61+44422.4+12020.11</f>
        <v>218542.63</v>
      </c>
    </row>
    <row r="300" spans="1:37" ht="141.75" x14ac:dyDescent="0.25">
      <c r="A300" s="14">
        <v>296</v>
      </c>
      <c r="B300" s="13">
        <v>110423</v>
      </c>
      <c r="C300" s="67">
        <v>207</v>
      </c>
      <c r="D300" s="13" t="s">
        <v>172</v>
      </c>
      <c r="E300" s="18" t="s">
        <v>165</v>
      </c>
      <c r="F300" s="16" t="s">
        <v>322</v>
      </c>
      <c r="G300" s="224" t="s">
        <v>639</v>
      </c>
      <c r="H300" s="239" t="s">
        <v>640</v>
      </c>
      <c r="I300" s="18" t="s">
        <v>422</v>
      </c>
      <c r="J300" s="112" t="s">
        <v>641</v>
      </c>
      <c r="K300" s="20">
        <v>43272</v>
      </c>
      <c r="L300" s="32">
        <v>43758</v>
      </c>
      <c r="M300" s="21">
        <f t="shared" si="294"/>
        <v>82.304186780774501</v>
      </c>
      <c r="N300" s="14" t="s">
        <v>324</v>
      </c>
      <c r="O300" s="14" t="s">
        <v>312</v>
      </c>
      <c r="P300" s="14" t="s">
        <v>312</v>
      </c>
      <c r="Q300" s="22" t="s">
        <v>326</v>
      </c>
      <c r="R300" s="14" t="s">
        <v>36</v>
      </c>
      <c r="S300" s="23">
        <f t="shared" si="288"/>
        <v>823039.16</v>
      </c>
      <c r="T300" s="23">
        <v>663709.38</v>
      </c>
      <c r="U300" s="23">
        <v>159329.78</v>
      </c>
      <c r="V300" s="23">
        <f>W300+X300</f>
        <v>156957.62</v>
      </c>
      <c r="W300" s="23">
        <v>117125.17</v>
      </c>
      <c r="X300" s="23">
        <v>39832.449999999997</v>
      </c>
      <c r="Y300" s="23">
        <f>Z300+AA300</f>
        <v>0</v>
      </c>
      <c r="Z300" s="23"/>
      <c r="AA300" s="23"/>
      <c r="AB300" s="23">
        <f t="shared" si="295"/>
        <v>19999.93</v>
      </c>
      <c r="AC300" s="23">
        <v>15935.4</v>
      </c>
      <c r="AD300" s="23">
        <v>4064.53</v>
      </c>
      <c r="AE300" s="23">
        <f t="shared" si="292"/>
        <v>999996.71000000008</v>
      </c>
      <c r="AF300" s="23">
        <v>0</v>
      </c>
      <c r="AG300" s="26">
        <f t="shared" si="278"/>
        <v>999996.71000000008</v>
      </c>
      <c r="AH300" s="27" t="s">
        <v>585</v>
      </c>
      <c r="AI300" s="28" t="s">
        <v>1403</v>
      </c>
      <c r="AJ300" s="29">
        <f>55440+153663.31-12607.53+78717.62+110523.84</f>
        <v>385737.24</v>
      </c>
      <c r="AK300" s="29">
        <f>20806.72+12607.53+21077.43</f>
        <v>54491.68</v>
      </c>
    </row>
    <row r="301" spans="1:37" ht="220.5" x14ac:dyDescent="0.25">
      <c r="A301" s="12">
        <v>297</v>
      </c>
      <c r="B301" s="13">
        <v>111199</v>
      </c>
      <c r="C301" s="67">
        <v>147</v>
      </c>
      <c r="D301" s="13" t="s">
        <v>1320</v>
      </c>
      <c r="E301" s="18" t="s">
        <v>165</v>
      </c>
      <c r="F301" s="16" t="s">
        <v>322</v>
      </c>
      <c r="G301" s="224" t="s">
        <v>686</v>
      </c>
      <c r="H301" s="30" t="s">
        <v>687</v>
      </c>
      <c r="I301" s="18" t="s">
        <v>688</v>
      </c>
      <c r="J301" s="112" t="s">
        <v>689</v>
      </c>
      <c r="K301" s="20">
        <v>43277</v>
      </c>
      <c r="L301" s="32">
        <v>44190</v>
      </c>
      <c r="M301" s="21">
        <f t="shared" si="294"/>
        <v>82.524995224288418</v>
      </c>
      <c r="N301" s="14" t="s">
        <v>324</v>
      </c>
      <c r="O301" s="14" t="s">
        <v>312</v>
      </c>
      <c r="P301" s="14" t="s">
        <v>312</v>
      </c>
      <c r="Q301" s="22" t="s">
        <v>326</v>
      </c>
      <c r="R301" s="14" t="s">
        <v>36</v>
      </c>
      <c r="S301" s="23">
        <f>T301+U301</f>
        <v>825126.99</v>
      </c>
      <c r="T301" s="23">
        <v>665393.03</v>
      </c>
      <c r="U301" s="23">
        <v>159733.96</v>
      </c>
      <c r="V301" s="23">
        <f t="shared" si="289"/>
        <v>154726.99</v>
      </c>
      <c r="W301" s="23">
        <v>115327.75</v>
      </c>
      <c r="X301" s="23">
        <v>39399.24</v>
      </c>
      <c r="Y301" s="23">
        <f>Z301+AA301</f>
        <v>0</v>
      </c>
      <c r="Z301" s="23">
        <v>0</v>
      </c>
      <c r="AA301" s="23">
        <v>0</v>
      </c>
      <c r="AB301" s="23">
        <f>AC301+AD301</f>
        <v>19997.02</v>
      </c>
      <c r="AC301" s="23">
        <v>15933.08</v>
      </c>
      <c r="AD301" s="23">
        <v>4063.94</v>
      </c>
      <c r="AE301" s="23">
        <f t="shared" si="292"/>
        <v>999851</v>
      </c>
      <c r="AF301" s="23">
        <v>0</v>
      </c>
      <c r="AG301" s="26">
        <f t="shared" si="278"/>
        <v>999851</v>
      </c>
      <c r="AH301" s="27" t="s">
        <v>585</v>
      </c>
      <c r="AI301" s="28" t="s">
        <v>185</v>
      </c>
      <c r="AJ301" s="29">
        <f>99985.1+89695.95+1370.47+76616.64+5407.01+89703.31</f>
        <v>362778.48</v>
      </c>
      <c r="AK301" s="29">
        <f>17105.45+14284.79+17404.21</f>
        <v>48794.45</v>
      </c>
    </row>
    <row r="302" spans="1:37" ht="299.25" x14ac:dyDescent="0.25">
      <c r="A302" s="12">
        <v>298</v>
      </c>
      <c r="B302" s="13">
        <v>109686</v>
      </c>
      <c r="C302" s="67">
        <v>122</v>
      </c>
      <c r="D302" s="13" t="s">
        <v>843</v>
      </c>
      <c r="E302" s="15" t="s">
        <v>968</v>
      </c>
      <c r="F302" s="16" t="s">
        <v>331</v>
      </c>
      <c r="G302" s="17" t="s">
        <v>652</v>
      </c>
      <c r="H302" s="30" t="s">
        <v>653</v>
      </c>
      <c r="I302" s="18" t="s">
        <v>422</v>
      </c>
      <c r="J302" s="112" t="s">
        <v>654</v>
      </c>
      <c r="K302" s="20">
        <v>43276</v>
      </c>
      <c r="L302" s="32">
        <v>43763</v>
      </c>
      <c r="M302" s="21">
        <f t="shared" si="294"/>
        <v>85.000000118226325</v>
      </c>
      <c r="N302" s="14">
        <v>2</v>
      </c>
      <c r="O302" s="14" t="s">
        <v>655</v>
      </c>
      <c r="P302" s="14" t="s">
        <v>655</v>
      </c>
      <c r="Q302" s="22" t="s">
        <v>212</v>
      </c>
      <c r="R302" s="14" t="s">
        <v>36</v>
      </c>
      <c r="S302" s="23">
        <f t="shared" si="288"/>
        <v>359480.02</v>
      </c>
      <c r="T302" s="23">
        <v>359480.02</v>
      </c>
      <c r="U302" s="23">
        <v>0</v>
      </c>
      <c r="V302" s="23">
        <f t="shared" si="289"/>
        <v>54979.3</v>
      </c>
      <c r="W302" s="23">
        <v>54979.3</v>
      </c>
      <c r="X302" s="23">
        <v>0</v>
      </c>
      <c r="Y302" s="23">
        <f t="shared" si="293"/>
        <v>8458.35</v>
      </c>
      <c r="Z302" s="23">
        <v>8458.35</v>
      </c>
      <c r="AA302" s="23">
        <v>0</v>
      </c>
      <c r="AB302" s="23">
        <f t="shared" si="295"/>
        <v>0</v>
      </c>
      <c r="AC302" s="23"/>
      <c r="AD302" s="23"/>
      <c r="AE302" s="23">
        <f t="shared" si="292"/>
        <v>422917.67</v>
      </c>
      <c r="AF302" s="23">
        <v>0</v>
      </c>
      <c r="AG302" s="26">
        <f t="shared" si="278"/>
        <v>422917.67</v>
      </c>
      <c r="AH302" s="27" t="s">
        <v>585</v>
      </c>
      <c r="AI302" s="28" t="s">
        <v>185</v>
      </c>
      <c r="AJ302" s="1">
        <f>31070.04+37860.62+76874</f>
        <v>145804.66</v>
      </c>
      <c r="AK302" s="29">
        <f>4751.89+5790.44+11757.2</f>
        <v>22299.53</v>
      </c>
    </row>
    <row r="303" spans="1:37" ht="409.5" x14ac:dyDescent="0.25">
      <c r="A303" s="14">
        <v>299</v>
      </c>
      <c r="B303" s="13">
        <v>111846</v>
      </c>
      <c r="C303" s="67">
        <v>165</v>
      </c>
      <c r="D303" s="13" t="s">
        <v>1074</v>
      </c>
      <c r="E303" s="18" t="s">
        <v>165</v>
      </c>
      <c r="F303" s="16" t="s">
        <v>322</v>
      </c>
      <c r="G303" s="17" t="s">
        <v>661</v>
      </c>
      <c r="H303" s="30" t="s">
        <v>662</v>
      </c>
      <c r="I303" s="18" t="s">
        <v>422</v>
      </c>
      <c r="J303" s="112" t="s">
        <v>663</v>
      </c>
      <c r="K303" s="20">
        <v>43278</v>
      </c>
      <c r="L303" s="32">
        <v>43643</v>
      </c>
      <c r="M303" s="21">
        <f t="shared" si="294"/>
        <v>82.304186166768261</v>
      </c>
      <c r="N303" s="14" t="s">
        <v>324</v>
      </c>
      <c r="O303" s="14" t="s">
        <v>312</v>
      </c>
      <c r="P303" s="14" t="s">
        <v>312</v>
      </c>
      <c r="Q303" s="22" t="s">
        <v>326</v>
      </c>
      <c r="R303" s="14" t="s">
        <v>36</v>
      </c>
      <c r="S303" s="23">
        <f t="shared" si="288"/>
        <v>693954.33</v>
      </c>
      <c r="T303" s="23">
        <v>559613.69999999995</v>
      </c>
      <c r="U303" s="23">
        <v>134340.63</v>
      </c>
      <c r="V303" s="23">
        <f t="shared" si="289"/>
        <v>132340.51</v>
      </c>
      <c r="W303" s="23">
        <v>98755.36</v>
      </c>
      <c r="X303" s="23">
        <v>33585.15</v>
      </c>
      <c r="Y303" s="23">
        <f>Z303+AA303</f>
        <v>0</v>
      </c>
      <c r="Z303" s="23">
        <v>0</v>
      </c>
      <c r="AA303" s="23">
        <v>0</v>
      </c>
      <c r="AB303" s="23">
        <f>AC303+AD303</f>
        <v>16863.16</v>
      </c>
      <c r="AC303" s="23">
        <v>13436.1</v>
      </c>
      <c r="AD303" s="23">
        <v>3427.06</v>
      </c>
      <c r="AE303" s="23">
        <f t="shared" si="292"/>
        <v>843158</v>
      </c>
      <c r="AF303" s="23">
        <v>0</v>
      </c>
      <c r="AG303" s="26">
        <f t="shared" si="278"/>
        <v>843158</v>
      </c>
      <c r="AH303" s="27" t="s">
        <v>1529</v>
      </c>
      <c r="AI303" s="28" t="s">
        <v>185</v>
      </c>
      <c r="AJ303" s="29">
        <f>137170.68-7903.65+194328.98+89918.19+31054.2+67873.86+26987.16</f>
        <v>539429.42000000004</v>
      </c>
      <c r="AK303" s="29">
        <f>10079.83+14572.02+20980.21+17147.84+5922.18+12943.9+5146.58</f>
        <v>86792.559999999983</v>
      </c>
    </row>
    <row r="304" spans="1:37" ht="409.5" x14ac:dyDescent="0.25">
      <c r="A304" s="12">
        <v>300</v>
      </c>
      <c r="B304" s="13">
        <v>110795</v>
      </c>
      <c r="C304" s="67">
        <v>127</v>
      </c>
      <c r="D304" s="13" t="s">
        <v>1320</v>
      </c>
      <c r="E304" s="18" t="s">
        <v>165</v>
      </c>
      <c r="F304" s="16" t="s">
        <v>322</v>
      </c>
      <c r="G304" s="17" t="s">
        <v>664</v>
      </c>
      <c r="H304" s="30" t="s">
        <v>669</v>
      </c>
      <c r="I304" s="18" t="s">
        <v>670</v>
      </c>
      <c r="J304" s="240" t="s">
        <v>671</v>
      </c>
      <c r="K304" s="20">
        <v>43278</v>
      </c>
      <c r="L304" s="32">
        <v>43765</v>
      </c>
      <c r="M304" s="21">
        <f t="shared" si="294"/>
        <v>82.304181171723172</v>
      </c>
      <c r="N304" s="14" t="s">
        <v>324</v>
      </c>
      <c r="O304" s="14" t="s">
        <v>312</v>
      </c>
      <c r="P304" s="14" t="s">
        <v>312</v>
      </c>
      <c r="Q304" s="22" t="s">
        <v>326</v>
      </c>
      <c r="R304" s="14" t="s">
        <v>36</v>
      </c>
      <c r="S304" s="23">
        <f t="shared" si="288"/>
        <v>818511.09</v>
      </c>
      <c r="T304" s="23">
        <v>660057.88</v>
      </c>
      <c r="U304" s="23">
        <v>158453.21</v>
      </c>
      <c r="V304" s="23">
        <f t="shared" si="289"/>
        <v>156094.12</v>
      </c>
      <c r="W304" s="23">
        <v>116480.81</v>
      </c>
      <c r="X304" s="23">
        <v>39613.31</v>
      </c>
      <c r="Y304" s="23">
        <f t="shared" si="293"/>
        <v>0</v>
      </c>
      <c r="Z304" s="23"/>
      <c r="AA304" s="23"/>
      <c r="AB304" s="23">
        <f t="shared" si="295"/>
        <v>19889.939999999999</v>
      </c>
      <c r="AC304" s="23">
        <v>15847.76</v>
      </c>
      <c r="AD304" s="23">
        <v>4042.18</v>
      </c>
      <c r="AE304" s="23">
        <f t="shared" si="292"/>
        <v>994495.14999999991</v>
      </c>
      <c r="AF304" s="23"/>
      <c r="AG304" s="26">
        <f t="shared" si="278"/>
        <v>994495.14999999991</v>
      </c>
      <c r="AH304" s="27" t="s">
        <v>585</v>
      </c>
      <c r="AI304" s="28"/>
      <c r="AJ304" s="29">
        <f>157838.38+70218+75120.05-9400.61+77188.42+38669.17-7483.51+148856.55+42278.62</f>
        <v>593285.06999999995</v>
      </c>
      <c r="AK304" s="29">
        <f>11135.04+27716.68+9400.61+3526.85+11840.91+7483.51+15010.54+8062.74</f>
        <v>94176.87999999999</v>
      </c>
    </row>
    <row r="305" spans="1:37" ht="267.75" x14ac:dyDescent="0.25">
      <c r="A305" s="12">
        <v>301</v>
      </c>
      <c r="B305" s="13">
        <v>110651</v>
      </c>
      <c r="C305" s="67">
        <v>226</v>
      </c>
      <c r="D305" s="13" t="s">
        <v>172</v>
      </c>
      <c r="E305" s="18" t="s">
        <v>165</v>
      </c>
      <c r="F305" s="16" t="s">
        <v>322</v>
      </c>
      <c r="G305" s="224" t="s">
        <v>665</v>
      </c>
      <c r="H305" s="30" t="s">
        <v>666</v>
      </c>
      <c r="I305" s="18" t="s">
        <v>667</v>
      </c>
      <c r="J305" s="240" t="s">
        <v>668</v>
      </c>
      <c r="K305" s="20">
        <v>43278</v>
      </c>
      <c r="L305" s="32">
        <v>43765</v>
      </c>
      <c r="M305" s="21">
        <f t="shared" si="294"/>
        <v>82.795862353225218</v>
      </c>
      <c r="N305" s="14" t="s">
        <v>324</v>
      </c>
      <c r="O305" s="14" t="s">
        <v>312</v>
      </c>
      <c r="P305" s="14" t="s">
        <v>312</v>
      </c>
      <c r="Q305" s="22" t="s">
        <v>326</v>
      </c>
      <c r="R305" s="14" t="s">
        <v>36</v>
      </c>
      <c r="S305" s="23">
        <f t="shared" si="288"/>
        <v>774090.94000000006</v>
      </c>
      <c r="T305" s="23">
        <v>624236.92000000004</v>
      </c>
      <c r="U305" s="23">
        <v>149854.01999999999</v>
      </c>
      <c r="V305" s="23">
        <f t="shared" si="289"/>
        <v>142149.4</v>
      </c>
      <c r="W305" s="23">
        <v>105798.26</v>
      </c>
      <c r="X305" s="23">
        <v>36351.14</v>
      </c>
      <c r="Y305" s="23">
        <f t="shared" si="293"/>
        <v>0</v>
      </c>
      <c r="Z305" s="23"/>
      <c r="AA305" s="23"/>
      <c r="AB305" s="23">
        <f t="shared" si="295"/>
        <v>18698.82</v>
      </c>
      <c r="AC305" s="23">
        <v>14898.69</v>
      </c>
      <c r="AD305" s="23">
        <v>3800.13</v>
      </c>
      <c r="AE305" s="23">
        <f t="shared" si="292"/>
        <v>934939.16</v>
      </c>
      <c r="AF305" s="23">
        <v>0</v>
      </c>
      <c r="AG305" s="26">
        <f t="shared" si="278"/>
        <v>934939.16</v>
      </c>
      <c r="AH305" s="27" t="s">
        <v>585</v>
      </c>
      <c r="AI305" s="28" t="s">
        <v>185</v>
      </c>
      <c r="AJ305" s="29">
        <f>93127.69-32382.23+82358.09+30059.24-7220.89+50009.03</f>
        <v>215950.92999999996</v>
      </c>
      <c r="AK305" s="29">
        <f>9460.82+5699.03+7815.58</f>
        <v>22975.43</v>
      </c>
    </row>
    <row r="306" spans="1:37" ht="409.5" x14ac:dyDescent="0.25">
      <c r="A306" s="14">
        <v>302</v>
      </c>
      <c r="B306" s="13">
        <v>111787</v>
      </c>
      <c r="C306" s="67">
        <v>169</v>
      </c>
      <c r="D306" s="13" t="s">
        <v>1074</v>
      </c>
      <c r="E306" s="18" t="s">
        <v>165</v>
      </c>
      <c r="F306" s="16" t="s">
        <v>322</v>
      </c>
      <c r="G306" s="17" t="s">
        <v>672</v>
      </c>
      <c r="H306" s="30" t="s">
        <v>673</v>
      </c>
      <c r="I306" s="18" t="s">
        <v>422</v>
      </c>
      <c r="J306" s="240" t="s">
        <v>674</v>
      </c>
      <c r="K306" s="20">
        <v>43278</v>
      </c>
      <c r="L306" s="32">
        <v>43765</v>
      </c>
      <c r="M306" s="21">
        <f t="shared" si="294"/>
        <v>82.304186085847633</v>
      </c>
      <c r="N306" s="14" t="s">
        <v>324</v>
      </c>
      <c r="O306" s="14" t="s">
        <v>312</v>
      </c>
      <c r="P306" s="14" t="s">
        <v>312</v>
      </c>
      <c r="Q306" s="22" t="s">
        <v>326</v>
      </c>
      <c r="R306" s="14" t="s">
        <v>36</v>
      </c>
      <c r="S306" s="23">
        <f t="shared" si="288"/>
        <v>822921.16999999993</v>
      </c>
      <c r="T306" s="23">
        <v>663614.22</v>
      </c>
      <c r="U306" s="23">
        <v>159306.95000000001</v>
      </c>
      <c r="V306" s="23">
        <f t="shared" si="289"/>
        <v>156935.12</v>
      </c>
      <c r="W306" s="23">
        <v>117108.4</v>
      </c>
      <c r="X306" s="23">
        <v>39826.720000000001</v>
      </c>
      <c r="Y306" s="23">
        <f t="shared" si="293"/>
        <v>0</v>
      </c>
      <c r="Z306" s="23"/>
      <c r="AA306" s="23"/>
      <c r="AB306" s="23">
        <f t="shared" si="295"/>
        <v>19997.07</v>
      </c>
      <c r="AC306" s="23">
        <v>15933.11</v>
      </c>
      <c r="AD306" s="23">
        <v>4063.96</v>
      </c>
      <c r="AE306" s="23">
        <f t="shared" si="292"/>
        <v>999853.35999999987</v>
      </c>
      <c r="AF306" s="23"/>
      <c r="AG306" s="26">
        <f t="shared" si="278"/>
        <v>999853.35999999987</v>
      </c>
      <c r="AH306" s="27" t="s">
        <v>585</v>
      </c>
      <c r="AI306" s="28"/>
      <c r="AJ306" s="29">
        <f>73296.53+95514.85+3270.71+99985.33+65010.91+99985.33-954</f>
        <v>436109.66</v>
      </c>
      <c r="AK306" s="29">
        <f>13125.47+19691.44+31465.6+954</f>
        <v>65236.509999999995</v>
      </c>
    </row>
    <row r="307" spans="1:37" ht="409.5" x14ac:dyDescent="0.25">
      <c r="A307" s="12">
        <v>303</v>
      </c>
      <c r="B307" s="13">
        <v>113139</v>
      </c>
      <c r="C307" s="67">
        <v>387</v>
      </c>
      <c r="D307" s="13" t="s">
        <v>168</v>
      </c>
      <c r="E307" s="18" t="s">
        <v>1084</v>
      </c>
      <c r="F307" s="16" t="s">
        <v>635</v>
      </c>
      <c r="G307" s="17" t="s">
        <v>681</v>
      </c>
      <c r="H307" s="30" t="s">
        <v>680</v>
      </c>
      <c r="I307" s="18" t="s">
        <v>682</v>
      </c>
      <c r="J307" s="240" t="s">
        <v>683</v>
      </c>
      <c r="K307" s="20">
        <v>43273</v>
      </c>
      <c r="L307" s="32">
        <v>43760</v>
      </c>
      <c r="M307" s="21">
        <f t="shared" si="294"/>
        <v>82.304185106128585</v>
      </c>
      <c r="N307" s="14" t="s">
        <v>324</v>
      </c>
      <c r="O307" s="14" t="s">
        <v>312</v>
      </c>
      <c r="P307" s="14" t="s">
        <v>312</v>
      </c>
      <c r="Q307" s="22" t="s">
        <v>326</v>
      </c>
      <c r="R307" s="14" t="s">
        <v>36</v>
      </c>
      <c r="S307" s="23">
        <f t="shared" si="288"/>
        <v>3201407.46</v>
      </c>
      <c r="T307" s="23">
        <v>2581656.2000000002</v>
      </c>
      <c r="U307" s="23">
        <v>619751.26</v>
      </c>
      <c r="V307" s="23">
        <f t="shared" si="289"/>
        <v>610524.23</v>
      </c>
      <c r="W307" s="23">
        <v>455586.4</v>
      </c>
      <c r="X307" s="23">
        <v>154937.82999999999</v>
      </c>
      <c r="Y307" s="23">
        <f t="shared" si="293"/>
        <v>0</v>
      </c>
      <c r="Z307" s="23">
        <v>0</v>
      </c>
      <c r="AA307" s="23">
        <v>0</v>
      </c>
      <c r="AB307" s="23">
        <f t="shared" si="295"/>
        <v>77794.52</v>
      </c>
      <c r="AC307" s="23">
        <v>61984.53</v>
      </c>
      <c r="AD307" s="23">
        <v>15809.99</v>
      </c>
      <c r="AE307" s="23">
        <f t="shared" si="292"/>
        <v>3889726.21</v>
      </c>
      <c r="AF307" s="23">
        <v>0</v>
      </c>
      <c r="AG307" s="26">
        <f t="shared" si="278"/>
        <v>3889726.21</v>
      </c>
      <c r="AH307" s="27" t="s">
        <v>585</v>
      </c>
      <c r="AI307" s="28" t="s">
        <v>185</v>
      </c>
      <c r="AJ307" s="29">
        <f>388971+375144.58-54672.24+342821.17+4731.32+402737.67</f>
        <v>1459733.5</v>
      </c>
      <c r="AK307" s="29">
        <f>71541.92+54951.43+44725.39+32980.93</f>
        <v>204199.66999999998</v>
      </c>
    </row>
    <row r="308" spans="1:37" ht="409.5" x14ac:dyDescent="0.25">
      <c r="A308" s="12">
        <v>304</v>
      </c>
      <c r="B308" s="13">
        <v>111603</v>
      </c>
      <c r="C308" s="67">
        <v>195</v>
      </c>
      <c r="D308" s="13" t="s">
        <v>171</v>
      </c>
      <c r="E308" s="18" t="s">
        <v>165</v>
      </c>
      <c r="F308" s="16" t="s">
        <v>322</v>
      </c>
      <c r="G308" s="241" t="s">
        <v>696</v>
      </c>
      <c r="H308" s="241" t="s">
        <v>694</v>
      </c>
      <c r="I308" s="14" t="s">
        <v>693</v>
      </c>
      <c r="J308" s="240" t="s">
        <v>695</v>
      </c>
      <c r="K308" s="20">
        <v>43283</v>
      </c>
      <c r="L308" s="32">
        <v>43832</v>
      </c>
      <c r="M308" s="21">
        <f t="shared" si="294"/>
        <v>82.586398931908917</v>
      </c>
      <c r="N308" s="14" t="s">
        <v>324</v>
      </c>
      <c r="O308" s="14" t="s">
        <v>312</v>
      </c>
      <c r="P308" s="14" t="s">
        <v>312</v>
      </c>
      <c r="Q308" s="22" t="s">
        <v>326</v>
      </c>
      <c r="R308" s="14" t="s">
        <v>36</v>
      </c>
      <c r="S308" s="23">
        <f t="shared" si="288"/>
        <v>822323.37</v>
      </c>
      <c r="T308" s="23">
        <v>663132.13</v>
      </c>
      <c r="U308" s="23">
        <v>159191.24</v>
      </c>
      <c r="V308" s="23">
        <f t="shared" si="289"/>
        <v>153475.07</v>
      </c>
      <c r="W308" s="23">
        <v>114357.34</v>
      </c>
      <c r="X308" s="23">
        <v>39117.730000000003</v>
      </c>
      <c r="Y308" s="23">
        <f t="shared" si="293"/>
        <v>0</v>
      </c>
      <c r="Z308" s="23">
        <v>0</v>
      </c>
      <c r="AA308" s="23">
        <v>0</v>
      </c>
      <c r="AB308" s="23">
        <f t="shared" si="295"/>
        <v>19914.39</v>
      </c>
      <c r="AC308" s="23">
        <v>15867.2</v>
      </c>
      <c r="AD308" s="23">
        <v>4047.19</v>
      </c>
      <c r="AE308" s="23">
        <f t="shared" si="292"/>
        <v>995712.83</v>
      </c>
      <c r="AF308" s="23">
        <v>0</v>
      </c>
      <c r="AG308" s="26">
        <f t="shared" si="278"/>
        <v>995712.83</v>
      </c>
      <c r="AH308" s="27" t="s">
        <v>585</v>
      </c>
      <c r="AI308" s="28" t="s">
        <v>1475</v>
      </c>
      <c r="AJ308" s="29">
        <f>99571.31-9242.96+89177.68+83254.45+30280.79+7839.21</f>
        <v>300880.48</v>
      </c>
      <c r="AK308" s="29">
        <f>15946.32+15174.65+5774.69+4031.4</f>
        <v>40927.060000000005</v>
      </c>
    </row>
    <row r="309" spans="1:37" ht="141.75" x14ac:dyDescent="0.25">
      <c r="A309" s="14">
        <v>305</v>
      </c>
      <c r="B309" s="13">
        <v>113188</v>
      </c>
      <c r="C309" s="67">
        <v>246</v>
      </c>
      <c r="D309" s="13" t="s">
        <v>170</v>
      </c>
      <c r="E309" s="18" t="s">
        <v>165</v>
      </c>
      <c r="F309" s="16" t="s">
        <v>322</v>
      </c>
      <c r="G309" s="224" t="s">
        <v>701</v>
      </c>
      <c r="H309" s="30" t="s">
        <v>702</v>
      </c>
      <c r="I309" s="18" t="s">
        <v>422</v>
      </c>
      <c r="J309" s="240" t="s">
        <v>703</v>
      </c>
      <c r="K309" s="20">
        <v>43284</v>
      </c>
      <c r="L309" s="32">
        <v>43711</v>
      </c>
      <c r="M309" s="21">
        <f t="shared" si="294"/>
        <v>82.304188575115816</v>
      </c>
      <c r="N309" s="14" t="s">
        <v>324</v>
      </c>
      <c r="O309" s="14" t="s">
        <v>312</v>
      </c>
      <c r="P309" s="14" t="s">
        <v>312</v>
      </c>
      <c r="Q309" s="22" t="s">
        <v>326</v>
      </c>
      <c r="R309" s="14" t="s">
        <v>36</v>
      </c>
      <c r="S309" s="23">
        <f t="shared" si="288"/>
        <v>745468.83000000007</v>
      </c>
      <c r="T309" s="23">
        <v>601155.66</v>
      </c>
      <c r="U309" s="23">
        <v>144313.17000000001</v>
      </c>
      <c r="V309" s="23">
        <f t="shared" si="289"/>
        <v>142164.54</v>
      </c>
      <c r="W309" s="23">
        <v>106086.28</v>
      </c>
      <c r="X309" s="23">
        <v>36078.26</v>
      </c>
      <c r="Y309" s="23">
        <f t="shared" si="293"/>
        <v>0</v>
      </c>
      <c r="Z309" s="23">
        <v>0</v>
      </c>
      <c r="AA309" s="23">
        <v>0</v>
      </c>
      <c r="AB309" s="23">
        <f t="shared" si="295"/>
        <v>18114.98</v>
      </c>
      <c r="AC309" s="23">
        <v>14433.5</v>
      </c>
      <c r="AD309" s="23">
        <v>3681.48</v>
      </c>
      <c r="AE309" s="23">
        <f t="shared" si="292"/>
        <v>905748.35000000009</v>
      </c>
      <c r="AF309" s="23">
        <v>0</v>
      </c>
      <c r="AG309" s="26">
        <f t="shared" si="278"/>
        <v>905748.35000000009</v>
      </c>
      <c r="AH309" s="27" t="s">
        <v>585</v>
      </c>
      <c r="AI309" s="28" t="s">
        <v>185</v>
      </c>
      <c r="AJ309" s="29">
        <f>76816.8+130770.26-14027.52+87583.68+55112.77+22177.11+95479.67+15632.7+2054.36</f>
        <v>471599.82999999996</v>
      </c>
      <c r="AK309" s="29">
        <f>13758.03+8556.79+14027.52+10510.28+4229.28+10710.03+10479.69+17664.84</f>
        <v>89936.459999999992</v>
      </c>
    </row>
    <row r="310" spans="1:37" ht="315" x14ac:dyDescent="0.25">
      <c r="A310" s="12">
        <v>306</v>
      </c>
      <c r="B310" s="13">
        <v>116097</v>
      </c>
      <c r="C310" s="67">
        <v>394</v>
      </c>
      <c r="D310" s="13" t="s">
        <v>170</v>
      </c>
      <c r="E310" s="227" t="s">
        <v>165</v>
      </c>
      <c r="F310" s="41" t="s">
        <v>445</v>
      </c>
      <c r="G310" s="240" t="s">
        <v>713</v>
      </c>
      <c r="H310" s="30" t="s">
        <v>712</v>
      </c>
      <c r="I310" s="18" t="s">
        <v>502</v>
      </c>
      <c r="J310" s="240" t="s">
        <v>714</v>
      </c>
      <c r="K310" s="20">
        <v>43284</v>
      </c>
      <c r="L310" s="32">
        <v>44077</v>
      </c>
      <c r="M310" s="21">
        <f t="shared" si="294"/>
        <v>83.983862774791262</v>
      </c>
      <c r="N310" s="14" t="s">
        <v>324</v>
      </c>
      <c r="O310" s="14" t="s">
        <v>312</v>
      </c>
      <c r="P310" s="14" t="s">
        <v>312</v>
      </c>
      <c r="Q310" s="22" t="s">
        <v>157</v>
      </c>
      <c r="R310" s="14" t="s">
        <v>36</v>
      </c>
      <c r="S310" s="23">
        <f t="shared" si="288"/>
        <v>6396515.5899999999</v>
      </c>
      <c r="T310" s="23">
        <v>5158232.53</v>
      </c>
      <c r="U310" s="23">
        <v>1238283.06</v>
      </c>
      <c r="V310" s="23">
        <f t="shared" si="289"/>
        <v>472527.32999999996</v>
      </c>
      <c r="W310" s="23">
        <v>349201.67</v>
      </c>
      <c r="X310" s="23">
        <v>123325.66</v>
      </c>
      <c r="Y310" s="23">
        <f t="shared" si="293"/>
        <v>747319.77</v>
      </c>
      <c r="Z310" s="23">
        <v>561074.66</v>
      </c>
      <c r="AA310" s="23">
        <v>186245.11</v>
      </c>
      <c r="AB310" s="23">
        <f t="shared" si="295"/>
        <v>0</v>
      </c>
      <c r="AC310" s="23">
        <v>0</v>
      </c>
      <c r="AD310" s="23">
        <v>0</v>
      </c>
      <c r="AE310" s="23">
        <f t="shared" si="292"/>
        <v>7616362.6899999995</v>
      </c>
      <c r="AF310" s="23">
        <v>0</v>
      </c>
      <c r="AG310" s="26">
        <f t="shared" si="278"/>
        <v>7616362.6899999995</v>
      </c>
      <c r="AH310" s="27" t="s">
        <v>585</v>
      </c>
      <c r="AI310" s="28" t="s">
        <v>185</v>
      </c>
      <c r="AJ310" s="29">
        <f>253980+93643.83</f>
        <v>347623.83</v>
      </c>
      <c r="AK310" s="29">
        <v>4416.62</v>
      </c>
    </row>
    <row r="311" spans="1:37" ht="409.5" x14ac:dyDescent="0.25">
      <c r="A311" s="12">
        <v>307</v>
      </c>
      <c r="B311" s="13">
        <v>109966</v>
      </c>
      <c r="C311" s="67">
        <v>368</v>
      </c>
      <c r="D311" s="13" t="s">
        <v>1320</v>
      </c>
      <c r="E311" s="18" t="s">
        <v>165</v>
      </c>
      <c r="F311" s="16" t="s">
        <v>322</v>
      </c>
      <c r="G311" s="239" t="s">
        <v>709</v>
      </c>
      <c r="H311" s="239" t="s">
        <v>710</v>
      </c>
      <c r="I311" s="18" t="s">
        <v>422</v>
      </c>
      <c r="J311" s="240" t="s">
        <v>711</v>
      </c>
      <c r="K311" s="20">
        <v>43284</v>
      </c>
      <c r="L311" s="32">
        <v>43772</v>
      </c>
      <c r="M311" s="21">
        <f t="shared" si="294"/>
        <v>82.304190385931335</v>
      </c>
      <c r="N311" s="14" t="s">
        <v>324</v>
      </c>
      <c r="O311" s="14" t="s">
        <v>320</v>
      </c>
      <c r="P311" s="14" t="s">
        <v>997</v>
      </c>
      <c r="Q311" s="22" t="s">
        <v>326</v>
      </c>
      <c r="R311" s="14" t="s">
        <v>36</v>
      </c>
      <c r="S311" s="23">
        <f t="shared" si="288"/>
        <v>820713.65</v>
      </c>
      <c r="T311" s="23">
        <v>661834.04</v>
      </c>
      <c r="U311" s="23">
        <v>158879.60999999999</v>
      </c>
      <c r="V311" s="23">
        <f t="shared" si="289"/>
        <v>156514.07999999999</v>
      </c>
      <c r="W311" s="23">
        <v>116794.2</v>
      </c>
      <c r="X311" s="23">
        <v>39719.879999999997</v>
      </c>
      <c r="Y311" s="23">
        <f t="shared" si="293"/>
        <v>0</v>
      </c>
      <c r="Z311" s="23">
        <v>0</v>
      </c>
      <c r="AA311" s="23">
        <v>0</v>
      </c>
      <c r="AB311" s="23">
        <f t="shared" si="295"/>
        <v>19943.43</v>
      </c>
      <c r="AC311" s="23">
        <v>15890.39</v>
      </c>
      <c r="AD311" s="23">
        <v>4053.04</v>
      </c>
      <c r="AE311" s="23">
        <f t="shared" si="292"/>
        <v>997171.16</v>
      </c>
      <c r="AF311" s="23">
        <v>0</v>
      </c>
      <c r="AG311" s="26">
        <f t="shared" si="278"/>
        <v>997171.16</v>
      </c>
      <c r="AH311" s="27" t="s">
        <v>585</v>
      </c>
      <c r="AI311" s="28" t="s">
        <v>185</v>
      </c>
      <c r="AJ311" s="29">
        <f>97719.31+82606.17+3211.32+89251.39-12691.77+101574.57</f>
        <v>361670.99</v>
      </c>
      <c r="AK311" s="29">
        <f>16734.59+7125.74+9148.44+12691.77+4258.59</f>
        <v>49959.130000000005</v>
      </c>
    </row>
    <row r="312" spans="1:37" ht="141.75" x14ac:dyDescent="0.25">
      <c r="A312" s="14">
        <v>308</v>
      </c>
      <c r="B312" s="13">
        <v>112133</v>
      </c>
      <c r="C312" s="67">
        <v>149</v>
      </c>
      <c r="D312" s="13" t="s">
        <v>1320</v>
      </c>
      <c r="E312" s="18" t="s">
        <v>165</v>
      </c>
      <c r="F312" s="16" t="s">
        <v>322</v>
      </c>
      <c r="G312" s="242" t="s">
        <v>716</v>
      </c>
      <c r="H312" s="30" t="s">
        <v>717</v>
      </c>
      <c r="I312" s="18" t="s">
        <v>718</v>
      </c>
      <c r="J312" s="243" t="s">
        <v>719</v>
      </c>
      <c r="K312" s="20">
        <v>43286</v>
      </c>
      <c r="L312" s="32">
        <v>43773</v>
      </c>
      <c r="M312" s="21">
        <f t="shared" si="294"/>
        <v>82.304192989201169</v>
      </c>
      <c r="N312" s="14" t="s">
        <v>324</v>
      </c>
      <c r="O312" s="14" t="s">
        <v>720</v>
      </c>
      <c r="P312" s="14" t="s">
        <v>708</v>
      </c>
      <c r="Q312" s="22" t="s">
        <v>326</v>
      </c>
      <c r="R312" s="14" t="s">
        <v>36</v>
      </c>
      <c r="S312" s="23">
        <v>615782.40000000002</v>
      </c>
      <c r="T312" s="23">
        <v>496574.82</v>
      </c>
      <c r="U312" s="23">
        <v>119207.58</v>
      </c>
      <c r="V312" s="23">
        <f t="shared" si="289"/>
        <v>117432.69</v>
      </c>
      <c r="W312" s="23">
        <v>87630.81</v>
      </c>
      <c r="X312" s="23">
        <v>29801.88</v>
      </c>
      <c r="Y312" s="23">
        <f>Z312+AA312</f>
        <v>0</v>
      </c>
      <c r="Z312" s="23"/>
      <c r="AA312" s="23"/>
      <c r="AB312" s="23">
        <f>AC312+AD312</f>
        <v>14963.56</v>
      </c>
      <c r="AC312" s="23">
        <v>11922.59</v>
      </c>
      <c r="AD312" s="23">
        <v>3040.97</v>
      </c>
      <c r="AE312" s="23">
        <f t="shared" si="292"/>
        <v>748178.65000000014</v>
      </c>
      <c r="AF312" s="23"/>
      <c r="AG312" s="26">
        <f t="shared" si="278"/>
        <v>748178.65000000014</v>
      </c>
      <c r="AH312" s="27" t="s">
        <v>585</v>
      </c>
      <c r="AI312" s="28" t="s">
        <v>185</v>
      </c>
      <c r="AJ312" s="29">
        <f>67020+7797+44875.55+3783.2+14368.2-5518.28+131016.07+9271.15+23657.27</f>
        <v>296270.16000000003</v>
      </c>
      <c r="AK312" s="29">
        <f>8557.98+2208.4+1253.17+10049.33+13883.73+1768.06+17631.4</f>
        <v>55352.07</v>
      </c>
    </row>
    <row r="313" spans="1:37" ht="195" x14ac:dyDescent="0.25">
      <c r="A313" s="12">
        <v>309</v>
      </c>
      <c r="B313" s="13">
        <v>112698</v>
      </c>
      <c r="C313" s="67">
        <v>231</v>
      </c>
      <c r="D313" s="13" t="s">
        <v>170</v>
      </c>
      <c r="E313" s="18" t="s">
        <v>165</v>
      </c>
      <c r="F313" s="16" t="s">
        <v>322</v>
      </c>
      <c r="G313" s="242" t="s">
        <v>725</v>
      </c>
      <c r="H313" s="30" t="s">
        <v>726</v>
      </c>
      <c r="I313" s="18" t="s">
        <v>727</v>
      </c>
      <c r="J313" s="243" t="s">
        <v>728</v>
      </c>
      <c r="K313" s="20">
        <v>43273</v>
      </c>
      <c r="L313" s="32">
        <v>43730</v>
      </c>
      <c r="M313" s="21">
        <f t="shared" si="294"/>
        <v>82.525665803949437</v>
      </c>
      <c r="N313" s="14" t="s">
        <v>324</v>
      </c>
      <c r="O313" s="14" t="s">
        <v>312</v>
      </c>
      <c r="P313" s="14" t="s">
        <v>312</v>
      </c>
      <c r="Q313" s="22" t="s">
        <v>326</v>
      </c>
      <c r="R313" s="14" t="s">
        <v>36</v>
      </c>
      <c r="S313" s="23">
        <f t="shared" si="288"/>
        <v>814877.24</v>
      </c>
      <c r="T313" s="23">
        <v>657127.51</v>
      </c>
      <c r="U313" s="23">
        <v>157749.73000000001</v>
      </c>
      <c r="V313" s="23">
        <f t="shared" si="289"/>
        <v>134548.1</v>
      </c>
      <c r="W313" s="23">
        <v>100402.7</v>
      </c>
      <c r="X313" s="23">
        <v>34145.4</v>
      </c>
      <c r="Y313" s="23">
        <f t="shared" si="293"/>
        <v>20853.009999999998</v>
      </c>
      <c r="Z313" s="23">
        <v>15560.97</v>
      </c>
      <c r="AA313" s="23">
        <v>5292.04</v>
      </c>
      <c r="AB313" s="23">
        <f t="shared" si="295"/>
        <v>17144.45</v>
      </c>
      <c r="AC313" s="23">
        <v>13660.23</v>
      </c>
      <c r="AD313" s="23">
        <v>3484.22</v>
      </c>
      <c r="AE313" s="23">
        <f t="shared" si="292"/>
        <v>987422.79999999993</v>
      </c>
      <c r="AF313" s="23"/>
      <c r="AG313" s="26">
        <f t="shared" si="278"/>
        <v>987422.79999999993</v>
      </c>
      <c r="AH313" s="27" t="s">
        <v>585</v>
      </c>
      <c r="AI313" s="28" t="s">
        <v>1509</v>
      </c>
      <c r="AJ313" s="29">
        <f>85822.98+78186.5</f>
        <v>164009.47999999998</v>
      </c>
      <c r="AK313" s="29">
        <v>14910.56</v>
      </c>
    </row>
    <row r="314" spans="1:37" ht="409.5" x14ac:dyDescent="0.25">
      <c r="A314" s="12">
        <v>310</v>
      </c>
      <c r="B314" s="13">
        <v>112427</v>
      </c>
      <c r="C314" s="67">
        <v>367</v>
      </c>
      <c r="D314" s="13" t="s">
        <v>1320</v>
      </c>
      <c r="E314" s="18" t="s">
        <v>165</v>
      </c>
      <c r="F314" s="16" t="s">
        <v>322</v>
      </c>
      <c r="G314" s="242" t="s">
        <v>732</v>
      </c>
      <c r="H314" s="30" t="s">
        <v>733</v>
      </c>
      <c r="I314" s="18" t="s">
        <v>735</v>
      </c>
      <c r="J314" s="240" t="s">
        <v>734</v>
      </c>
      <c r="K314" s="20">
        <v>43290</v>
      </c>
      <c r="L314" s="32">
        <v>43778</v>
      </c>
      <c r="M314" s="21">
        <f t="shared" si="294"/>
        <v>82.304189883139372</v>
      </c>
      <c r="N314" s="14" t="s">
        <v>324</v>
      </c>
      <c r="O314" s="14" t="s">
        <v>312</v>
      </c>
      <c r="P314" s="14" t="s">
        <v>312</v>
      </c>
      <c r="Q314" s="22" t="s">
        <v>326</v>
      </c>
      <c r="R314" s="14" t="s">
        <v>36</v>
      </c>
      <c r="S314" s="23">
        <f t="shared" si="288"/>
        <v>785233.14</v>
      </c>
      <c r="T314" s="23">
        <v>633222.11</v>
      </c>
      <c r="U314" s="23">
        <v>152011.03</v>
      </c>
      <c r="V314" s="23">
        <f t="shared" si="289"/>
        <v>149747.75</v>
      </c>
      <c r="W314" s="23">
        <v>111745.03</v>
      </c>
      <c r="X314" s="23">
        <v>38002.720000000001</v>
      </c>
      <c r="Y314" s="23">
        <f t="shared" si="293"/>
        <v>0</v>
      </c>
      <c r="Z314" s="23">
        <v>0</v>
      </c>
      <c r="AA314" s="23">
        <v>0</v>
      </c>
      <c r="AB314" s="23">
        <f t="shared" si="295"/>
        <v>19081.28</v>
      </c>
      <c r="AC314" s="23">
        <v>15203.43</v>
      </c>
      <c r="AD314" s="23">
        <v>3877.85</v>
      </c>
      <c r="AE314" s="23">
        <f t="shared" si="292"/>
        <v>954062.17</v>
      </c>
      <c r="AF314" s="23">
        <v>0</v>
      </c>
      <c r="AG314" s="26">
        <f t="shared" si="278"/>
        <v>954062.17</v>
      </c>
      <c r="AH314" s="27" t="s">
        <v>585</v>
      </c>
      <c r="AI314" s="28" t="s">
        <v>185</v>
      </c>
      <c r="AJ314" s="29">
        <f>57915.69+124630.09-868.64+54803.2+81029.88</f>
        <v>317510.21999999997</v>
      </c>
      <c r="AK314" s="29">
        <f>16617.93+10285.59+15452.81</f>
        <v>42356.33</v>
      </c>
    </row>
    <row r="315" spans="1:37" ht="157.5" x14ac:dyDescent="0.25">
      <c r="A315" s="14">
        <v>311</v>
      </c>
      <c r="B315" s="13">
        <v>112409</v>
      </c>
      <c r="C315" s="67">
        <v>150</v>
      </c>
      <c r="D315" s="13" t="s">
        <v>1320</v>
      </c>
      <c r="E315" s="18" t="s">
        <v>165</v>
      </c>
      <c r="F315" s="16" t="s">
        <v>322</v>
      </c>
      <c r="G315" s="242" t="s">
        <v>736</v>
      </c>
      <c r="H315" s="30" t="s">
        <v>737</v>
      </c>
      <c r="I315" s="18" t="s">
        <v>353</v>
      </c>
      <c r="J315" s="240" t="s">
        <v>738</v>
      </c>
      <c r="K315" s="20">
        <v>43291</v>
      </c>
      <c r="L315" s="32">
        <v>43778</v>
      </c>
      <c r="M315" s="21">
        <f t="shared" si="294"/>
        <v>82.304188969946821</v>
      </c>
      <c r="N315" s="14" t="s">
        <v>324</v>
      </c>
      <c r="O315" s="14" t="s">
        <v>429</v>
      </c>
      <c r="P315" s="14" t="s">
        <v>304</v>
      </c>
      <c r="Q315" s="22" t="s">
        <v>326</v>
      </c>
      <c r="R315" s="14" t="s">
        <v>36</v>
      </c>
      <c r="S315" s="23">
        <f t="shared" si="288"/>
        <v>780523.20000000007</v>
      </c>
      <c r="T315" s="23">
        <v>629423.91</v>
      </c>
      <c r="U315" s="23">
        <v>151099.29</v>
      </c>
      <c r="V315" s="23">
        <f t="shared" si="289"/>
        <v>148849.57</v>
      </c>
      <c r="W315" s="23">
        <v>111074.8</v>
      </c>
      <c r="X315" s="23">
        <v>37774.769999999997</v>
      </c>
      <c r="Y315" s="23">
        <f t="shared" si="293"/>
        <v>0</v>
      </c>
      <c r="Z315" s="23"/>
      <c r="AA315" s="23"/>
      <c r="AB315" s="23">
        <f t="shared" si="295"/>
        <v>18966.810000000001</v>
      </c>
      <c r="AC315" s="23">
        <v>15112.25</v>
      </c>
      <c r="AD315" s="23">
        <v>3854.56</v>
      </c>
      <c r="AE315" s="23">
        <f t="shared" si="292"/>
        <v>948339.58000000007</v>
      </c>
      <c r="AF315" s="23">
        <v>0</v>
      </c>
      <c r="AG315" s="26">
        <f t="shared" si="278"/>
        <v>948339.58000000007</v>
      </c>
      <c r="AH315" s="27" t="s">
        <v>585</v>
      </c>
      <c r="AI315" s="28" t="s">
        <v>185</v>
      </c>
      <c r="AJ315" s="29">
        <f>94833+71891.83-13619.36+85035.24+67213.99+63619.47</f>
        <v>368974.17000000004</v>
      </c>
      <c r="AK315" s="29">
        <f>13710.12+13619.36+12818.03+12132.54</f>
        <v>52280.05</v>
      </c>
    </row>
    <row r="316" spans="1:37" ht="173.25" x14ac:dyDescent="0.25">
      <c r="A316" s="12">
        <v>312</v>
      </c>
      <c r="B316" s="13">
        <v>112861</v>
      </c>
      <c r="C316" s="67">
        <v>324</v>
      </c>
      <c r="D316" s="13" t="s">
        <v>168</v>
      </c>
      <c r="E316" s="18" t="s">
        <v>165</v>
      </c>
      <c r="F316" s="16" t="s">
        <v>322</v>
      </c>
      <c r="G316" s="224" t="s">
        <v>739</v>
      </c>
      <c r="H316" s="30" t="s">
        <v>740</v>
      </c>
      <c r="I316" s="18" t="s">
        <v>353</v>
      </c>
      <c r="J316" s="48" t="s">
        <v>741</v>
      </c>
      <c r="K316" s="20">
        <v>43290</v>
      </c>
      <c r="L316" s="32">
        <v>43777</v>
      </c>
      <c r="M316" s="21">
        <f t="shared" si="294"/>
        <v>82.304190691615503</v>
      </c>
      <c r="N316" s="14" t="s">
        <v>324</v>
      </c>
      <c r="O316" s="14" t="s">
        <v>156</v>
      </c>
      <c r="P316" s="14" t="s">
        <v>156</v>
      </c>
      <c r="Q316" s="22"/>
      <c r="R316" s="14" t="s">
        <v>36</v>
      </c>
      <c r="S316" s="23">
        <f t="shared" si="288"/>
        <v>649951.84000000008</v>
      </c>
      <c r="T316" s="23">
        <v>524129.52</v>
      </c>
      <c r="U316" s="23">
        <v>125822.32</v>
      </c>
      <c r="V316" s="23">
        <f t="shared" si="289"/>
        <v>123949</v>
      </c>
      <c r="W316" s="23">
        <v>92493.43</v>
      </c>
      <c r="X316" s="23">
        <v>31455.57</v>
      </c>
      <c r="Y316" s="23">
        <f t="shared" si="293"/>
        <v>0</v>
      </c>
      <c r="Z316" s="23"/>
      <c r="AA316" s="23"/>
      <c r="AB316" s="23">
        <f>AC316+AD316</f>
        <v>15793.869999999999</v>
      </c>
      <c r="AC316" s="23">
        <v>12584.14</v>
      </c>
      <c r="AD316" s="23">
        <v>3209.73</v>
      </c>
      <c r="AE316" s="23">
        <f t="shared" si="292"/>
        <v>789694.71000000008</v>
      </c>
      <c r="AF316" s="23">
        <v>0</v>
      </c>
      <c r="AG316" s="26">
        <f t="shared" si="278"/>
        <v>789694.71000000008</v>
      </c>
      <c r="AH316" s="27" t="s">
        <v>585</v>
      </c>
      <c r="AI316" s="28" t="s">
        <v>1154</v>
      </c>
      <c r="AJ316" s="29">
        <f>78969.47+33506.04+30781.72+5848.53+60387.9</f>
        <v>209493.66</v>
      </c>
      <c r="AK316" s="29">
        <f>6389.76+5870.23+1115.34+11516.25</f>
        <v>24891.58</v>
      </c>
    </row>
    <row r="317" spans="1:37" ht="315" x14ac:dyDescent="0.25">
      <c r="A317" s="12">
        <v>313</v>
      </c>
      <c r="B317" s="13">
        <v>110709</v>
      </c>
      <c r="C317" s="67">
        <v>313</v>
      </c>
      <c r="D317" s="13" t="s">
        <v>168</v>
      </c>
      <c r="E317" s="18" t="s">
        <v>165</v>
      </c>
      <c r="F317" s="16" t="s">
        <v>322</v>
      </c>
      <c r="G317" s="224" t="s">
        <v>742</v>
      </c>
      <c r="H317" s="30" t="s">
        <v>743</v>
      </c>
      <c r="I317" s="18" t="s">
        <v>353</v>
      </c>
      <c r="J317" s="48" t="s">
        <v>744</v>
      </c>
      <c r="K317" s="20">
        <v>43291</v>
      </c>
      <c r="L317" s="32">
        <v>43779</v>
      </c>
      <c r="M317" s="21">
        <f t="shared" si="294"/>
        <v>82.304183081659716</v>
      </c>
      <c r="N317" s="14" t="s">
        <v>324</v>
      </c>
      <c r="O317" s="14" t="s">
        <v>156</v>
      </c>
      <c r="P317" s="14" t="s">
        <v>156</v>
      </c>
      <c r="Q317" s="22"/>
      <c r="R317" s="14" t="s">
        <v>36</v>
      </c>
      <c r="S317" s="23">
        <f t="shared" si="288"/>
        <v>821857.62999999989</v>
      </c>
      <c r="T317" s="23">
        <v>662756.56999999995</v>
      </c>
      <c r="U317" s="23">
        <v>159101.06</v>
      </c>
      <c r="V317" s="23">
        <f t="shared" si="289"/>
        <v>156732.34</v>
      </c>
      <c r="W317" s="23">
        <v>116957.1</v>
      </c>
      <c r="X317" s="23">
        <v>39775.24</v>
      </c>
      <c r="Y317" s="23">
        <f t="shared" si="293"/>
        <v>0</v>
      </c>
      <c r="Z317" s="23"/>
      <c r="AA317" s="23"/>
      <c r="AB317" s="23">
        <f t="shared" si="295"/>
        <v>19971.22</v>
      </c>
      <c r="AC317" s="23">
        <v>15912.5</v>
      </c>
      <c r="AD317" s="23">
        <v>4058.72</v>
      </c>
      <c r="AE317" s="23">
        <f t="shared" si="292"/>
        <v>998561.18999999983</v>
      </c>
      <c r="AF317" s="23">
        <v>576</v>
      </c>
      <c r="AG317" s="26">
        <f t="shared" si="278"/>
        <v>999137.18999999983</v>
      </c>
      <c r="AH317" s="27" t="s">
        <v>585</v>
      </c>
      <c r="AI317" s="28" t="s">
        <v>185</v>
      </c>
      <c r="AJ317" s="29">
        <f>99856.11-15338.74+81959.76+84034.35-9577.08+99856</f>
        <v>340790.4</v>
      </c>
      <c r="AK317" s="29">
        <f>15338.74+13810.74+2195.85+14602.08</f>
        <v>45947.409999999996</v>
      </c>
    </row>
    <row r="318" spans="1:37" ht="409.5" x14ac:dyDescent="0.25">
      <c r="A318" s="14">
        <v>314</v>
      </c>
      <c r="B318" s="13">
        <v>113039</v>
      </c>
      <c r="C318" s="67">
        <v>200</v>
      </c>
      <c r="D318" s="13" t="s">
        <v>172</v>
      </c>
      <c r="E318" s="18" t="s">
        <v>165</v>
      </c>
      <c r="F318" s="16" t="s">
        <v>322</v>
      </c>
      <c r="G318" s="103" t="s">
        <v>751</v>
      </c>
      <c r="H318" s="244" t="s">
        <v>752</v>
      </c>
      <c r="I318" s="18" t="s">
        <v>353</v>
      </c>
      <c r="J318" s="240" t="s">
        <v>753</v>
      </c>
      <c r="K318" s="20">
        <v>43291</v>
      </c>
      <c r="L318" s="32">
        <v>43779</v>
      </c>
      <c r="M318" s="21">
        <f>S318/AE318*100</f>
        <v>82.30418382046426</v>
      </c>
      <c r="N318" s="14" t="s">
        <v>324</v>
      </c>
      <c r="O318" s="14" t="s">
        <v>275</v>
      </c>
      <c r="P318" s="14" t="s">
        <v>754</v>
      </c>
      <c r="Q318" s="22" t="s">
        <v>326</v>
      </c>
      <c r="R318" s="14" t="s">
        <v>36</v>
      </c>
      <c r="S318" s="23">
        <f t="shared" si="288"/>
        <v>812437.94000000006</v>
      </c>
      <c r="T318" s="23">
        <v>655160.41</v>
      </c>
      <c r="U318" s="23">
        <v>157277.53</v>
      </c>
      <c r="V318" s="23">
        <f t="shared" si="289"/>
        <v>154935.91999999998</v>
      </c>
      <c r="W318" s="23">
        <v>115616.54</v>
      </c>
      <c r="X318" s="23">
        <v>39319.379999999997</v>
      </c>
      <c r="Y318" s="23">
        <f t="shared" si="293"/>
        <v>0</v>
      </c>
      <c r="Z318" s="23">
        <v>0</v>
      </c>
      <c r="AA318" s="23">
        <v>0</v>
      </c>
      <c r="AB318" s="23">
        <f t="shared" si="295"/>
        <v>19742.349999999999</v>
      </c>
      <c r="AC318" s="23">
        <v>15730.16</v>
      </c>
      <c r="AD318" s="23">
        <v>4012.19</v>
      </c>
      <c r="AE318" s="23">
        <f t="shared" si="292"/>
        <v>987116.21000000008</v>
      </c>
      <c r="AF318" s="23">
        <v>0</v>
      </c>
      <c r="AG318" s="26">
        <f t="shared" si="278"/>
        <v>987116.21000000008</v>
      </c>
      <c r="AH318" s="27" t="s">
        <v>585</v>
      </c>
      <c r="AI318" s="28" t="s">
        <v>185</v>
      </c>
      <c r="AJ318" s="29">
        <f>98711.62+82894.54-376.83+73798.02</f>
        <v>255027.34999999998</v>
      </c>
      <c r="AK318" s="29">
        <f>15808.4+376.83+15333.49</f>
        <v>31518.720000000001</v>
      </c>
    </row>
    <row r="319" spans="1:37" ht="173.25" x14ac:dyDescent="0.25">
      <c r="A319" s="12">
        <v>315</v>
      </c>
      <c r="B319" s="13">
        <v>113125</v>
      </c>
      <c r="C319" s="67">
        <v>230</v>
      </c>
      <c r="D319" s="13" t="s">
        <v>170</v>
      </c>
      <c r="E319" s="18" t="s">
        <v>165</v>
      </c>
      <c r="F319" s="16" t="s">
        <v>322</v>
      </c>
      <c r="G319" s="224" t="s">
        <v>761</v>
      </c>
      <c r="H319" s="30" t="s">
        <v>762</v>
      </c>
      <c r="I319" s="18" t="s">
        <v>353</v>
      </c>
      <c r="J319" s="14" t="s">
        <v>763</v>
      </c>
      <c r="K319" s="20">
        <v>43291</v>
      </c>
      <c r="L319" s="32">
        <v>43718</v>
      </c>
      <c r="M319" s="21">
        <f t="shared" si="294"/>
        <v>82.304188716846156</v>
      </c>
      <c r="N319" s="14" t="s">
        <v>324</v>
      </c>
      <c r="O319" s="14" t="s">
        <v>312</v>
      </c>
      <c r="P319" s="14" t="s">
        <v>312</v>
      </c>
      <c r="Q319" s="22" t="s">
        <v>326</v>
      </c>
      <c r="R319" s="14" t="s">
        <v>36</v>
      </c>
      <c r="S319" s="23">
        <f t="shared" si="288"/>
        <v>736342.77</v>
      </c>
      <c r="T319" s="23">
        <v>593796.28</v>
      </c>
      <c r="U319" s="23">
        <v>142546.49</v>
      </c>
      <c r="V319" s="23">
        <f t="shared" si="289"/>
        <v>140424.16999999998</v>
      </c>
      <c r="W319" s="23">
        <v>104787.58</v>
      </c>
      <c r="X319" s="23">
        <v>35636.589999999997</v>
      </c>
      <c r="Y319" s="23">
        <f t="shared" si="293"/>
        <v>0</v>
      </c>
      <c r="Z319" s="23"/>
      <c r="AA319" s="23"/>
      <c r="AB319" s="23">
        <f t="shared" si="295"/>
        <v>17893.2</v>
      </c>
      <c r="AC319" s="23">
        <v>14256.8</v>
      </c>
      <c r="AD319" s="23">
        <v>3636.4</v>
      </c>
      <c r="AE319" s="23">
        <f t="shared" si="292"/>
        <v>894660.1399999999</v>
      </c>
      <c r="AF319" s="23">
        <v>0</v>
      </c>
      <c r="AG319" s="26">
        <f t="shared" si="278"/>
        <v>894660.1399999999</v>
      </c>
      <c r="AH319" s="27" t="s">
        <v>585</v>
      </c>
      <c r="AI319" s="28" t="s">
        <v>422</v>
      </c>
      <c r="AJ319" s="29">
        <f>89466-9346.06+57163.11+27481.97+21414.56</f>
        <v>186179.58</v>
      </c>
      <c r="AK319" s="29">
        <f>9346.06+20716.82+4083.85</f>
        <v>34146.729999999996</v>
      </c>
    </row>
    <row r="320" spans="1:37" ht="315" x14ac:dyDescent="0.25">
      <c r="A320" s="12">
        <v>316</v>
      </c>
      <c r="B320" s="13">
        <v>112435</v>
      </c>
      <c r="C320" s="67">
        <v>323</v>
      </c>
      <c r="D320" s="13" t="s">
        <v>168</v>
      </c>
      <c r="E320" s="18" t="s">
        <v>165</v>
      </c>
      <c r="F320" s="16" t="s">
        <v>322</v>
      </c>
      <c r="G320" s="224" t="s">
        <v>764</v>
      </c>
      <c r="H320" s="30" t="s">
        <v>765</v>
      </c>
      <c r="I320" s="18" t="s">
        <v>766</v>
      </c>
      <c r="J320" s="240" t="s">
        <v>767</v>
      </c>
      <c r="K320" s="20">
        <v>43292</v>
      </c>
      <c r="L320" s="32">
        <v>43656</v>
      </c>
      <c r="M320" s="21">
        <f t="shared" si="294"/>
        <v>82.304182891954625</v>
      </c>
      <c r="N320" s="14" t="s">
        <v>324</v>
      </c>
      <c r="O320" s="14" t="s">
        <v>334</v>
      </c>
      <c r="P320" s="14" t="s">
        <v>334</v>
      </c>
      <c r="Q320" s="22" t="s">
        <v>326</v>
      </c>
      <c r="R320" s="14" t="s">
        <v>36</v>
      </c>
      <c r="S320" s="23">
        <f t="shared" si="288"/>
        <v>815316.89</v>
      </c>
      <c r="T320" s="23">
        <v>657481.98</v>
      </c>
      <c r="U320" s="23">
        <v>157834.91</v>
      </c>
      <c r="V320" s="23">
        <f t="shared" si="289"/>
        <v>155484.97999999998</v>
      </c>
      <c r="W320" s="23">
        <v>116026.31</v>
      </c>
      <c r="X320" s="23">
        <v>39458.67</v>
      </c>
      <c r="Y320" s="23">
        <f t="shared" si="293"/>
        <v>0</v>
      </c>
      <c r="Z320" s="23"/>
      <c r="AA320" s="23"/>
      <c r="AB320" s="23">
        <f t="shared" si="295"/>
        <v>19812.29</v>
      </c>
      <c r="AC320" s="23">
        <v>15785.9</v>
      </c>
      <c r="AD320" s="23">
        <v>4026.39</v>
      </c>
      <c r="AE320" s="23">
        <f t="shared" si="292"/>
        <v>990614.16</v>
      </c>
      <c r="AF320" s="23"/>
      <c r="AG320" s="26">
        <f t="shared" si="278"/>
        <v>990614.16</v>
      </c>
      <c r="AH320" s="27" t="s">
        <v>585</v>
      </c>
      <c r="AI320" s="28" t="s">
        <v>185</v>
      </c>
      <c r="AJ320" s="29">
        <f>181405.8+121986.95+126239.9+103787.17</f>
        <v>533419.82000000007</v>
      </c>
      <c r="AK320" s="29">
        <f>15703.63+42154.87+5183.15+19792.72</f>
        <v>82834.37</v>
      </c>
    </row>
    <row r="321" spans="1:37" ht="189" x14ac:dyDescent="0.25">
      <c r="A321" s="14">
        <v>317</v>
      </c>
      <c r="B321" s="13">
        <v>110839</v>
      </c>
      <c r="C321" s="67">
        <v>306</v>
      </c>
      <c r="D321" s="13" t="s">
        <v>168</v>
      </c>
      <c r="E321" s="18" t="s">
        <v>165</v>
      </c>
      <c r="F321" s="16" t="s">
        <v>322</v>
      </c>
      <c r="G321" s="224" t="s">
        <v>768</v>
      </c>
      <c r="H321" s="30" t="s">
        <v>769</v>
      </c>
      <c r="I321" s="18" t="s">
        <v>771</v>
      </c>
      <c r="J321" s="17" t="s">
        <v>770</v>
      </c>
      <c r="K321" s="20">
        <v>43292</v>
      </c>
      <c r="L321" s="32">
        <v>43779</v>
      </c>
      <c r="M321" s="21">
        <f t="shared" si="294"/>
        <v>82.304186604752402</v>
      </c>
      <c r="N321" s="14" t="s">
        <v>324</v>
      </c>
      <c r="O321" s="14" t="s">
        <v>772</v>
      </c>
      <c r="P321" s="14" t="s">
        <v>772</v>
      </c>
      <c r="Q321" s="22" t="s">
        <v>326</v>
      </c>
      <c r="R321" s="14" t="s">
        <v>36</v>
      </c>
      <c r="S321" s="23">
        <f t="shared" si="288"/>
        <v>800537.35</v>
      </c>
      <c r="T321" s="23">
        <v>645563.62</v>
      </c>
      <c r="U321" s="23">
        <v>154973.73000000001</v>
      </c>
      <c r="V321" s="23">
        <f t="shared" si="289"/>
        <v>152666.38</v>
      </c>
      <c r="W321" s="23">
        <v>113922.98</v>
      </c>
      <c r="X321" s="23">
        <v>38743.4</v>
      </c>
      <c r="Y321" s="23">
        <f t="shared" si="293"/>
        <v>0</v>
      </c>
      <c r="Z321" s="23"/>
      <c r="AA321" s="23"/>
      <c r="AB321" s="23">
        <f t="shared" si="295"/>
        <v>19453.169999999998</v>
      </c>
      <c r="AC321" s="23">
        <v>15499.74</v>
      </c>
      <c r="AD321" s="23">
        <v>3953.43</v>
      </c>
      <c r="AE321" s="23">
        <f t="shared" si="292"/>
        <v>972656.9</v>
      </c>
      <c r="AF321" s="23"/>
      <c r="AG321" s="26">
        <f t="shared" si="278"/>
        <v>972656.9</v>
      </c>
      <c r="AH321" s="27" t="s">
        <v>585</v>
      </c>
      <c r="AI321" s="28" t="s">
        <v>185</v>
      </c>
      <c r="AJ321" s="29">
        <f>97265.68-4932.42-9631.06+90930.16+45566.01+97265.68</f>
        <v>316464.05</v>
      </c>
      <c r="AK321" s="29">
        <f>4932.42+9631.06+27238.7</f>
        <v>41802.18</v>
      </c>
    </row>
    <row r="322" spans="1:37" ht="157.5" x14ac:dyDescent="0.25">
      <c r="A322" s="12">
        <v>318</v>
      </c>
      <c r="B322" s="13">
        <v>115895</v>
      </c>
      <c r="C322" s="67">
        <v>389</v>
      </c>
      <c r="D322" s="13" t="s">
        <v>171</v>
      </c>
      <c r="E322" s="227" t="s">
        <v>165</v>
      </c>
      <c r="F322" s="228" t="s">
        <v>445</v>
      </c>
      <c r="G322" s="224" t="s">
        <v>777</v>
      </c>
      <c r="H322" s="30" t="s">
        <v>778</v>
      </c>
      <c r="I322" s="18" t="s">
        <v>779</v>
      </c>
      <c r="J322" s="240" t="s">
        <v>780</v>
      </c>
      <c r="K322" s="20">
        <v>43293</v>
      </c>
      <c r="L322" s="32">
        <v>44085</v>
      </c>
      <c r="M322" s="21">
        <f t="shared" si="294"/>
        <v>83.983862876254179</v>
      </c>
      <c r="N322" s="14" t="s">
        <v>324</v>
      </c>
      <c r="O322" s="14" t="s">
        <v>312</v>
      </c>
      <c r="P322" s="14" t="s">
        <v>312</v>
      </c>
      <c r="Q322" s="22" t="s">
        <v>157</v>
      </c>
      <c r="R322" s="14" t="s">
        <v>36</v>
      </c>
      <c r="S322" s="23">
        <f t="shared" si="288"/>
        <v>2511117.5</v>
      </c>
      <c r="T322" s="23">
        <v>2024997.5</v>
      </c>
      <c r="U322" s="23">
        <v>486120</v>
      </c>
      <c r="V322" s="23">
        <f t="shared" si="289"/>
        <v>0</v>
      </c>
      <c r="W322" s="23"/>
      <c r="X322" s="23"/>
      <c r="Y322" s="23">
        <f t="shared" si="293"/>
        <v>478882.5</v>
      </c>
      <c r="Z322" s="23">
        <v>357352.51</v>
      </c>
      <c r="AA322" s="23">
        <v>121529.99</v>
      </c>
      <c r="AB322" s="23">
        <f t="shared" si="295"/>
        <v>0</v>
      </c>
      <c r="AC322" s="23"/>
      <c r="AD322" s="23"/>
      <c r="AE322" s="23">
        <f t="shared" si="292"/>
        <v>2990000</v>
      </c>
      <c r="AF322" s="23">
        <v>0</v>
      </c>
      <c r="AG322" s="26">
        <f t="shared" si="278"/>
        <v>2990000</v>
      </c>
      <c r="AH322" s="27" t="s">
        <v>585</v>
      </c>
      <c r="AI322" s="28" t="s">
        <v>422</v>
      </c>
      <c r="AJ322" s="29">
        <f>22377.18+70503.9</f>
        <v>92881.079999999987</v>
      </c>
      <c r="AK322" s="29">
        <v>0</v>
      </c>
    </row>
    <row r="323" spans="1:37" ht="409.5" x14ac:dyDescent="0.25">
      <c r="A323" s="12">
        <v>319</v>
      </c>
      <c r="B323" s="13">
        <v>111830</v>
      </c>
      <c r="C323" s="67">
        <v>377</v>
      </c>
      <c r="D323" s="13" t="s">
        <v>168</v>
      </c>
      <c r="E323" s="18" t="s">
        <v>1084</v>
      </c>
      <c r="F323" s="228" t="s">
        <v>635</v>
      </c>
      <c r="G323" s="224" t="s">
        <v>781</v>
      </c>
      <c r="H323" s="30" t="s">
        <v>782</v>
      </c>
      <c r="I323" s="18" t="s">
        <v>783</v>
      </c>
      <c r="J323" s="240" t="s">
        <v>784</v>
      </c>
      <c r="K323" s="20">
        <v>43297</v>
      </c>
      <c r="L323" s="32">
        <v>43785</v>
      </c>
      <c r="M323" s="21">
        <f t="shared" si="294"/>
        <v>83.143853391521404</v>
      </c>
      <c r="N323" s="14" t="s">
        <v>324</v>
      </c>
      <c r="O323" s="14" t="s">
        <v>312</v>
      </c>
      <c r="P323" s="14" t="s">
        <v>312</v>
      </c>
      <c r="Q323" s="22" t="s">
        <v>157</v>
      </c>
      <c r="R323" s="14" t="s">
        <v>36</v>
      </c>
      <c r="S323" s="23">
        <f t="shared" si="288"/>
        <v>5525318.4000000004</v>
      </c>
      <c r="T323" s="23">
        <v>4455687.92</v>
      </c>
      <c r="U323" s="23">
        <v>1069630.48</v>
      </c>
      <c r="V323" s="23">
        <f t="shared" si="289"/>
        <v>987264.15</v>
      </c>
      <c r="W323" s="23">
        <v>733359.16</v>
      </c>
      <c r="X323" s="23">
        <v>253904.99</v>
      </c>
      <c r="Y323" s="23">
        <f t="shared" si="293"/>
        <v>0</v>
      </c>
      <c r="Z323" s="23">
        <v>0</v>
      </c>
      <c r="AA323" s="23">
        <v>0</v>
      </c>
      <c r="AB323" s="23">
        <f t="shared" si="295"/>
        <v>132909.78</v>
      </c>
      <c r="AC323" s="23">
        <v>105898.92</v>
      </c>
      <c r="AD323" s="23">
        <v>27010.86</v>
      </c>
      <c r="AE323" s="23">
        <f t="shared" si="292"/>
        <v>6645492.330000001</v>
      </c>
      <c r="AF323" s="23">
        <v>0</v>
      </c>
      <c r="AG323" s="26">
        <f t="shared" si="278"/>
        <v>6645492.330000001</v>
      </c>
      <c r="AH323" s="27" t="s">
        <v>585</v>
      </c>
      <c r="AI323" s="28"/>
      <c r="AJ323" s="29">
        <f>548484.27-41743+295621.66+234985.63-55420.85+55420.85-13710.7+526395.38+34736.49+361108.85</f>
        <v>1945878.58</v>
      </c>
      <c r="AK323" s="29">
        <f>41743.03+36457.11+62913.45+29950.16+6624.41+62702.66</f>
        <v>240390.82</v>
      </c>
    </row>
    <row r="324" spans="1:37" ht="315" x14ac:dyDescent="0.25">
      <c r="A324" s="14">
        <v>320</v>
      </c>
      <c r="B324" s="13">
        <v>115784</v>
      </c>
      <c r="C324" s="67">
        <v>388</v>
      </c>
      <c r="D324" s="13" t="s">
        <v>170</v>
      </c>
      <c r="E324" s="227" t="s">
        <v>165</v>
      </c>
      <c r="F324" s="228" t="s">
        <v>445</v>
      </c>
      <c r="G324" s="224" t="s">
        <v>785</v>
      </c>
      <c r="H324" s="30" t="s">
        <v>51</v>
      </c>
      <c r="I324" s="18" t="s">
        <v>349</v>
      </c>
      <c r="J324" s="240" t="s">
        <v>786</v>
      </c>
      <c r="K324" s="20">
        <v>43297</v>
      </c>
      <c r="L324" s="32">
        <v>44090</v>
      </c>
      <c r="M324" s="21">
        <f t="shared" si="294"/>
        <v>83.98386251542432</v>
      </c>
      <c r="N324" s="14" t="s">
        <v>324</v>
      </c>
      <c r="O324" s="14" t="s">
        <v>312</v>
      </c>
      <c r="P324" s="14" t="s">
        <v>312</v>
      </c>
      <c r="Q324" s="22" t="s">
        <v>157</v>
      </c>
      <c r="R324" s="14" t="s">
        <v>36</v>
      </c>
      <c r="S324" s="23">
        <f t="shared" ref="S324" si="296">T324+U324</f>
        <v>2474673.0699999998</v>
      </c>
      <c r="T324" s="23">
        <v>1995608.24</v>
      </c>
      <c r="U324" s="23">
        <v>479064.83</v>
      </c>
      <c r="V324" s="23">
        <f t="shared" ref="V324" si="297">W324+X324</f>
        <v>0</v>
      </c>
      <c r="W324" s="23"/>
      <c r="X324" s="23"/>
      <c r="Y324" s="23">
        <f t="shared" ref="Y324" si="298">Z324+AA324</f>
        <v>471932.38</v>
      </c>
      <c r="Z324" s="23">
        <v>352166.15</v>
      </c>
      <c r="AA324" s="23">
        <v>119766.23</v>
      </c>
      <c r="AB324" s="23">
        <f t="shared" ref="AB324" si="299">AC324+AD324</f>
        <v>0</v>
      </c>
      <c r="AC324" s="23"/>
      <c r="AD324" s="23"/>
      <c r="AE324" s="23">
        <f t="shared" ref="AE324" si="300">S324+V324+Y324+AB324</f>
        <v>2946605.4499999997</v>
      </c>
      <c r="AF324" s="23">
        <v>0</v>
      </c>
      <c r="AG324" s="26">
        <f t="shared" si="278"/>
        <v>2946605.4499999997</v>
      </c>
      <c r="AH324" s="27" t="s">
        <v>585</v>
      </c>
      <c r="AI324" s="28" t="s">
        <v>422</v>
      </c>
      <c r="AJ324" s="29">
        <f>16075.53+34286.38+114041.85</f>
        <v>164403.76</v>
      </c>
      <c r="AK324" s="29">
        <v>0</v>
      </c>
    </row>
    <row r="325" spans="1:37" ht="173.25" x14ac:dyDescent="0.25">
      <c r="A325" s="12">
        <v>321</v>
      </c>
      <c r="B325" s="13">
        <v>109927</v>
      </c>
      <c r="C325" s="67">
        <v>334</v>
      </c>
      <c r="D325" s="13" t="s">
        <v>170</v>
      </c>
      <c r="E325" s="18" t="s">
        <v>165</v>
      </c>
      <c r="F325" s="16" t="s">
        <v>322</v>
      </c>
      <c r="G325" s="224" t="s">
        <v>787</v>
      </c>
      <c r="H325" s="30" t="s">
        <v>788</v>
      </c>
      <c r="I325" s="18" t="s">
        <v>349</v>
      </c>
      <c r="J325" s="240" t="s">
        <v>789</v>
      </c>
      <c r="K325" s="20">
        <v>43297</v>
      </c>
      <c r="L325" s="32">
        <v>43785</v>
      </c>
      <c r="M325" s="21">
        <f t="shared" si="294"/>
        <v>82.304185890830638</v>
      </c>
      <c r="N325" s="14" t="s">
        <v>324</v>
      </c>
      <c r="O325" s="14" t="s">
        <v>312</v>
      </c>
      <c r="P325" s="14" t="s">
        <v>312</v>
      </c>
      <c r="Q325" s="22" t="s">
        <v>157</v>
      </c>
      <c r="R325" s="14" t="s">
        <v>36</v>
      </c>
      <c r="S325" s="23">
        <f t="shared" si="288"/>
        <v>793991.64999999991</v>
      </c>
      <c r="T325" s="23">
        <v>640285.07999999996</v>
      </c>
      <c r="U325" s="23">
        <v>153706.57</v>
      </c>
      <c r="V325" s="23">
        <f t="shared" si="289"/>
        <v>151418.12</v>
      </c>
      <c r="W325" s="23">
        <v>112991.49</v>
      </c>
      <c r="X325" s="23">
        <v>38426.629999999997</v>
      </c>
      <c r="Y325" s="23">
        <f t="shared" si="293"/>
        <v>0</v>
      </c>
      <c r="Z325" s="23"/>
      <c r="AA325" s="23"/>
      <c r="AB325" s="23">
        <f t="shared" si="295"/>
        <v>19294.080000000002</v>
      </c>
      <c r="AC325" s="23">
        <v>15373</v>
      </c>
      <c r="AD325" s="23">
        <v>3921.08</v>
      </c>
      <c r="AE325" s="23">
        <f t="shared" si="292"/>
        <v>964703.84999999986</v>
      </c>
      <c r="AF325" s="23">
        <v>0</v>
      </c>
      <c r="AG325" s="26">
        <f t="shared" si="278"/>
        <v>964703.84999999986</v>
      </c>
      <c r="AH325" s="27" t="s">
        <v>585</v>
      </c>
      <c r="AI325" s="28" t="s">
        <v>422</v>
      </c>
      <c r="AJ325" s="29">
        <f>96470.38-14469.9+90345.75-11972.92+74755.32</f>
        <v>235128.63</v>
      </c>
      <c r="AK325" s="29">
        <f>14469.9+11972.92</f>
        <v>26442.82</v>
      </c>
    </row>
    <row r="326" spans="1:37" ht="141.75" x14ac:dyDescent="0.25">
      <c r="A326" s="12">
        <v>322</v>
      </c>
      <c r="B326" s="13">
        <v>111446</v>
      </c>
      <c r="C326" s="67">
        <v>161</v>
      </c>
      <c r="D326" s="13" t="s">
        <v>1320</v>
      </c>
      <c r="E326" s="18" t="s">
        <v>165</v>
      </c>
      <c r="F326" s="16" t="s">
        <v>322</v>
      </c>
      <c r="G326" s="224" t="s">
        <v>790</v>
      </c>
      <c r="H326" s="30" t="s">
        <v>791</v>
      </c>
      <c r="I326" s="18" t="s">
        <v>349</v>
      </c>
      <c r="J326" s="240" t="s">
        <v>792</v>
      </c>
      <c r="K326" s="20">
        <v>43297</v>
      </c>
      <c r="L326" s="32">
        <v>43785</v>
      </c>
      <c r="M326" s="21">
        <f t="shared" si="294"/>
        <v>82.304180439174772</v>
      </c>
      <c r="N326" s="14" t="s">
        <v>324</v>
      </c>
      <c r="O326" s="14" t="s">
        <v>312</v>
      </c>
      <c r="P326" s="14" t="s">
        <v>312</v>
      </c>
      <c r="Q326" s="22" t="s">
        <v>326</v>
      </c>
      <c r="R326" s="14" t="s">
        <v>36</v>
      </c>
      <c r="S326" s="23">
        <f t="shared" si="288"/>
        <v>820476.63</v>
      </c>
      <c r="T326" s="23">
        <v>661642.92000000004</v>
      </c>
      <c r="U326" s="23">
        <v>158833.71</v>
      </c>
      <c r="V326" s="23">
        <f t="shared" si="289"/>
        <v>156469</v>
      </c>
      <c r="W326" s="23">
        <v>116760.53</v>
      </c>
      <c r="X326" s="23">
        <v>39708.47</v>
      </c>
      <c r="Y326" s="23">
        <f t="shared" si="293"/>
        <v>0</v>
      </c>
      <c r="Z326" s="23"/>
      <c r="AA326" s="23"/>
      <c r="AB326" s="23">
        <f t="shared" si="295"/>
        <v>19937.669999999998</v>
      </c>
      <c r="AC326" s="23">
        <v>15885.81</v>
      </c>
      <c r="AD326" s="23">
        <v>4051.86</v>
      </c>
      <c r="AE326" s="23">
        <f t="shared" si="292"/>
        <v>996883.3</v>
      </c>
      <c r="AF326" s="23"/>
      <c r="AG326" s="26">
        <f t="shared" ref="AG326:AG384" si="301">AE326+AF326</f>
        <v>996883.3</v>
      </c>
      <c r="AH326" s="27" t="s">
        <v>585</v>
      </c>
      <c r="AI326" s="28" t="s">
        <v>349</v>
      </c>
      <c r="AJ326" s="29">
        <f>172463.58+91295.09-2619.6+99688.33+6676.64</f>
        <v>367504.04</v>
      </c>
      <c r="AK326" s="29">
        <f>13878.6+17410.43+18511.49+20284.35</f>
        <v>70084.87</v>
      </c>
    </row>
    <row r="327" spans="1:37" ht="173.25" x14ac:dyDescent="0.25">
      <c r="A327" s="14">
        <v>323</v>
      </c>
      <c r="B327" s="13">
        <v>111890</v>
      </c>
      <c r="C327" s="67">
        <v>249</v>
      </c>
      <c r="D327" s="13" t="s">
        <v>170</v>
      </c>
      <c r="E327" s="18" t="s">
        <v>165</v>
      </c>
      <c r="F327" s="16" t="s">
        <v>322</v>
      </c>
      <c r="G327" s="224" t="s">
        <v>813</v>
      </c>
      <c r="H327" s="30" t="s">
        <v>814</v>
      </c>
      <c r="I327" s="18" t="s">
        <v>815</v>
      </c>
      <c r="J327" s="245" t="s">
        <v>816</v>
      </c>
      <c r="K327" s="20">
        <v>43301</v>
      </c>
      <c r="L327" s="32">
        <v>43789</v>
      </c>
      <c r="M327" s="21">
        <f t="shared" si="294"/>
        <v>82.304182965305657</v>
      </c>
      <c r="N327" s="14" t="s">
        <v>324</v>
      </c>
      <c r="O327" s="14" t="s">
        <v>817</v>
      </c>
      <c r="P327" s="14" t="s">
        <v>817</v>
      </c>
      <c r="Q327" s="22" t="s">
        <v>326</v>
      </c>
      <c r="R327" s="14" t="s">
        <v>36</v>
      </c>
      <c r="S327" s="23">
        <f t="shared" si="288"/>
        <v>729698.45</v>
      </c>
      <c r="T327" s="23">
        <v>588438.22</v>
      </c>
      <c r="U327" s="23">
        <v>141260.23000000001</v>
      </c>
      <c r="V327" s="23">
        <f t="shared" si="289"/>
        <v>139157.12</v>
      </c>
      <c r="W327" s="23">
        <v>103842.06</v>
      </c>
      <c r="X327" s="23">
        <v>35315.06</v>
      </c>
      <c r="Y327" s="23">
        <f>Z327+AA327</f>
        <v>0</v>
      </c>
      <c r="Z327" s="23"/>
      <c r="AA327" s="23"/>
      <c r="AB327" s="23">
        <f>AC327+AD327</f>
        <v>17731.75</v>
      </c>
      <c r="AC327" s="23">
        <v>14128.18</v>
      </c>
      <c r="AD327" s="23">
        <v>3603.57</v>
      </c>
      <c r="AE327" s="23">
        <f t="shared" si="292"/>
        <v>886587.32</v>
      </c>
      <c r="AF327" s="23">
        <v>0</v>
      </c>
      <c r="AG327" s="26">
        <f t="shared" si="301"/>
        <v>886587.32</v>
      </c>
      <c r="AH327" s="27" t="s">
        <v>585</v>
      </c>
      <c r="AI327" s="28" t="s">
        <v>1407</v>
      </c>
      <c r="AJ327" s="29">
        <f>88658.73-1983.5-12014.52+85545.1-10611.49+136645.02</f>
        <v>286239.33999999997</v>
      </c>
      <c r="AK327" s="29">
        <f>14022.63+14374.66+9282.27</f>
        <v>37679.56</v>
      </c>
    </row>
    <row r="328" spans="1:37" ht="378" x14ac:dyDescent="0.25">
      <c r="A328" s="12">
        <v>324</v>
      </c>
      <c r="B328" s="13">
        <v>119429</v>
      </c>
      <c r="C328" s="67">
        <v>472</v>
      </c>
      <c r="D328" s="13" t="s">
        <v>684</v>
      </c>
      <c r="E328" s="18" t="s">
        <v>1041</v>
      </c>
      <c r="F328" s="16" t="s">
        <v>542</v>
      </c>
      <c r="G328" s="30" t="s">
        <v>824</v>
      </c>
      <c r="H328" s="30" t="s">
        <v>1123</v>
      </c>
      <c r="I328" s="18" t="s">
        <v>422</v>
      </c>
      <c r="J328" s="240" t="s">
        <v>825</v>
      </c>
      <c r="K328" s="20">
        <v>43304</v>
      </c>
      <c r="L328" s="32">
        <v>43669</v>
      </c>
      <c r="M328" s="21">
        <f t="shared" si="294"/>
        <v>85.000001381242228</v>
      </c>
      <c r="N328" s="14">
        <v>6</v>
      </c>
      <c r="O328" s="14" t="s">
        <v>823</v>
      </c>
      <c r="P328" s="14" t="s">
        <v>822</v>
      </c>
      <c r="Q328" s="22" t="s">
        <v>212</v>
      </c>
      <c r="R328" s="14" t="s">
        <v>546</v>
      </c>
      <c r="S328" s="23">
        <f t="shared" si="288"/>
        <v>215385.83</v>
      </c>
      <c r="T328" s="23">
        <v>215385.83</v>
      </c>
      <c r="U328" s="23">
        <v>0</v>
      </c>
      <c r="V328" s="23">
        <f t="shared" si="289"/>
        <v>32941.35</v>
      </c>
      <c r="W328" s="23">
        <v>32941.35</v>
      </c>
      <c r="X328" s="23">
        <v>0</v>
      </c>
      <c r="Y328" s="23">
        <f t="shared" si="293"/>
        <v>5067.91</v>
      </c>
      <c r="Z328" s="23">
        <v>5067.91</v>
      </c>
      <c r="AA328" s="23">
        <v>0</v>
      </c>
      <c r="AB328" s="23">
        <f t="shared" si="295"/>
        <v>0</v>
      </c>
      <c r="AC328" s="23">
        <v>0</v>
      </c>
      <c r="AD328" s="23">
        <v>0</v>
      </c>
      <c r="AE328" s="23">
        <f t="shared" si="292"/>
        <v>253395.09</v>
      </c>
      <c r="AF328" s="23"/>
      <c r="AG328" s="26">
        <f t="shared" si="301"/>
        <v>253395.09</v>
      </c>
      <c r="AH328" s="27" t="s">
        <v>585</v>
      </c>
      <c r="AI328" s="28"/>
      <c r="AJ328" s="1">
        <f>9089.05+29577.7+15247.3+43458.57</f>
        <v>97372.62</v>
      </c>
      <c r="AK328" s="29">
        <f>1390.09+4523.64+2331.94+6646.61</f>
        <v>14892.279999999999</v>
      </c>
    </row>
    <row r="329" spans="1:37" ht="409.5" x14ac:dyDescent="0.25">
      <c r="A329" s="12">
        <v>325</v>
      </c>
      <c r="B329" s="13">
        <v>116294</v>
      </c>
      <c r="C329" s="67">
        <v>395</v>
      </c>
      <c r="D329" s="13" t="s">
        <v>170</v>
      </c>
      <c r="E329" s="227" t="s">
        <v>165</v>
      </c>
      <c r="F329" s="16" t="s">
        <v>445</v>
      </c>
      <c r="G329" s="30" t="s">
        <v>838</v>
      </c>
      <c r="H329" s="30" t="s">
        <v>837</v>
      </c>
      <c r="I329" s="18" t="s">
        <v>840</v>
      </c>
      <c r="J329" s="240" t="s">
        <v>839</v>
      </c>
      <c r="K329" s="20">
        <v>43307</v>
      </c>
      <c r="L329" s="32">
        <v>44100</v>
      </c>
      <c r="M329" s="21">
        <f t="shared" si="294"/>
        <v>83.983862768208695</v>
      </c>
      <c r="N329" s="14" t="s">
        <v>324</v>
      </c>
      <c r="O329" s="14" t="s">
        <v>156</v>
      </c>
      <c r="P329" s="14" t="s">
        <v>156</v>
      </c>
      <c r="Q329" s="22" t="s">
        <v>157</v>
      </c>
      <c r="R329" s="14" t="s">
        <v>36</v>
      </c>
      <c r="S329" s="23">
        <f t="shared" si="288"/>
        <v>10337095.59</v>
      </c>
      <c r="T329" s="23">
        <v>8335966.9800000004</v>
      </c>
      <c r="U329" s="23">
        <v>2001128.61</v>
      </c>
      <c r="V329" s="23">
        <f t="shared" si="289"/>
        <v>861007.51</v>
      </c>
      <c r="W329" s="23">
        <v>636291.80000000005</v>
      </c>
      <c r="X329" s="23">
        <v>224715.71</v>
      </c>
      <c r="Y329" s="23">
        <f t="shared" si="293"/>
        <v>1110327.6499999999</v>
      </c>
      <c r="Z329" s="23">
        <v>834761.2</v>
      </c>
      <c r="AA329" s="23">
        <v>275566.45</v>
      </c>
      <c r="AB329" s="23">
        <f t="shared" si="295"/>
        <v>0</v>
      </c>
      <c r="AC329" s="23">
        <v>0</v>
      </c>
      <c r="AD329" s="23">
        <v>0</v>
      </c>
      <c r="AE329" s="23">
        <f t="shared" si="292"/>
        <v>12308430.75</v>
      </c>
      <c r="AF329" s="23"/>
      <c r="AG329" s="26">
        <f t="shared" si="301"/>
        <v>12308430.75</v>
      </c>
      <c r="AH329" s="27" t="s">
        <v>585</v>
      </c>
      <c r="AI329" s="28"/>
      <c r="AJ329" s="29">
        <f>310000+64383.69</f>
        <v>374383.69</v>
      </c>
      <c r="AK329" s="29">
        <v>10763.54</v>
      </c>
    </row>
    <row r="330" spans="1:37" ht="315" x14ac:dyDescent="0.25">
      <c r="A330" s="14">
        <v>326</v>
      </c>
      <c r="B330" s="13">
        <v>113123</v>
      </c>
      <c r="C330" s="67">
        <v>217</v>
      </c>
      <c r="D330" s="13" t="s">
        <v>172</v>
      </c>
      <c r="E330" s="18" t="s">
        <v>165</v>
      </c>
      <c r="F330" s="16" t="s">
        <v>322</v>
      </c>
      <c r="G330" s="30" t="s">
        <v>847</v>
      </c>
      <c r="H330" s="30" t="s">
        <v>848</v>
      </c>
      <c r="I330" s="18" t="s">
        <v>422</v>
      </c>
      <c r="J330" s="240" t="s">
        <v>849</v>
      </c>
      <c r="K330" s="20">
        <v>43312</v>
      </c>
      <c r="L330" s="20">
        <v>43799</v>
      </c>
      <c r="M330" s="21">
        <f t="shared" si="294"/>
        <v>82.304190953691275</v>
      </c>
      <c r="N330" s="14" t="s">
        <v>324</v>
      </c>
      <c r="O330" s="14" t="s">
        <v>156</v>
      </c>
      <c r="P330" s="14" t="s">
        <v>156</v>
      </c>
      <c r="Q330" s="22" t="s">
        <v>326</v>
      </c>
      <c r="R330" s="14" t="s">
        <v>36</v>
      </c>
      <c r="S330" s="23">
        <f t="shared" si="288"/>
        <v>500543.25</v>
      </c>
      <c r="T330" s="23">
        <v>403644.51</v>
      </c>
      <c r="U330" s="23">
        <v>96898.74</v>
      </c>
      <c r="V330" s="23">
        <f t="shared" si="289"/>
        <v>95456.04</v>
      </c>
      <c r="W330" s="23">
        <v>71231.399999999994</v>
      </c>
      <c r="X330" s="23">
        <v>24224.639999999999</v>
      </c>
      <c r="Y330" s="23">
        <f t="shared" si="293"/>
        <v>0</v>
      </c>
      <c r="Z330" s="23">
        <v>0</v>
      </c>
      <c r="AA330" s="23">
        <v>0</v>
      </c>
      <c r="AB330" s="23">
        <f t="shared" si="295"/>
        <v>12163.24</v>
      </c>
      <c r="AC330" s="23">
        <v>9691.31</v>
      </c>
      <c r="AD330" s="23">
        <v>2471.9299999999998</v>
      </c>
      <c r="AE330" s="23">
        <f t="shared" si="292"/>
        <v>608162.53</v>
      </c>
      <c r="AF330" s="23"/>
      <c r="AG330" s="26">
        <f t="shared" si="301"/>
        <v>608162.53</v>
      </c>
      <c r="AH330" s="27" t="s">
        <v>585</v>
      </c>
      <c r="AI330" s="28" t="s">
        <v>1380</v>
      </c>
      <c r="AJ330" s="29">
        <f>61292.27-7748.65+48380.24+48897.57+0.12+53107.14</f>
        <v>203928.69</v>
      </c>
      <c r="AK330" s="29">
        <f>7748.65+9425.87-0.12+10127.9</f>
        <v>27302.300000000003</v>
      </c>
    </row>
    <row r="331" spans="1:37" ht="173.25" x14ac:dyDescent="0.25">
      <c r="A331" s="12">
        <v>327</v>
      </c>
      <c r="B331" s="13">
        <v>112769</v>
      </c>
      <c r="C331" s="67">
        <v>154</v>
      </c>
      <c r="D331" s="13" t="s">
        <v>1320</v>
      </c>
      <c r="E331" s="18" t="s">
        <v>165</v>
      </c>
      <c r="F331" s="16" t="s">
        <v>322</v>
      </c>
      <c r="G331" s="30" t="s">
        <v>862</v>
      </c>
      <c r="H331" s="30" t="s">
        <v>863</v>
      </c>
      <c r="I331" s="18" t="s">
        <v>864</v>
      </c>
      <c r="J331" s="240" t="s">
        <v>865</v>
      </c>
      <c r="K331" s="20">
        <v>43312</v>
      </c>
      <c r="L331" s="32">
        <v>43738</v>
      </c>
      <c r="M331" s="21">
        <f t="shared" si="294"/>
        <v>82.304193908401487</v>
      </c>
      <c r="N331" s="14" t="s">
        <v>324</v>
      </c>
      <c r="O331" s="14" t="s">
        <v>156</v>
      </c>
      <c r="P331" s="14" t="s">
        <v>156</v>
      </c>
      <c r="Q331" s="22" t="s">
        <v>326</v>
      </c>
      <c r="R331" s="14" t="s">
        <v>36</v>
      </c>
      <c r="S331" s="23">
        <f t="shared" si="288"/>
        <v>810553.29</v>
      </c>
      <c r="T331" s="23">
        <v>653640.61</v>
      </c>
      <c r="U331" s="23">
        <v>156912.68</v>
      </c>
      <c r="V331" s="23">
        <f t="shared" si="289"/>
        <v>154576.41999999998</v>
      </c>
      <c r="W331" s="23">
        <v>115348.29</v>
      </c>
      <c r="X331" s="23">
        <v>39228.129999999997</v>
      </c>
      <c r="Y331" s="23">
        <f t="shared" si="293"/>
        <v>0</v>
      </c>
      <c r="Z331" s="23"/>
      <c r="AA331" s="23"/>
      <c r="AB331" s="23">
        <f t="shared" si="295"/>
        <v>19696.52</v>
      </c>
      <c r="AC331" s="23">
        <v>15693.62</v>
      </c>
      <c r="AD331" s="23">
        <v>4002.9</v>
      </c>
      <c r="AE331" s="23">
        <f t="shared" si="292"/>
        <v>984826.23</v>
      </c>
      <c r="AF331" s="23"/>
      <c r="AG331" s="26">
        <f t="shared" si="301"/>
        <v>984826.23</v>
      </c>
      <c r="AH331" s="27" t="s">
        <v>585</v>
      </c>
      <c r="AI331" s="28" t="s">
        <v>185</v>
      </c>
      <c r="AJ331" s="29">
        <f>98482.62-15061.09+94056.93+90069.4-1035.88</f>
        <v>266511.98</v>
      </c>
      <c r="AK331" s="29">
        <f>15061.09+3.81+17176.67+17183.59</f>
        <v>49425.16</v>
      </c>
    </row>
    <row r="332" spans="1:37" ht="162.75" customHeight="1" x14ac:dyDescent="0.25">
      <c r="A332" s="12">
        <v>328</v>
      </c>
      <c r="B332" s="13">
        <v>118824</v>
      </c>
      <c r="C332" s="67">
        <v>451</v>
      </c>
      <c r="D332" s="13" t="s">
        <v>168</v>
      </c>
      <c r="E332" s="18" t="s">
        <v>1083</v>
      </c>
      <c r="F332" s="75" t="s">
        <v>630</v>
      </c>
      <c r="G332" s="92" t="s">
        <v>868</v>
      </c>
      <c r="H332" s="94" t="s">
        <v>869</v>
      </c>
      <c r="I332" s="18" t="s">
        <v>870</v>
      </c>
      <c r="J332" s="17" t="s">
        <v>1035</v>
      </c>
      <c r="K332" s="20">
        <v>43311</v>
      </c>
      <c r="L332" s="32">
        <v>43860</v>
      </c>
      <c r="M332" s="21">
        <f t="shared" si="294"/>
        <v>83.245543779056959</v>
      </c>
      <c r="N332" s="14" t="s">
        <v>324</v>
      </c>
      <c r="O332" s="14" t="s">
        <v>156</v>
      </c>
      <c r="P332" s="14" t="s">
        <v>156</v>
      </c>
      <c r="Q332" s="22" t="s">
        <v>157</v>
      </c>
      <c r="R332" s="14" t="s">
        <v>36</v>
      </c>
      <c r="S332" s="23">
        <f t="shared" si="288"/>
        <v>3071406.9800000004</v>
      </c>
      <c r="T332" s="23">
        <v>2476821.9900000002</v>
      </c>
      <c r="U332" s="23">
        <v>594584.99</v>
      </c>
      <c r="V332" s="23">
        <f t="shared" si="289"/>
        <v>254554.22000000003</v>
      </c>
      <c r="W332" s="23">
        <v>189953.89</v>
      </c>
      <c r="X332" s="23">
        <v>64600.33</v>
      </c>
      <c r="Y332" s="23">
        <f t="shared" si="293"/>
        <v>331178.11</v>
      </c>
      <c r="Z332" s="23">
        <v>247132.37</v>
      </c>
      <c r="AA332" s="23">
        <v>84045.74</v>
      </c>
      <c r="AB332" s="23">
        <f t="shared" si="295"/>
        <v>32435.940000000002</v>
      </c>
      <c r="AC332" s="23">
        <v>25844.11</v>
      </c>
      <c r="AD332" s="23">
        <v>6591.83</v>
      </c>
      <c r="AE332" s="23">
        <f t="shared" si="292"/>
        <v>3689575.2500000005</v>
      </c>
      <c r="AF332" s="23"/>
      <c r="AG332" s="26">
        <f t="shared" si="301"/>
        <v>3689575.2500000005</v>
      </c>
      <c r="AH332" s="99" t="s">
        <v>871</v>
      </c>
      <c r="AI332" s="28"/>
      <c r="AJ332" s="29">
        <f>162179.72+66847.3+174727.59+128489.76+146998.55+115400.5</f>
        <v>794643.41999999993</v>
      </c>
      <c r="AK332" s="29">
        <f>12748.1+24503.64+22007.46</f>
        <v>59259.199999999997</v>
      </c>
    </row>
    <row r="333" spans="1:37" ht="189" x14ac:dyDescent="0.25">
      <c r="A333" s="14">
        <v>329</v>
      </c>
      <c r="B333" s="13">
        <v>113009</v>
      </c>
      <c r="C333" s="67">
        <v>296</v>
      </c>
      <c r="D333" s="13" t="s">
        <v>1320</v>
      </c>
      <c r="E333" s="18" t="s">
        <v>165</v>
      </c>
      <c r="F333" s="16" t="s">
        <v>322</v>
      </c>
      <c r="G333" s="224" t="s">
        <v>878</v>
      </c>
      <c r="H333" s="30" t="s">
        <v>879</v>
      </c>
      <c r="I333" s="18" t="s">
        <v>880</v>
      </c>
      <c r="J333" s="240" t="s">
        <v>881</v>
      </c>
      <c r="K333" s="20">
        <v>43318</v>
      </c>
      <c r="L333" s="32">
        <v>43682</v>
      </c>
      <c r="M333" s="21">
        <f t="shared" si="294"/>
        <v>82.304184738955826</v>
      </c>
      <c r="N333" s="14" t="s">
        <v>324</v>
      </c>
      <c r="O333" s="14" t="s">
        <v>882</v>
      </c>
      <c r="P333" s="14" t="s">
        <v>883</v>
      </c>
      <c r="Q333" s="22" t="s">
        <v>326</v>
      </c>
      <c r="R333" s="14" t="s">
        <v>36</v>
      </c>
      <c r="S333" s="23">
        <f t="shared" si="288"/>
        <v>819749.67999999993</v>
      </c>
      <c r="T333" s="23">
        <v>661056.71</v>
      </c>
      <c r="U333" s="23">
        <v>158692.97</v>
      </c>
      <c r="V333" s="23">
        <f t="shared" si="289"/>
        <v>156330.31</v>
      </c>
      <c r="W333" s="23">
        <v>116657.06</v>
      </c>
      <c r="X333" s="23">
        <v>39673.25</v>
      </c>
      <c r="Y333" s="23">
        <f t="shared" si="293"/>
        <v>0</v>
      </c>
      <c r="Z333" s="23"/>
      <c r="AA333" s="23"/>
      <c r="AB333" s="23">
        <f t="shared" si="295"/>
        <v>19920.010000000002</v>
      </c>
      <c r="AC333" s="23">
        <v>15871.7</v>
      </c>
      <c r="AD333" s="23">
        <v>4048.31</v>
      </c>
      <c r="AE333" s="23">
        <f t="shared" si="292"/>
        <v>996000</v>
      </c>
      <c r="AF333" s="23"/>
      <c r="AG333" s="26">
        <f t="shared" si="301"/>
        <v>996000</v>
      </c>
      <c r="AH333" s="99" t="s">
        <v>871</v>
      </c>
      <c r="AI333" s="28"/>
      <c r="AJ333" s="29">
        <f>11711.89+112463.33+73006.84</f>
        <v>197182.06</v>
      </c>
      <c r="AK333" s="29">
        <f>2233.51+2453.09+13922.77</f>
        <v>18609.370000000003</v>
      </c>
    </row>
    <row r="334" spans="1:37" ht="141.75" x14ac:dyDescent="0.25">
      <c r="A334" s="12">
        <v>330</v>
      </c>
      <c r="B334" s="13">
        <v>112982</v>
      </c>
      <c r="C334" s="67">
        <v>297</v>
      </c>
      <c r="D334" s="13" t="s">
        <v>1074</v>
      </c>
      <c r="E334" s="18" t="s">
        <v>165</v>
      </c>
      <c r="F334" s="16" t="s">
        <v>322</v>
      </c>
      <c r="G334" s="224" t="s">
        <v>884</v>
      </c>
      <c r="H334" s="30" t="s">
        <v>885</v>
      </c>
      <c r="I334" s="18" t="s">
        <v>886</v>
      </c>
      <c r="J334" s="240" t="s">
        <v>887</v>
      </c>
      <c r="K334" s="20">
        <v>43318</v>
      </c>
      <c r="L334" s="32">
        <v>43682</v>
      </c>
      <c r="M334" s="21">
        <f t="shared" si="294"/>
        <v>82.304142421748935</v>
      </c>
      <c r="N334" s="14" t="s">
        <v>324</v>
      </c>
      <c r="O334" s="14" t="s">
        <v>853</v>
      </c>
      <c r="P334" s="14" t="s">
        <v>888</v>
      </c>
      <c r="Q334" s="22" t="s">
        <v>326</v>
      </c>
      <c r="R334" s="14" t="s">
        <v>36</v>
      </c>
      <c r="S334" s="23">
        <f t="shared" si="288"/>
        <v>819220.94</v>
      </c>
      <c r="T334" s="23">
        <f>660630.63-0.29</f>
        <v>660630.34</v>
      </c>
      <c r="U334" s="23">
        <f>158590.68-0.08</f>
        <v>158590.6</v>
      </c>
      <c r="V334" s="23">
        <f t="shared" si="289"/>
        <v>156229.57</v>
      </c>
      <c r="W334" s="23">
        <f>116581.9-0.05</f>
        <v>116581.84999999999</v>
      </c>
      <c r="X334" s="23">
        <f>39647.73-0.01</f>
        <v>39647.72</v>
      </c>
      <c r="Y334" s="23">
        <f t="shared" si="293"/>
        <v>0</v>
      </c>
      <c r="Z334" s="23"/>
      <c r="AA334" s="23"/>
      <c r="AB334" s="23">
        <f t="shared" si="295"/>
        <v>19907.580000000002</v>
      </c>
      <c r="AC334" s="23">
        <f>15861.49+0.34</f>
        <v>15861.83</v>
      </c>
      <c r="AD334" s="23">
        <f>4045.66+0.09</f>
        <v>4045.75</v>
      </c>
      <c r="AE334" s="23">
        <f t="shared" si="292"/>
        <v>995358.09</v>
      </c>
      <c r="AF334" s="23"/>
      <c r="AG334" s="26">
        <f t="shared" si="301"/>
        <v>995358.09</v>
      </c>
      <c r="AH334" s="99" t="s">
        <v>871</v>
      </c>
      <c r="AI334" s="28"/>
      <c r="AJ334" s="29">
        <f>165765.11+56722.24+28008.96+69100.38-9760.15+61890.51+86983.18+50044.51+10153.07+68034.97</f>
        <v>586942.77999999991</v>
      </c>
      <c r="AK334" s="29">
        <f>14377.08+10817.21+22576.59+11316.48+16588.12+13157.91+10124.9+5883.58</f>
        <v>104841.87</v>
      </c>
    </row>
    <row r="335" spans="1:37" ht="267.75" x14ac:dyDescent="0.25">
      <c r="A335" s="12">
        <v>331</v>
      </c>
      <c r="B335" s="13">
        <v>110476</v>
      </c>
      <c r="C335" s="67">
        <v>203</v>
      </c>
      <c r="D335" s="13" t="s">
        <v>172</v>
      </c>
      <c r="E335" s="18" t="s">
        <v>165</v>
      </c>
      <c r="F335" s="16" t="s">
        <v>322</v>
      </c>
      <c r="G335" s="224" t="s">
        <v>903</v>
      </c>
      <c r="H335" s="30" t="s">
        <v>902</v>
      </c>
      <c r="I335" s="18" t="s">
        <v>904</v>
      </c>
      <c r="J335" s="240" t="s">
        <v>905</v>
      </c>
      <c r="K335" s="20">
        <v>43321</v>
      </c>
      <c r="L335" s="32">
        <v>43808</v>
      </c>
      <c r="M335" s="21">
        <f t="shared" si="294"/>
        <v>82.304181989191633</v>
      </c>
      <c r="N335" s="14" t="s">
        <v>324</v>
      </c>
      <c r="O335" s="14" t="s">
        <v>345</v>
      </c>
      <c r="P335" s="14" t="s">
        <v>345</v>
      </c>
      <c r="Q335" s="22" t="s">
        <v>326</v>
      </c>
      <c r="R335" s="14" t="s">
        <v>36</v>
      </c>
      <c r="S335" s="23">
        <f t="shared" si="288"/>
        <v>792472.45</v>
      </c>
      <c r="T335" s="23">
        <v>639059.98</v>
      </c>
      <c r="U335" s="23">
        <v>153412.47</v>
      </c>
      <c r="V335" s="23">
        <f t="shared" si="289"/>
        <v>151128.43</v>
      </c>
      <c r="W335" s="23">
        <v>112775.29</v>
      </c>
      <c r="X335" s="23">
        <v>38353.14</v>
      </c>
      <c r="Y335" s="23">
        <f t="shared" si="293"/>
        <v>0</v>
      </c>
      <c r="Z335" s="23">
        <v>0</v>
      </c>
      <c r="AA335" s="23">
        <v>0</v>
      </c>
      <c r="AB335" s="23">
        <f t="shared" si="295"/>
        <v>19257.18</v>
      </c>
      <c r="AC335" s="23">
        <v>15343.62</v>
      </c>
      <c r="AD335" s="23">
        <v>3913.56</v>
      </c>
      <c r="AE335" s="23">
        <f t="shared" si="292"/>
        <v>962858.05999999994</v>
      </c>
      <c r="AF335" s="23"/>
      <c r="AG335" s="26">
        <f t="shared" si="301"/>
        <v>962858.05999999994</v>
      </c>
      <c r="AH335" s="99" t="s">
        <v>871</v>
      </c>
      <c r="AI335" s="28"/>
      <c r="AJ335" s="29">
        <f>96285.8+47700.86+109022.07+9510.48+92679.05</f>
        <v>355198.26</v>
      </c>
      <c r="AK335" s="29">
        <f>23108.4+6779.44+19488.05</f>
        <v>49375.89</v>
      </c>
    </row>
    <row r="336" spans="1:37" ht="141.75" x14ac:dyDescent="0.25">
      <c r="A336" s="14">
        <v>332</v>
      </c>
      <c r="B336" s="13">
        <v>111413</v>
      </c>
      <c r="C336" s="67">
        <v>245</v>
      </c>
      <c r="D336" s="13" t="s">
        <v>170</v>
      </c>
      <c r="E336" s="18" t="s">
        <v>165</v>
      </c>
      <c r="F336" s="16" t="s">
        <v>322</v>
      </c>
      <c r="G336" s="224" t="s">
        <v>910</v>
      </c>
      <c r="H336" s="30" t="s">
        <v>911</v>
      </c>
      <c r="I336" s="18" t="s">
        <v>912</v>
      </c>
      <c r="J336" s="240" t="s">
        <v>913</v>
      </c>
      <c r="K336" s="20">
        <v>43325</v>
      </c>
      <c r="L336" s="32">
        <v>43812</v>
      </c>
      <c r="M336" s="21">
        <f t="shared" si="294"/>
        <v>82.510189524515496</v>
      </c>
      <c r="N336" s="14" t="s">
        <v>324</v>
      </c>
      <c r="O336" s="14" t="s">
        <v>312</v>
      </c>
      <c r="P336" s="14" t="s">
        <v>312</v>
      </c>
      <c r="Q336" s="22" t="s">
        <v>326</v>
      </c>
      <c r="R336" s="14" t="s">
        <v>36</v>
      </c>
      <c r="S336" s="23">
        <f t="shared" si="288"/>
        <v>805149.57</v>
      </c>
      <c r="T336" s="23">
        <v>649282.97</v>
      </c>
      <c r="U336" s="23">
        <v>155866.6</v>
      </c>
      <c r="V336" s="23">
        <f t="shared" si="289"/>
        <v>134378</v>
      </c>
      <c r="W336" s="23">
        <v>100275.78</v>
      </c>
      <c r="X336" s="23">
        <v>34102.22</v>
      </c>
      <c r="Y336" s="23">
        <f t="shared" si="293"/>
        <v>19168</v>
      </c>
      <c r="Z336" s="23">
        <v>14303.59</v>
      </c>
      <c r="AA336" s="23">
        <v>4864.41</v>
      </c>
      <c r="AB336" s="23">
        <f t="shared" si="295"/>
        <v>17122.78</v>
      </c>
      <c r="AC336" s="23">
        <v>13642.95</v>
      </c>
      <c r="AD336" s="23">
        <v>3479.83</v>
      </c>
      <c r="AE336" s="23">
        <f t="shared" si="292"/>
        <v>975818.35</v>
      </c>
      <c r="AF336" s="23">
        <v>0</v>
      </c>
      <c r="AG336" s="26">
        <f t="shared" si="301"/>
        <v>975818.35</v>
      </c>
      <c r="AH336" s="99" t="s">
        <v>871</v>
      </c>
      <c r="AI336" s="28" t="s">
        <v>349</v>
      </c>
      <c r="AJ336" s="29">
        <f>85600-10278.92+91440.93+64880.29+85600+67989.89</f>
        <v>385232.19000000006</v>
      </c>
      <c r="AK336" s="29">
        <f>10278.92+5199.07+27998.08+12966.01</f>
        <v>56442.080000000002</v>
      </c>
    </row>
    <row r="337" spans="1:37" ht="288.60000000000002" customHeight="1" x14ac:dyDescent="0.25">
      <c r="A337" s="12">
        <v>333</v>
      </c>
      <c r="B337" s="13">
        <v>112299</v>
      </c>
      <c r="C337" s="67">
        <v>370</v>
      </c>
      <c r="D337" s="13" t="s">
        <v>168</v>
      </c>
      <c r="E337" s="14" t="s">
        <v>1084</v>
      </c>
      <c r="F337" s="16" t="s">
        <v>635</v>
      </c>
      <c r="G337" s="224" t="s">
        <v>920</v>
      </c>
      <c r="H337" s="30" t="s">
        <v>921</v>
      </c>
      <c r="I337" s="18" t="s">
        <v>185</v>
      </c>
      <c r="J337" s="224" t="s">
        <v>922</v>
      </c>
      <c r="K337" s="20">
        <v>43322</v>
      </c>
      <c r="L337" s="32">
        <v>43809</v>
      </c>
      <c r="M337" s="21">
        <f t="shared" si="294"/>
        <v>82.304185282751305</v>
      </c>
      <c r="N337" s="14" t="s">
        <v>324</v>
      </c>
      <c r="O337" s="14" t="s">
        <v>312</v>
      </c>
      <c r="P337" s="14" t="s">
        <v>312</v>
      </c>
      <c r="Q337" s="22" t="s">
        <v>326</v>
      </c>
      <c r="R337" s="14" t="s">
        <v>36</v>
      </c>
      <c r="S337" s="23">
        <f t="shared" si="288"/>
        <v>5950616.5299999993</v>
      </c>
      <c r="T337" s="23">
        <v>4798653.8099999996</v>
      </c>
      <c r="U337" s="23">
        <v>1151962.72</v>
      </c>
      <c r="V337" s="23">
        <f t="shared" si="289"/>
        <v>1134811.99</v>
      </c>
      <c r="W337" s="23">
        <v>846821.28</v>
      </c>
      <c r="X337" s="23">
        <v>287990.71000000002</v>
      </c>
      <c r="Y337" s="23">
        <f t="shared" si="293"/>
        <v>0</v>
      </c>
      <c r="Z337" s="23">
        <v>0</v>
      </c>
      <c r="AA337" s="23">
        <v>0</v>
      </c>
      <c r="AB337" s="23">
        <f t="shared" si="295"/>
        <v>144600.56</v>
      </c>
      <c r="AC337" s="23">
        <v>115213.74</v>
      </c>
      <c r="AD337" s="23">
        <v>29386.82</v>
      </c>
      <c r="AE337" s="23">
        <f t="shared" si="292"/>
        <v>7230029.0799999991</v>
      </c>
      <c r="AF337" s="23">
        <v>138667.75</v>
      </c>
      <c r="AG337" s="26">
        <f t="shared" si="301"/>
        <v>7368696.8299999991</v>
      </c>
      <c r="AH337" s="99" t="s">
        <v>871</v>
      </c>
      <c r="AI337" s="28"/>
      <c r="AJ337" s="29">
        <f>282756.47-22704+3451.47+697697.8-66522.25</f>
        <v>894679.49</v>
      </c>
      <c r="AK337" s="29">
        <f>22703.99+27547.51+66522.25</f>
        <v>116773.75</v>
      </c>
    </row>
    <row r="338" spans="1:37" ht="119.25" customHeight="1" x14ac:dyDescent="0.25">
      <c r="A338" s="12">
        <v>334</v>
      </c>
      <c r="B338" s="13">
        <v>112241</v>
      </c>
      <c r="C338" s="67">
        <v>291</v>
      </c>
      <c r="D338" s="13" t="s">
        <v>1320</v>
      </c>
      <c r="E338" s="18" t="s">
        <v>165</v>
      </c>
      <c r="F338" s="16" t="s">
        <v>322</v>
      </c>
      <c r="G338" s="224" t="s">
        <v>934</v>
      </c>
      <c r="H338" s="30" t="s">
        <v>935</v>
      </c>
      <c r="I338" s="18" t="s">
        <v>936</v>
      </c>
      <c r="J338" s="240" t="s">
        <v>937</v>
      </c>
      <c r="K338" s="20">
        <v>43332</v>
      </c>
      <c r="L338" s="32">
        <v>43818</v>
      </c>
      <c r="M338" s="21">
        <f t="shared" si="294"/>
        <v>82.583882850083839</v>
      </c>
      <c r="N338" s="69" t="s">
        <v>155</v>
      </c>
      <c r="O338" s="14" t="s">
        <v>720</v>
      </c>
      <c r="P338" s="14" t="s">
        <v>708</v>
      </c>
      <c r="Q338" s="22" t="s">
        <v>326</v>
      </c>
      <c r="R338" s="246" t="s">
        <v>36</v>
      </c>
      <c r="S338" s="23">
        <f t="shared" si="288"/>
        <v>824427.28</v>
      </c>
      <c r="T338" s="23">
        <v>664828.78</v>
      </c>
      <c r="U338" s="23">
        <v>159598.5</v>
      </c>
      <c r="V338" s="23">
        <f t="shared" si="289"/>
        <v>130597.97</v>
      </c>
      <c r="W338" s="23">
        <v>97455.03</v>
      </c>
      <c r="X338" s="23">
        <v>33142.94</v>
      </c>
      <c r="Y338" s="23">
        <f t="shared" si="293"/>
        <v>26624.399999999998</v>
      </c>
      <c r="Z338" s="23">
        <v>19867.71</v>
      </c>
      <c r="AA338" s="23">
        <v>6756.69</v>
      </c>
      <c r="AB338" s="23">
        <f t="shared" si="295"/>
        <v>16641.12</v>
      </c>
      <c r="AC338" s="23">
        <v>13259.17</v>
      </c>
      <c r="AD338" s="23">
        <v>3381.95</v>
      </c>
      <c r="AE338" s="23">
        <f t="shared" si="292"/>
        <v>998290.77</v>
      </c>
      <c r="AF338" s="23"/>
      <c r="AG338" s="26">
        <f t="shared" si="301"/>
        <v>998290.77</v>
      </c>
      <c r="AH338" s="99" t="s">
        <v>871</v>
      </c>
      <c r="AI338" s="28"/>
      <c r="AJ338" s="29">
        <f>81541.49+87388.02+13666.61+117720.04+28127.79+78797.35</f>
        <v>407241.29999999993</v>
      </c>
      <c r="AK338" s="29">
        <f>16166.91+2606.29+16916.51+3786.15+14772.46</f>
        <v>54248.32</v>
      </c>
    </row>
    <row r="339" spans="1:37" ht="270" customHeight="1" x14ac:dyDescent="0.25">
      <c r="A339" s="14">
        <v>335</v>
      </c>
      <c r="B339" s="13">
        <v>111881</v>
      </c>
      <c r="C339" s="67">
        <v>222</v>
      </c>
      <c r="D339" s="13" t="s">
        <v>172</v>
      </c>
      <c r="E339" s="18" t="s">
        <v>165</v>
      </c>
      <c r="F339" s="16" t="s">
        <v>322</v>
      </c>
      <c r="G339" s="247" t="s">
        <v>938</v>
      </c>
      <c r="H339" s="248" t="s">
        <v>939</v>
      </c>
      <c r="I339" s="18" t="s">
        <v>940</v>
      </c>
      <c r="J339" s="19" t="s">
        <v>941</v>
      </c>
      <c r="K339" s="20">
        <v>43332</v>
      </c>
      <c r="L339" s="32">
        <v>43819</v>
      </c>
      <c r="M339" s="21">
        <f t="shared" si="294"/>
        <v>82.304191094798739</v>
      </c>
      <c r="N339" s="69" t="s">
        <v>155</v>
      </c>
      <c r="O339" s="14" t="s">
        <v>312</v>
      </c>
      <c r="P339" s="14" t="s">
        <v>312</v>
      </c>
      <c r="Q339" s="22" t="s">
        <v>326</v>
      </c>
      <c r="R339" s="14" t="s">
        <v>36</v>
      </c>
      <c r="S339" s="23">
        <f t="shared" si="288"/>
        <v>817219.90999999992</v>
      </c>
      <c r="T339" s="23">
        <v>659016.69999999995</v>
      </c>
      <c r="U339" s="23">
        <v>158203.21</v>
      </c>
      <c r="V339" s="23">
        <f t="shared" si="289"/>
        <v>155847.81</v>
      </c>
      <c r="W339" s="23">
        <v>116297.02</v>
      </c>
      <c r="X339" s="23">
        <v>39550.79</v>
      </c>
      <c r="Y339" s="23">
        <f t="shared" si="293"/>
        <v>19858.52</v>
      </c>
      <c r="Z339" s="23">
        <v>15822.67</v>
      </c>
      <c r="AA339" s="23">
        <v>4035.85</v>
      </c>
      <c r="AB339" s="23">
        <f t="shared" si="295"/>
        <v>0</v>
      </c>
      <c r="AC339" s="23">
        <v>0</v>
      </c>
      <c r="AD339" s="23">
        <v>0</v>
      </c>
      <c r="AE339" s="23">
        <f t="shared" si="292"/>
        <v>992926.24</v>
      </c>
      <c r="AF339" s="23"/>
      <c r="AG339" s="26">
        <f t="shared" si="301"/>
        <v>992926.24</v>
      </c>
      <c r="AH339" s="99" t="s">
        <v>871</v>
      </c>
      <c r="AI339" s="28" t="s">
        <v>1227</v>
      </c>
      <c r="AJ339" s="29">
        <f>99292.62-14519.17+90653.42-15093.22+94237.53</f>
        <v>254571.18</v>
      </c>
      <c r="AK339" s="29">
        <f>14519.17+15093.22</f>
        <v>29612.39</v>
      </c>
    </row>
    <row r="340" spans="1:37" ht="409.5" x14ac:dyDescent="0.25">
      <c r="A340" s="12">
        <v>336</v>
      </c>
      <c r="B340" s="13">
        <v>111434</v>
      </c>
      <c r="C340" s="67">
        <v>141</v>
      </c>
      <c r="D340" s="13" t="s">
        <v>1074</v>
      </c>
      <c r="E340" s="18" t="s">
        <v>165</v>
      </c>
      <c r="F340" s="16" t="s">
        <v>322</v>
      </c>
      <c r="G340" s="224" t="s">
        <v>946</v>
      </c>
      <c r="H340" s="30" t="s">
        <v>947</v>
      </c>
      <c r="I340" s="18" t="s">
        <v>948</v>
      </c>
      <c r="J340" s="240" t="s">
        <v>1015</v>
      </c>
      <c r="K340" s="20">
        <v>43332</v>
      </c>
      <c r="L340" s="32">
        <v>43819</v>
      </c>
      <c r="M340" s="21">
        <f t="shared" si="294"/>
        <v>82.30418537074344</v>
      </c>
      <c r="N340" s="14" t="s">
        <v>324</v>
      </c>
      <c r="O340" s="14" t="s">
        <v>156</v>
      </c>
      <c r="P340" s="14" t="s">
        <v>156</v>
      </c>
      <c r="Q340" s="22" t="s">
        <v>326</v>
      </c>
      <c r="R340" s="246" t="s">
        <v>36</v>
      </c>
      <c r="S340" s="23">
        <f t="shared" si="288"/>
        <v>822576.44</v>
      </c>
      <c r="T340" s="23">
        <v>663336.19999999995</v>
      </c>
      <c r="U340" s="23">
        <v>159240.24</v>
      </c>
      <c r="V340" s="23">
        <f t="shared" si="289"/>
        <v>156869.40000000002</v>
      </c>
      <c r="W340" s="23">
        <v>117059.35</v>
      </c>
      <c r="X340" s="23">
        <v>39810.050000000003</v>
      </c>
      <c r="Y340" s="23">
        <f t="shared" si="293"/>
        <v>19988.68</v>
      </c>
      <c r="Z340" s="23">
        <v>15926.46</v>
      </c>
      <c r="AA340" s="23">
        <v>4062.22</v>
      </c>
      <c r="AB340" s="23">
        <f t="shared" si="295"/>
        <v>0</v>
      </c>
      <c r="AC340" s="23"/>
      <c r="AD340" s="23"/>
      <c r="AE340" s="23">
        <f t="shared" si="292"/>
        <v>999434.52</v>
      </c>
      <c r="AF340" s="23"/>
      <c r="AG340" s="26">
        <f t="shared" si="301"/>
        <v>999434.52</v>
      </c>
      <c r="AH340" s="99" t="s">
        <v>871</v>
      </c>
      <c r="AI340" s="28" t="s">
        <v>940</v>
      </c>
      <c r="AJ340" s="29">
        <f>49971.72+83543.84+96913+21111.43+81377.76</f>
        <v>332917.75</v>
      </c>
      <c r="AK340" s="29">
        <f>24884.17+21127.4</f>
        <v>46011.57</v>
      </c>
    </row>
    <row r="341" spans="1:37" ht="174" customHeight="1" thickBot="1" x14ac:dyDescent="0.3">
      <c r="A341" s="12">
        <v>337</v>
      </c>
      <c r="B341" s="13">
        <v>112374</v>
      </c>
      <c r="C341" s="67">
        <v>142</v>
      </c>
      <c r="D341" s="13" t="s">
        <v>1320</v>
      </c>
      <c r="E341" s="18" t="s">
        <v>165</v>
      </c>
      <c r="F341" s="16" t="s">
        <v>322</v>
      </c>
      <c r="G341" s="224" t="s">
        <v>951</v>
      </c>
      <c r="H341" s="30" t="s">
        <v>952</v>
      </c>
      <c r="I341" s="18" t="s">
        <v>353</v>
      </c>
      <c r="J341" s="240" t="s">
        <v>953</v>
      </c>
      <c r="K341" s="20">
        <v>43333</v>
      </c>
      <c r="L341" s="32">
        <v>43819</v>
      </c>
      <c r="M341" s="21">
        <f t="shared" si="294"/>
        <v>82.304182898535288</v>
      </c>
      <c r="N341" s="14" t="s">
        <v>324</v>
      </c>
      <c r="O341" s="14" t="s">
        <v>156</v>
      </c>
      <c r="P341" s="14" t="s">
        <v>156</v>
      </c>
      <c r="Q341" s="22" t="s">
        <v>326</v>
      </c>
      <c r="R341" s="14" t="s">
        <v>36</v>
      </c>
      <c r="S341" s="23">
        <f t="shared" si="288"/>
        <v>776266.51</v>
      </c>
      <c r="T341" s="23">
        <v>625991.30000000005</v>
      </c>
      <c r="U341" s="23">
        <v>150275.21</v>
      </c>
      <c r="V341" s="23">
        <f t="shared" si="289"/>
        <v>148037.87</v>
      </c>
      <c r="W341" s="23">
        <v>110469.08</v>
      </c>
      <c r="X341" s="23">
        <v>37568.79</v>
      </c>
      <c r="Y341" s="23">
        <f t="shared" si="293"/>
        <v>0</v>
      </c>
      <c r="Z341" s="23"/>
      <c r="AA341" s="23"/>
      <c r="AB341" s="23">
        <f t="shared" si="295"/>
        <v>18863.37</v>
      </c>
      <c r="AC341" s="23">
        <v>15029.81</v>
      </c>
      <c r="AD341" s="23">
        <v>3833.56</v>
      </c>
      <c r="AE341" s="249">
        <f t="shared" si="292"/>
        <v>943167.75</v>
      </c>
      <c r="AF341" s="23"/>
      <c r="AG341" s="26">
        <f t="shared" si="301"/>
        <v>943167.75</v>
      </c>
      <c r="AH341" s="99" t="s">
        <v>871</v>
      </c>
      <c r="AI341" s="28"/>
      <c r="AJ341" s="29">
        <f>94316.78+88365.15+32352.46+93883.38</f>
        <v>308917.77</v>
      </c>
      <c r="AK341" s="29">
        <f>21755.69+19252.4+433.4</f>
        <v>41441.49</v>
      </c>
    </row>
    <row r="342" spans="1:37" ht="316.5" thickTop="1" x14ac:dyDescent="0.3">
      <c r="A342" s="14">
        <v>338</v>
      </c>
      <c r="B342" s="13">
        <v>111379</v>
      </c>
      <c r="C342" s="67">
        <v>228</v>
      </c>
      <c r="D342" s="13" t="s">
        <v>172</v>
      </c>
      <c r="E342" s="18" t="s">
        <v>165</v>
      </c>
      <c r="F342" s="16" t="s">
        <v>322</v>
      </c>
      <c r="G342" s="250" t="s">
        <v>954</v>
      </c>
      <c r="H342" s="111" t="s">
        <v>955</v>
      </c>
      <c r="I342" s="18" t="s">
        <v>956</v>
      </c>
      <c r="J342" s="240" t="s">
        <v>957</v>
      </c>
      <c r="K342" s="20">
        <v>43333</v>
      </c>
      <c r="L342" s="32">
        <v>43820</v>
      </c>
      <c r="M342" s="21">
        <f t="shared" si="294"/>
        <v>82.452371972946708</v>
      </c>
      <c r="N342" s="14" t="s">
        <v>324</v>
      </c>
      <c r="O342" s="14" t="s">
        <v>156</v>
      </c>
      <c r="P342" s="14" t="s">
        <v>156</v>
      </c>
      <c r="Q342" s="22" t="s">
        <v>326</v>
      </c>
      <c r="R342" s="14" t="s">
        <v>36</v>
      </c>
      <c r="S342" s="23">
        <f t="shared" si="288"/>
        <v>823001.55</v>
      </c>
      <c r="T342" s="23">
        <v>663679.05000000005</v>
      </c>
      <c r="U342" s="23">
        <v>159322.5</v>
      </c>
      <c r="V342" s="23">
        <f t="shared" si="289"/>
        <v>142846.60999999999</v>
      </c>
      <c r="W342" s="23">
        <v>106595.2</v>
      </c>
      <c r="X342" s="23">
        <v>36251.410000000003</v>
      </c>
      <c r="Y342" s="23">
        <f t="shared" si="293"/>
        <v>32305.72</v>
      </c>
      <c r="Z342" s="23">
        <v>25027.37</v>
      </c>
      <c r="AA342" s="23">
        <v>7278.35</v>
      </c>
      <c r="AB342" s="23">
        <f t="shared" si="295"/>
        <v>0</v>
      </c>
      <c r="AC342" s="23"/>
      <c r="AD342" s="23"/>
      <c r="AE342" s="23">
        <f t="shared" si="292"/>
        <v>998153.88</v>
      </c>
      <c r="AF342" s="23"/>
      <c r="AG342" s="26">
        <f t="shared" si="301"/>
        <v>998153.88</v>
      </c>
      <c r="AH342" s="99" t="s">
        <v>871</v>
      </c>
      <c r="AI342" s="28" t="s">
        <v>940</v>
      </c>
      <c r="AJ342" s="29">
        <f>91009.38-9270.26+57880.76-12678.05+33855.88+91009.38</f>
        <v>251807.09</v>
      </c>
      <c r="AK342" s="29">
        <f>9270.26+12678.05+8716.65</f>
        <v>30664.959999999999</v>
      </c>
    </row>
    <row r="343" spans="1:37" ht="409.5" x14ac:dyDescent="0.25">
      <c r="A343" s="12">
        <v>339</v>
      </c>
      <c r="B343" s="13">
        <v>112711</v>
      </c>
      <c r="C343" s="67">
        <v>209</v>
      </c>
      <c r="D343" s="13" t="s">
        <v>172</v>
      </c>
      <c r="E343" s="167" t="s">
        <v>165</v>
      </c>
      <c r="F343" s="16" t="s">
        <v>322</v>
      </c>
      <c r="G343" s="224" t="s">
        <v>963</v>
      </c>
      <c r="H343" s="30" t="s">
        <v>964</v>
      </c>
      <c r="I343" s="167" t="s">
        <v>965</v>
      </c>
      <c r="J343" s="19" t="s">
        <v>966</v>
      </c>
      <c r="K343" s="20">
        <v>43335</v>
      </c>
      <c r="L343" s="32">
        <v>43822</v>
      </c>
      <c r="M343" s="21">
        <f t="shared" si="294"/>
        <v>82.640124999999998</v>
      </c>
      <c r="N343" s="14" t="s">
        <v>324</v>
      </c>
      <c r="O343" s="14" t="s">
        <v>156</v>
      </c>
      <c r="P343" s="14" t="s">
        <v>156</v>
      </c>
      <c r="Q343" s="22" t="s">
        <v>326</v>
      </c>
      <c r="R343" s="14" t="s">
        <v>36</v>
      </c>
      <c r="S343" s="23">
        <f t="shared" si="288"/>
        <v>826401.25</v>
      </c>
      <c r="T343" s="23">
        <v>666420.59</v>
      </c>
      <c r="U343" s="23">
        <v>159980.66</v>
      </c>
      <c r="V343" s="23">
        <f t="shared" si="289"/>
        <v>153598.75</v>
      </c>
      <c r="W343" s="23">
        <v>114416.53</v>
      </c>
      <c r="X343" s="23">
        <v>39182.22</v>
      </c>
      <c r="Y343" s="23">
        <f t="shared" si="293"/>
        <v>20000</v>
      </c>
      <c r="Z343" s="23">
        <v>15935.46</v>
      </c>
      <c r="AA343" s="23">
        <v>4064.54</v>
      </c>
      <c r="AB343" s="23">
        <f t="shared" si="295"/>
        <v>0</v>
      </c>
      <c r="AC343" s="23"/>
      <c r="AD343" s="23"/>
      <c r="AE343" s="23">
        <f t="shared" si="292"/>
        <v>1000000</v>
      </c>
      <c r="AF343" s="23"/>
      <c r="AG343" s="26">
        <f t="shared" si="301"/>
        <v>1000000</v>
      </c>
      <c r="AH343" s="99" t="s">
        <v>871</v>
      </c>
      <c r="AI343" s="28" t="s">
        <v>940</v>
      </c>
      <c r="AJ343" s="29">
        <f>98952.8+38728.19+96005.78+68225.96+103165.27+4938.26</f>
        <v>410016.26</v>
      </c>
      <c r="AK343" s="29">
        <f>24992.94+30773.35+1365.53+941.74</f>
        <v>58073.55999999999</v>
      </c>
    </row>
    <row r="344" spans="1:37" ht="146.25" customHeight="1" x14ac:dyDescent="0.25">
      <c r="A344" s="12">
        <v>340</v>
      </c>
      <c r="B344" s="13">
        <v>112827</v>
      </c>
      <c r="C344" s="67">
        <v>305</v>
      </c>
      <c r="D344" s="13" t="s">
        <v>168</v>
      </c>
      <c r="E344" s="18" t="s">
        <v>165</v>
      </c>
      <c r="F344" s="16" t="s">
        <v>322</v>
      </c>
      <c r="G344" s="224" t="s">
        <v>973</v>
      </c>
      <c r="H344" s="224" t="s">
        <v>972</v>
      </c>
      <c r="I344" s="18" t="s">
        <v>974</v>
      </c>
      <c r="J344" s="240" t="s">
        <v>975</v>
      </c>
      <c r="K344" s="20">
        <v>43325</v>
      </c>
      <c r="L344" s="32">
        <v>43750</v>
      </c>
      <c r="M344" s="21">
        <f t="shared" si="294"/>
        <v>82.30418490460022</v>
      </c>
      <c r="N344" s="14" t="s">
        <v>324</v>
      </c>
      <c r="O344" s="14" t="s">
        <v>315</v>
      </c>
      <c r="P344" s="14" t="s">
        <v>976</v>
      </c>
      <c r="Q344" s="22" t="s">
        <v>326</v>
      </c>
      <c r="R344" s="14" t="s">
        <v>36</v>
      </c>
      <c r="S344" s="23">
        <f t="shared" si="288"/>
        <v>819344.35</v>
      </c>
      <c r="T344" s="23">
        <v>660729.84</v>
      </c>
      <c r="U344" s="23">
        <v>158614.51</v>
      </c>
      <c r="V344" s="23">
        <f t="shared" si="289"/>
        <v>156253.01</v>
      </c>
      <c r="W344" s="23">
        <v>116599.39</v>
      </c>
      <c r="X344" s="23">
        <v>39653.620000000003</v>
      </c>
      <c r="Y344" s="23">
        <f t="shared" si="293"/>
        <v>0</v>
      </c>
      <c r="Z344" s="23"/>
      <c r="AA344" s="23"/>
      <c r="AB344" s="23">
        <f t="shared" si="295"/>
        <v>19910.16</v>
      </c>
      <c r="AC344" s="23">
        <v>15863.85</v>
      </c>
      <c r="AD344" s="23">
        <v>4046.31</v>
      </c>
      <c r="AE344" s="23">
        <f t="shared" si="292"/>
        <v>995507.52</v>
      </c>
      <c r="AF344" s="23"/>
      <c r="AG344" s="26">
        <f t="shared" si="301"/>
        <v>995507.52</v>
      </c>
      <c r="AH344" s="99" t="s">
        <v>871</v>
      </c>
      <c r="AI344" s="28" t="s">
        <v>940</v>
      </c>
      <c r="AJ344" s="29">
        <f>99347-2141.53-5209.28+78190.23</f>
        <v>170186.41999999998</v>
      </c>
      <c r="AK344" s="29">
        <f>2141.53+5209.28+6119.81</f>
        <v>13470.619999999999</v>
      </c>
    </row>
    <row r="345" spans="1:37" ht="157.5" x14ac:dyDescent="0.25">
      <c r="A345" s="14">
        <v>341</v>
      </c>
      <c r="B345" s="13">
        <v>112220</v>
      </c>
      <c r="C345" s="67">
        <v>239</v>
      </c>
      <c r="D345" s="13" t="s">
        <v>170</v>
      </c>
      <c r="E345" s="167" t="s">
        <v>165</v>
      </c>
      <c r="F345" s="16" t="s">
        <v>322</v>
      </c>
      <c r="G345" s="224" t="s">
        <v>986</v>
      </c>
      <c r="H345" s="30" t="s">
        <v>987</v>
      </c>
      <c r="I345" s="18" t="s">
        <v>988</v>
      </c>
      <c r="J345" s="240" t="s">
        <v>990</v>
      </c>
      <c r="K345" s="20">
        <v>43346</v>
      </c>
      <c r="L345" s="32">
        <v>43771</v>
      </c>
      <c r="M345" s="21">
        <f t="shared" si="294"/>
        <v>82.53761528755669</v>
      </c>
      <c r="N345" s="14" t="s">
        <v>324</v>
      </c>
      <c r="O345" s="14" t="s">
        <v>222</v>
      </c>
      <c r="P345" s="14" t="s">
        <v>989</v>
      </c>
      <c r="Q345" s="22" t="s">
        <v>326</v>
      </c>
      <c r="R345" s="14" t="s">
        <v>36</v>
      </c>
      <c r="S345" s="23">
        <f t="shared" si="288"/>
        <v>770988.47</v>
      </c>
      <c r="T345" s="23">
        <v>621735</v>
      </c>
      <c r="U345" s="23">
        <v>149253.47</v>
      </c>
      <c r="V345" s="23">
        <f t="shared" si="289"/>
        <v>126240.19</v>
      </c>
      <c r="W345" s="23">
        <v>94203.17</v>
      </c>
      <c r="X345" s="23">
        <v>32037.02</v>
      </c>
      <c r="Y345" s="23">
        <f t="shared" si="293"/>
        <v>20791.07</v>
      </c>
      <c r="Z345" s="23">
        <v>15514.77</v>
      </c>
      <c r="AA345" s="23">
        <v>5276.3</v>
      </c>
      <c r="AB345" s="23">
        <f t="shared" si="295"/>
        <v>16085.85</v>
      </c>
      <c r="AC345" s="23">
        <v>12816.75</v>
      </c>
      <c r="AD345" s="23">
        <v>3269.1</v>
      </c>
      <c r="AE345" s="23">
        <f t="shared" si="292"/>
        <v>934105.57999999984</v>
      </c>
      <c r="AF345" s="23"/>
      <c r="AG345" s="26">
        <f t="shared" si="301"/>
        <v>934105.57999999984</v>
      </c>
      <c r="AH345" s="99" t="s">
        <v>585</v>
      </c>
      <c r="AI345" s="28" t="s">
        <v>349</v>
      </c>
      <c r="AJ345" s="29">
        <f>80429.21-9330.69+58258.04-10837.66+67667.13+123564.67+61010.11</f>
        <v>370760.81</v>
      </c>
      <c r="AK345" s="29">
        <f>9330.69+10837.66+23564.38+11634.9</f>
        <v>55367.63</v>
      </c>
    </row>
    <row r="346" spans="1:37" ht="189.75" x14ac:dyDescent="0.3">
      <c r="A346" s="12">
        <v>342</v>
      </c>
      <c r="B346" s="13">
        <v>111775</v>
      </c>
      <c r="C346" s="67">
        <v>364</v>
      </c>
      <c r="D346" s="13" t="s">
        <v>1320</v>
      </c>
      <c r="E346" s="167" t="s">
        <v>165</v>
      </c>
      <c r="F346" s="16" t="s">
        <v>322</v>
      </c>
      <c r="G346" s="251" t="s">
        <v>991</v>
      </c>
      <c r="H346" s="252" t="s">
        <v>992</v>
      </c>
      <c r="I346" s="18" t="s">
        <v>993</v>
      </c>
      <c r="J346" s="240" t="s">
        <v>994</v>
      </c>
      <c r="K346" s="20">
        <v>43346</v>
      </c>
      <c r="L346" s="32">
        <v>43832</v>
      </c>
      <c r="M346" s="21">
        <f t="shared" si="294"/>
        <v>82.30418188922819</v>
      </c>
      <c r="N346" s="14" t="s">
        <v>324</v>
      </c>
      <c r="O346" s="14" t="s">
        <v>222</v>
      </c>
      <c r="P346" s="14" t="s">
        <v>470</v>
      </c>
      <c r="Q346" s="22" t="s">
        <v>326</v>
      </c>
      <c r="R346" s="14" t="s">
        <v>36</v>
      </c>
      <c r="S346" s="23">
        <f t="shared" si="288"/>
        <v>779789.21</v>
      </c>
      <c r="T346" s="23">
        <v>628832.06999999995</v>
      </c>
      <c r="U346" s="23">
        <v>150957.14000000001</v>
      </c>
      <c r="V346" s="23">
        <f t="shared" si="289"/>
        <v>148709.68</v>
      </c>
      <c r="W346" s="23">
        <v>110970.39</v>
      </c>
      <c r="X346" s="23">
        <v>37739.29</v>
      </c>
      <c r="Y346" s="23">
        <f t="shared" si="293"/>
        <v>0</v>
      </c>
      <c r="Z346" s="23"/>
      <c r="AA346" s="23"/>
      <c r="AB346" s="23">
        <f t="shared" si="295"/>
        <v>18948.97</v>
      </c>
      <c r="AC346" s="23">
        <v>15098.01</v>
      </c>
      <c r="AD346" s="23">
        <v>3850.96</v>
      </c>
      <c r="AE346" s="23">
        <f t="shared" si="292"/>
        <v>947447.85999999987</v>
      </c>
      <c r="AF346" s="23">
        <v>0</v>
      </c>
      <c r="AG346" s="26">
        <f t="shared" si="301"/>
        <v>947447.85999999987</v>
      </c>
      <c r="AH346" s="99" t="s">
        <v>585</v>
      </c>
      <c r="AI346" s="28" t="s">
        <v>349</v>
      </c>
      <c r="AJ346" s="29">
        <f>94744.78+10125.98+94121.04-10122.56</f>
        <v>188869.24</v>
      </c>
      <c r="AK346" s="29">
        <f>7252.41+12628.02+15463.44</f>
        <v>35343.870000000003</v>
      </c>
    </row>
    <row r="347" spans="1:37" ht="141.75" x14ac:dyDescent="0.25">
      <c r="A347" s="12">
        <v>343</v>
      </c>
      <c r="B347" s="13">
        <v>112027</v>
      </c>
      <c r="C347" s="67">
        <v>290</v>
      </c>
      <c r="D347" s="13" t="s">
        <v>1320</v>
      </c>
      <c r="E347" s="167" t="s">
        <v>165</v>
      </c>
      <c r="F347" s="16" t="s">
        <v>322</v>
      </c>
      <c r="G347" s="253" t="s">
        <v>998</v>
      </c>
      <c r="H347" s="30" t="s">
        <v>999</v>
      </c>
      <c r="I347" s="18" t="s">
        <v>353</v>
      </c>
      <c r="J347" s="240" t="s">
        <v>1000</v>
      </c>
      <c r="K347" s="20">
        <v>43346</v>
      </c>
      <c r="L347" s="32">
        <v>43832</v>
      </c>
      <c r="M347" s="21">
        <f t="shared" si="294"/>
        <v>82.30418483269878</v>
      </c>
      <c r="N347" s="14" t="s">
        <v>324</v>
      </c>
      <c r="O347" s="14" t="s">
        <v>156</v>
      </c>
      <c r="P347" s="14" t="s">
        <v>156</v>
      </c>
      <c r="Q347" s="22" t="s">
        <v>326</v>
      </c>
      <c r="R347" s="14" t="s">
        <v>36</v>
      </c>
      <c r="S347" s="23">
        <f t="shared" si="288"/>
        <v>765927.6</v>
      </c>
      <c r="T347" s="23">
        <v>617653.87</v>
      </c>
      <c r="U347" s="23">
        <v>148273.73000000001</v>
      </c>
      <c r="V347" s="23">
        <f t="shared" si="289"/>
        <v>146066.19</v>
      </c>
      <c r="W347" s="23">
        <v>108997.75999999999</v>
      </c>
      <c r="X347" s="23">
        <v>37068.43</v>
      </c>
      <c r="Y347" s="23">
        <f t="shared" si="293"/>
        <v>0</v>
      </c>
      <c r="Z347" s="23"/>
      <c r="AA347" s="23"/>
      <c r="AB347" s="23">
        <f t="shared" si="295"/>
        <v>18612.11</v>
      </c>
      <c r="AC347" s="23">
        <v>14829.62</v>
      </c>
      <c r="AD347" s="23">
        <v>3782.49</v>
      </c>
      <c r="AE347" s="23">
        <f t="shared" si="292"/>
        <v>930605.9</v>
      </c>
      <c r="AF347" s="23"/>
      <c r="AG347" s="26">
        <f t="shared" si="301"/>
        <v>930605.9</v>
      </c>
      <c r="AH347" s="99" t="s">
        <v>585</v>
      </c>
      <c r="AI347" s="28" t="s">
        <v>1419</v>
      </c>
      <c r="AJ347" s="29">
        <f>93000-10796.98+67413.16+54893.4+46914.21-9130.88+57010.49</f>
        <v>299303.39999999997</v>
      </c>
      <c r="AK347" s="29">
        <f>10796.98+10468.44+8946.77+9130.88</f>
        <v>39343.07</v>
      </c>
    </row>
    <row r="348" spans="1:37" ht="141.75" x14ac:dyDescent="0.25">
      <c r="A348" s="14">
        <v>344</v>
      </c>
      <c r="B348" s="13">
        <v>112733</v>
      </c>
      <c r="C348" s="67">
        <v>146</v>
      </c>
      <c r="D348" s="13" t="s">
        <v>1320</v>
      </c>
      <c r="E348" s="167" t="s">
        <v>165</v>
      </c>
      <c r="F348" s="16" t="s">
        <v>322</v>
      </c>
      <c r="G348" s="254" t="s">
        <v>1004</v>
      </c>
      <c r="H348" s="30" t="s">
        <v>1005</v>
      </c>
      <c r="I348" s="18" t="s">
        <v>1006</v>
      </c>
      <c r="J348" s="240" t="s">
        <v>1007</v>
      </c>
      <c r="K348" s="20">
        <v>43349</v>
      </c>
      <c r="L348" s="32">
        <v>43835</v>
      </c>
      <c r="M348" s="21">
        <f t="shared" si="294"/>
        <v>82.53318349196968</v>
      </c>
      <c r="N348" s="14" t="s">
        <v>324</v>
      </c>
      <c r="O348" s="14" t="s">
        <v>156</v>
      </c>
      <c r="P348" s="14" t="s">
        <v>156</v>
      </c>
      <c r="Q348" s="22" t="s">
        <v>326</v>
      </c>
      <c r="R348" s="14" t="s">
        <v>36</v>
      </c>
      <c r="S348" s="23">
        <f t="shared" si="288"/>
        <v>819750.19</v>
      </c>
      <c r="T348" s="23">
        <v>661057.13</v>
      </c>
      <c r="U348" s="23">
        <v>158693.06</v>
      </c>
      <c r="V348" s="23">
        <f t="shared" si="289"/>
        <v>134642.41999999998</v>
      </c>
      <c r="W348" s="23">
        <v>100473.09</v>
      </c>
      <c r="X348" s="23">
        <v>34169.33</v>
      </c>
      <c r="Y348" s="23">
        <f t="shared" si="293"/>
        <v>21688.010000000002</v>
      </c>
      <c r="Z348" s="23">
        <v>16184.04</v>
      </c>
      <c r="AA348" s="23">
        <v>5503.97</v>
      </c>
      <c r="AB348" s="23">
        <f t="shared" si="295"/>
        <v>17156.47</v>
      </c>
      <c r="AC348" s="23">
        <v>13669.8</v>
      </c>
      <c r="AD348" s="23">
        <v>3486.67</v>
      </c>
      <c r="AE348" s="23">
        <f t="shared" si="292"/>
        <v>993237.08999999985</v>
      </c>
      <c r="AF348" s="23"/>
      <c r="AG348" s="26">
        <f t="shared" si="301"/>
        <v>993237.08999999985</v>
      </c>
      <c r="AH348" s="99" t="s">
        <v>585</v>
      </c>
      <c r="AI348" s="28" t="s">
        <v>349</v>
      </c>
      <c r="AJ348" s="29">
        <f>85782.36-3113.23+78199.1+6754.09+75351.32</f>
        <v>242973.64</v>
      </c>
      <c r="AK348" s="29">
        <f>12524.47+12068.37</f>
        <v>24592.84</v>
      </c>
    </row>
    <row r="349" spans="1:37" ht="155.25" customHeight="1" x14ac:dyDescent="0.25">
      <c r="A349" s="12">
        <v>345</v>
      </c>
      <c r="B349" s="13">
        <v>111432</v>
      </c>
      <c r="C349" s="67">
        <v>277</v>
      </c>
      <c r="D349" s="13" t="s">
        <v>1074</v>
      </c>
      <c r="E349" s="167" t="s">
        <v>165</v>
      </c>
      <c r="F349" s="16" t="s">
        <v>322</v>
      </c>
      <c r="G349" s="219" t="s">
        <v>1009</v>
      </c>
      <c r="H349" s="30" t="s">
        <v>1008</v>
      </c>
      <c r="I349" s="18" t="s">
        <v>1010</v>
      </c>
      <c r="J349" s="19" t="s">
        <v>1011</v>
      </c>
      <c r="K349" s="20">
        <v>43349</v>
      </c>
      <c r="L349" s="32">
        <v>43836</v>
      </c>
      <c r="M349" s="21">
        <f t="shared" si="294"/>
        <v>82.304186591731991</v>
      </c>
      <c r="N349" s="14" t="s">
        <v>324</v>
      </c>
      <c r="O349" s="14" t="s">
        <v>156</v>
      </c>
      <c r="P349" s="14" t="s">
        <v>156</v>
      </c>
      <c r="Q349" s="22" t="s">
        <v>326</v>
      </c>
      <c r="R349" s="14" t="s">
        <v>36</v>
      </c>
      <c r="S349" s="23">
        <f t="shared" si="288"/>
        <v>811369.98</v>
      </c>
      <c r="T349" s="23">
        <v>654299.19999999995</v>
      </c>
      <c r="U349" s="23">
        <v>157070.78</v>
      </c>
      <c r="V349" s="23">
        <f t="shared" si="289"/>
        <v>154732.24</v>
      </c>
      <c r="W349" s="23">
        <v>115464.55</v>
      </c>
      <c r="X349" s="23">
        <v>39267.69</v>
      </c>
      <c r="Y349" s="23">
        <f t="shared" si="293"/>
        <v>0</v>
      </c>
      <c r="Z349" s="23"/>
      <c r="AA349" s="23"/>
      <c r="AB349" s="23">
        <f t="shared" si="295"/>
        <v>19716.38</v>
      </c>
      <c r="AC349" s="23">
        <v>15709.48</v>
      </c>
      <c r="AD349" s="23">
        <v>4006.9</v>
      </c>
      <c r="AE349" s="23">
        <f t="shared" si="292"/>
        <v>985818.6</v>
      </c>
      <c r="AF349" s="23">
        <v>0</v>
      </c>
      <c r="AG349" s="26">
        <f t="shared" si="301"/>
        <v>985818.6</v>
      </c>
      <c r="AH349" s="27" t="s">
        <v>585</v>
      </c>
      <c r="AI349" s="28" t="s">
        <v>1498</v>
      </c>
      <c r="AJ349" s="29">
        <f>98500+28477.95+215174.75</f>
        <v>342152.7</v>
      </c>
      <c r="AK349" s="29">
        <f>23037.95+41034.92</f>
        <v>64072.869999999995</v>
      </c>
    </row>
    <row r="350" spans="1:37" ht="409.5" x14ac:dyDescent="0.25">
      <c r="A350" s="12">
        <v>346</v>
      </c>
      <c r="B350" s="13">
        <v>112592</v>
      </c>
      <c r="C350" s="35">
        <v>144</v>
      </c>
      <c r="D350" s="13" t="s">
        <v>1074</v>
      </c>
      <c r="E350" s="18" t="s">
        <v>165</v>
      </c>
      <c r="F350" s="16" t="s">
        <v>322</v>
      </c>
      <c r="G350" s="219" t="s">
        <v>1012</v>
      </c>
      <c r="H350" s="30" t="s">
        <v>1013</v>
      </c>
      <c r="I350" s="18" t="s">
        <v>349</v>
      </c>
      <c r="J350" s="240" t="s">
        <v>1014</v>
      </c>
      <c r="K350" s="20">
        <v>43349</v>
      </c>
      <c r="L350" s="32">
        <v>43835</v>
      </c>
      <c r="M350" s="21">
        <f t="shared" si="294"/>
        <v>82.304195666897996</v>
      </c>
      <c r="N350" s="14" t="s">
        <v>324</v>
      </c>
      <c r="O350" s="14" t="s">
        <v>312</v>
      </c>
      <c r="P350" s="14" t="s">
        <v>312</v>
      </c>
      <c r="Q350" s="22" t="s">
        <v>326</v>
      </c>
      <c r="R350" s="246" t="s">
        <v>36</v>
      </c>
      <c r="S350" s="23">
        <f>T350+U350</f>
        <v>809057.98</v>
      </c>
      <c r="T350" s="23">
        <v>652434.75</v>
      </c>
      <c r="U350" s="23">
        <v>156623.23000000001</v>
      </c>
      <c r="V350" s="23">
        <f t="shared" si="289"/>
        <v>154291.24</v>
      </c>
      <c r="W350" s="23">
        <v>115135.49</v>
      </c>
      <c r="X350" s="23">
        <v>39155.75</v>
      </c>
      <c r="Y350" s="23">
        <f t="shared" si="293"/>
        <v>0</v>
      </c>
      <c r="Z350" s="23"/>
      <c r="AA350" s="23"/>
      <c r="AB350" s="23">
        <f t="shared" si="295"/>
        <v>19660.18</v>
      </c>
      <c r="AC350" s="23">
        <v>15664.68</v>
      </c>
      <c r="AD350" s="23">
        <v>3995.5</v>
      </c>
      <c r="AE350" s="23">
        <f t="shared" si="292"/>
        <v>983009.4</v>
      </c>
      <c r="AF350" s="23">
        <v>0</v>
      </c>
      <c r="AG350" s="26">
        <f t="shared" si="301"/>
        <v>983009.4</v>
      </c>
      <c r="AH350" s="99" t="s">
        <v>585</v>
      </c>
      <c r="AI350" s="28" t="s">
        <v>349</v>
      </c>
      <c r="AJ350" s="29">
        <f>98300-13757.23+85896.02+92995.51</f>
        <v>263434.3</v>
      </c>
      <c r="AK350" s="29">
        <f>13757.23+36481</f>
        <v>50238.229999999996</v>
      </c>
    </row>
    <row r="351" spans="1:37" ht="409.5" x14ac:dyDescent="0.25">
      <c r="A351" s="14">
        <v>347</v>
      </c>
      <c r="B351" s="13">
        <v>111141</v>
      </c>
      <c r="C351" s="35">
        <v>312</v>
      </c>
      <c r="D351" s="13" t="s">
        <v>168</v>
      </c>
      <c r="E351" s="18" t="s">
        <v>165</v>
      </c>
      <c r="F351" s="16" t="s">
        <v>322</v>
      </c>
      <c r="G351" s="219" t="s">
        <v>1022</v>
      </c>
      <c r="H351" s="30" t="s">
        <v>1023</v>
      </c>
      <c r="I351" s="18" t="s">
        <v>1024</v>
      </c>
      <c r="J351" s="240" t="s">
        <v>1025</v>
      </c>
      <c r="K351" s="20">
        <v>43349</v>
      </c>
      <c r="L351" s="32">
        <v>43835</v>
      </c>
      <c r="M351" s="21">
        <f t="shared" si="294"/>
        <v>82.850667341734948</v>
      </c>
      <c r="N351" s="14" t="s">
        <v>324</v>
      </c>
      <c r="O351" s="14" t="s">
        <v>312</v>
      </c>
      <c r="P351" s="14" t="s">
        <v>312</v>
      </c>
      <c r="Q351" s="22" t="s">
        <v>326</v>
      </c>
      <c r="R351" s="246" t="s">
        <v>36</v>
      </c>
      <c r="S351" s="23">
        <f t="shared" si="288"/>
        <v>826770.14</v>
      </c>
      <c r="T351" s="23">
        <v>666718.05000000005</v>
      </c>
      <c r="U351" s="23">
        <v>160052.09</v>
      </c>
      <c r="V351" s="23">
        <f t="shared" si="289"/>
        <v>151175.81</v>
      </c>
      <c r="W351" s="23">
        <v>112482.44</v>
      </c>
      <c r="X351" s="23">
        <v>38693.370000000003</v>
      </c>
      <c r="Y351" s="23">
        <f t="shared" si="293"/>
        <v>0</v>
      </c>
      <c r="Z351" s="23"/>
      <c r="AA351" s="23"/>
      <c r="AB351" s="23">
        <f t="shared" si="295"/>
        <v>19958.07</v>
      </c>
      <c r="AC351" s="23">
        <v>15902.06</v>
      </c>
      <c r="AD351" s="23">
        <v>4056.01</v>
      </c>
      <c r="AE351" s="23">
        <f t="shared" si="292"/>
        <v>997904.0199999999</v>
      </c>
      <c r="AF351" s="23">
        <v>0</v>
      </c>
      <c r="AG351" s="26">
        <f t="shared" si="301"/>
        <v>997904.0199999999</v>
      </c>
      <c r="AH351" s="99" t="s">
        <v>585</v>
      </c>
      <c r="AI351" s="28"/>
      <c r="AJ351" s="29">
        <f>99790.4-11343.79+72694.94+14258.38+9077.47+175834.51-9712.84</f>
        <v>350599.07</v>
      </c>
      <c r="AK351" s="29">
        <f>11343.79+2719.14+19935.24+14501.99+9712.84</f>
        <v>58213</v>
      </c>
    </row>
    <row r="352" spans="1:37" ht="409.5" x14ac:dyDescent="0.25">
      <c r="A352" s="12">
        <v>348</v>
      </c>
      <c r="B352" s="13">
        <v>110676</v>
      </c>
      <c r="C352" s="67">
        <v>129</v>
      </c>
      <c r="D352" s="13" t="s">
        <v>1074</v>
      </c>
      <c r="E352" s="18" t="s">
        <v>165</v>
      </c>
      <c r="F352" s="16" t="s">
        <v>322</v>
      </c>
      <c r="G352" s="30" t="s">
        <v>1026</v>
      </c>
      <c r="H352" s="30" t="s">
        <v>1027</v>
      </c>
      <c r="I352" s="18"/>
      <c r="J352" s="240" t="s">
        <v>1028</v>
      </c>
      <c r="K352" s="20">
        <v>43350</v>
      </c>
      <c r="L352" s="32">
        <v>43714</v>
      </c>
      <c r="M352" s="21">
        <f t="shared" si="294"/>
        <v>82.304187429349568</v>
      </c>
      <c r="N352" s="14" t="s">
        <v>324</v>
      </c>
      <c r="O352" s="14" t="s">
        <v>312</v>
      </c>
      <c r="P352" s="14" t="s">
        <v>312</v>
      </c>
      <c r="Q352" s="22" t="s">
        <v>326</v>
      </c>
      <c r="R352" s="246" t="s">
        <v>36</v>
      </c>
      <c r="S352" s="23">
        <f t="shared" si="288"/>
        <v>815129.66</v>
      </c>
      <c r="T352" s="23">
        <v>657331.02</v>
      </c>
      <c r="U352" s="23">
        <v>157798.64000000001</v>
      </c>
      <c r="V352" s="23">
        <f t="shared" si="289"/>
        <v>155449.26</v>
      </c>
      <c r="W352" s="23">
        <v>115999.61</v>
      </c>
      <c r="X352" s="23">
        <v>39449.65</v>
      </c>
      <c r="Y352" s="23">
        <f t="shared" si="293"/>
        <v>0</v>
      </c>
      <c r="Z352" s="23"/>
      <c r="AA352" s="23"/>
      <c r="AB352" s="23">
        <f t="shared" si="295"/>
        <v>19807.7</v>
      </c>
      <c r="AC352" s="23">
        <v>15782.26</v>
      </c>
      <c r="AD352" s="23">
        <v>4025.44</v>
      </c>
      <c r="AE352" s="23">
        <f t="shared" si="292"/>
        <v>990386.62</v>
      </c>
      <c r="AF352" s="23">
        <v>0</v>
      </c>
      <c r="AG352" s="26">
        <f t="shared" si="301"/>
        <v>990386.62</v>
      </c>
      <c r="AH352" s="99" t="s">
        <v>585</v>
      </c>
      <c r="AI352" s="28" t="s">
        <v>1261</v>
      </c>
      <c r="AJ352" s="29">
        <f>97000+74075.05+62367.67+44580.06+31686.87+94967.28+69711.79+88493.46</f>
        <v>562882.17999999993</v>
      </c>
      <c r="AK352" s="29">
        <f>14126.47+15038.55+8501.64+20997.93+13294.37+16876.14</f>
        <v>88835.099999999991</v>
      </c>
    </row>
    <row r="353" spans="1:37" ht="267.75" x14ac:dyDescent="0.25">
      <c r="A353" s="12">
        <v>349</v>
      </c>
      <c r="B353" s="13">
        <v>111475</v>
      </c>
      <c r="C353" s="67">
        <v>168</v>
      </c>
      <c r="D353" s="13" t="s">
        <v>1074</v>
      </c>
      <c r="E353" s="18" t="s">
        <v>165</v>
      </c>
      <c r="F353" s="16" t="s">
        <v>322</v>
      </c>
      <c r="G353" s="219" t="s">
        <v>1037</v>
      </c>
      <c r="H353" s="30" t="s">
        <v>1038</v>
      </c>
      <c r="I353" s="18"/>
      <c r="J353" s="240" t="s">
        <v>1039</v>
      </c>
      <c r="K353" s="20">
        <v>43353</v>
      </c>
      <c r="L353" s="32">
        <v>43839</v>
      </c>
      <c r="M353" s="21">
        <f t="shared" si="294"/>
        <v>82.304180618407059</v>
      </c>
      <c r="N353" s="14" t="s">
        <v>324</v>
      </c>
      <c r="O353" s="14" t="s">
        <v>312</v>
      </c>
      <c r="P353" s="14" t="s">
        <v>312</v>
      </c>
      <c r="Q353" s="22" t="s">
        <v>326</v>
      </c>
      <c r="R353" s="246" t="s">
        <v>36</v>
      </c>
      <c r="S353" s="23">
        <f>T353+U353</f>
        <v>791535.7</v>
      </c>
      <c r="T353" s="23">
        <v>638304.56999999995</v>
      </c>
      <c r="U353" s="23">
        <v>153231.13</v>
      </c>
      <c r="V353" s="23">
        <f t="shared" si="289"/>
        <v>150949.82</v>
      </c>
      <c r="W353" s="23">
        <v>112642</v>
      </c>
      <c r="X353" s="23">
        <v>38307.82</v>
      </c>
      <c r="Y353" s="23">
        <f t="shared" si="293"/>
        <v>0</v>
      </c>
      <c r="Z353" s="23"/>
      <c r="AA353" s="23"/>
      <c r="AB353" s="23">
        <f t="shared" si="295"/>
        <v>19234.400000000001</v>
      </c>
      <c r="AC353" s="23">
        <v>15325.48</v>
      </c>
      <c r="AD353" s="23">
        <v>3908.92</v>
      </c>
      <c r="AE353" s="23">
        <f t="shared" si="292"/>
        <v>961719.92</v>
      </c>
      <c r="AF353" s="23">
        <v>0</v>
      </c>
      <c r="AG353" s="26">
        <f t="shared" si="301"/>
        <v>961719.92</v>
      </c>
      <c r="AH353" s="99" t="s">
        <v>585</v>
      </c>
      <c r="AI353" s="28"/>
      <c r="AJ353" s="29">
        <f>96171.99-8232+51398.18</f>
        <v>139338.17000000001</v>
      </c>
      <c r="AK353" s="29">
        <v>8232</v>
      </c>
    </row>
    <row r="354" spans="1:37" ht="255" x14ac:dyDescent="0.25">
      <c r="A354" s="14">
        <v>350</v>
      </c>
      <c r="B354" s="70">
        <v>118813</v>
      </c>
      <c r="C354" s="255">
        <v>449</v>
      </c>
      <c r="D354" s="14" t="s">
        <v>168</v>
      </c>
      <c r="E354" s="18" t="s">
        <v>1083</v>
      </c>
      <c r="F354" s="75" t="s">
        <v>630</v>
      </c>
      <c r="G354" s="69" t="s">
        <v>1032</v>
      </c>
      <c r="H354" s="70" t="s">
        <v>1033</v>
      </c>
      <c r="I354" s="70" t="s">
        <v>1034</v>
      </c>
      <c r="J354" s="256" t="s">
        <v>1036</v>
      </c>
      <c r="K354" s="257">
        <v>43350</v>
      </c>
      <c r="L354" s="32">
        <v>43896</v>
      </c>
      <c r="M354" s="21">
        <f>S354/AE354*100</f>
        <v>83.983864104012326</v>
      </c>
      <c r="N354" s="14" t="s">
        <v>324</v>
      </c>
      <c r="O354" s="14" t="s">
        <v>312</v>
      </c>
      <c r="P354" s="14" t="s">
        <v>312</v>
      </c>
      <c r="Q354" s="22" t="s">
        <v>157</v>
      </c>
      <c r="R354" s="246" t="s">
        <v>36</v>
      </c>
      <c r="S354" s="23">
        <f>T354+U354</f>
        <v>4865899.0599999996</v>
      </c>
      <c r="T354" s="23">
        <v>3923923.61</v>
      </c>
      <c r="U354" s="23">
        <v>941975.45</v>
      </c>
      <c r="V354" s="23">
        <f t="shared" si="289"/>
        <v>0</v>
      </c>
      <c r="W354" s="23">
        <v>0</v>
      </c>
      <c r="X354" s="23">
        <v>0</v>
      </c>
      <c r="Y354" s="23">
        <f t="shared" si="293"/>
        <v>927950.87999999989</v>
      </c>
      <c r="Z354" s="23">
        <v>692457.08</v>
      </c>
      <c r="AA354" s="23">
        <v>235493.8</v>
      </c>
      <c r="AB354" s="23">
        <f t="shared" si="295"/>
        <v>0</v>
      </c>
      <c r="AC354" s="23"/>
      <c r="AD354" s="23"/>
      <c r="AE354" s="23">
        <f t="shared" si="292"/>
        <v>5793849.9399999995</v>
      </c>
      <c r="AF354" s="23">
        <v>0</v>
      </c>
      <c r="AG354" s="26">
        <f t="shared" si="301"/>
        <v>5793849.9399999995</v>
      </c>
      <c r="AH354" s="99" t="s">
        <v>585</v>
      </c>
      <c r="AI354" s="28" t="s">
        <v>1449</v>
      </c>
      <c r="AJ354" s="29">
        <v>15282.4</v>
      </c>
      <c r="AK354" s="29">
        <v>0</v>
      </c>
    </row>
    <row r="355" spans="1:37" ht="120" x14ac:dyDescent="0.25">
      <c r="A355" s="12">
        <v>351</v>
      </c>
      <c r="B355" s="13">
        <v>110215</v>
      </c>
      <c r="C355" s="67">
        <v>139</v>
      </c>
      <c r="D355" s="13" t="s">
        <v>170</v>
      </c>
      <c r="E355" s="18" t="s">
        <v>165</v>
      </c>
      <c r="F355" s="16" t="s">
        <v>322</v>
      </c>
      <c r="G355" s="69" t="s">
        <v>1043</v>
      </c>
      <c r="H355" s="69" t="s">
        <v>1044</v>
      </c>
      <c r="I355" s="18" t="s">
        <v>349</v>
      </c>
      <c r="J355" s="240" t="s">
        <v>1045</v>
      </c>
      <c r="K355" s="20">
        <v>43357</v>
      </c>
      <c r="L355" s="32">
        <v>43722</v>
      </c>
      <c r="M355" s="21">
        <f t="shared" si="294"/>
        <v>82.304183894733001</v>
      </c>
      <c r="N355" s="14" t="s">
        <v>324</v>
      </c>
      <c r="O355" s="14" t="s">
        <v>1046</v>
      </c>
      <c r="P355" s="14" t="s">
        <v>1046</v>
      </c>
      <c r="Q355" s="22" t="s">
        <v>326</v>
      </c>
      <c r="R355" s="246" t="s">
        <v>36</v>
      </c>
      <c r="S355" s="23">
        <f t="shared" si="288"/>
        <v>799287.37</v>
      </c>
      <c r="T355" s="23">
        <v>644555.61</v>
      </c>
      <c r="U355" s="23">
        <v>154731.76</v>
      </c>
      <c r="V355" s="23">
        <f t="shared" si="289"/>
        <v>152428.06</v>
      </c>
      <c r="W355" s="23">
        <v>113745.12</v>
      </c>
      <c r="X355" s="23">
        <v>38682.94</v>
      </c>
      <c r="Y355" s="23">
        <f>Z355+AA355</f>
        <v>0</v>
      </c>
      <c r="Z355" s="23"/>
      <c r="AA355" s="23"/>
      <c r="AB355" s="23">
        <f>AC355+AD355</f>
        <v>19422.77</v>
      </c>
      <c r="AC355" s="23">
        <v>15475.55</v>
      </c>
      <c r="AD355" s="23">
        <v>3947.22</v>
      </c>
      <c r="AE355" s="23">
        <f t="shared" si="292"/>
        <v>971138.2</v>
      </c>
      <c r="AF355" s="23">
        <v>0</v>
      </c>
      <c r="AG355" s="26">
        <f t="shared" si="301"/>
        <v>971138.2</v>
      </c>
      <c r="AH355" s="99" t="s">
        <v>585</v>
      </c>
      <c r="AI355" s="28" t="s">
        <v>349</v>
      </c>
      <c r="AJ355" s="29">
        <f>97000-12225.11+76329.94+54447.72+71579.61+92674.11</f>
        <v>379806.27</v>
      </c>
      <c r="AK355" s="29">
        <f>12225.11+10383.44+13650.58+17673.4</f>
        <v>53932.530000000006</v>
      </c>
    </row>
    <row r="356" spans="1:37" ht="315" x14ac:dyDescent="0.25">
      <c r="A356" s="12">
        <v>352</v>
      </c>
      <c r="B356" s="13">
        <v>112820</v>
      </c>
      <c r="C356" s="67">
        <v>158</v>
      </c>
      <c r="D356" s="13" t="s">
        <v>1074</v>
      </c>
      <c r="E356" s="18" t="s">
        <v>165</v>
      </c>
      <c r="F356" s="16" t="s">
        <v>322</v>
      </c>
      <c r="G356" s="69" t="s">
        <v>1047</v>
      </c>
      <c r="H356" s="69" t="s">
        <v>1048</v>
      </c>
      <c r="I356" s="18" t="s">
        <v>349</v>
      </c>
      <c r="J356" s="240" t="s">
        <v>1049</v>
      </c>
      <c r="K356" s="20">
        <v>43361</v>
      </c>
      <c r="L356" s="32">
        <v>43847</v>
      </c>
      <c r="M356" s="21">
        <f t="shared" si="294"/>
        <v>82.304190832413511</v>
      </c>
      <c r="N356" s="14" t="s">
        <v>324</v>
      </c>
      <c r="O356" s="14" t="s">
        <v>230</v>
      </c>
      <c r="P356" s="14" t="s">
        <v>1050</v>
      </c>
      <c r="Q356" s="22" t="s">
        <v>326</v>
      </c>
      <c r="R356" s="246" t="s">
        <v>36</v>
      </c>
      <c r="S356" s="23">
        <f t="shared" si="288"/>
        <v>812316.52</v>
      </c>
      <c r="T356" s="23">
        <v>655062.47</v>
      </c>
      <c r="U356" s="23">
        <v>157254.04999999999</v>
      </c>
      <c r="V356" s="23">
        <f t="shared" si="289"/>
        <v>154912.70000000001</v>
      </c>
      <c r="W356" s="23">
        <v>115599.23</v>
      </c>
      <c r="X356" s="23">
        <v>39313.47</v>
      </c>
      <c r="Y356" s="23">
        <f t="shared" si="293"/>
        <v>0</v>
      </c>
      <c r="Z356" s="23"/>
      <c r="AA356" s="23"/>
      <c r="AB356" s="23">
        <f t="shared" si="295"/>
        <v>19739.379999999997</v>
      </c>
      <c r="AC356" s="23">
        <v>15727.8</v>
      </c>
      <c r="AD356" s="23">
        <v>4011.58</v>
      </c>
      <c r="AE356" s="23">
        <f t="shared" si="292"/>
        <v>986968.6</v>
      </c>
      <c r="AF356" s="23"/>
      <c r="AG356" s="26">
        <f t="shared" si="301"/>
        <v>986968.6</v>
      </c>
      <c r="AH356" s="99" t="s">
        <v>585</v>
      </c>
      <c r="AI356" s="28"/>
      <c r="AJ356" s="29">
        <f>98696.6-13570.14+70361.48+98696.6+83943.32</f>
        <v>338127.86</v>
      </c>
      <c r="AK356" s="29">
        <f>13570.14+16082.18+1255.12+14753.28</f>
        <v>45660.72</v>
      </c>
    </row>
    <row r="357" spans="1:37" ht="362.25" x14ac:dyDescent="0.25">
      <c r="A357" s="14">
        <v>353</v>
      </c>
      <c r="B357" s="13">
        <v>111916</v>
      </c>
      <c r="C357" s="67">
        <v>145</v>
      </c>
      <c r="D357" s="13" t="s">
        <v>1074</v>
      </c>
      <c r="E357" s="18" t="s">
        <v>165</v>
      </c>
      <c r="F357" s="16" t="s">
        <v>322</v>
      </c>
      <c r="G357" s="69" t="s">
        <v>1051</v>
      </c>
      <c r="H357" s="69" t="s">
        <v>1052</v>
      </c>
      <c r="I357" s="18" t="s">
        <v>349</v>
      </c>
      <c r="J357" s="240" t="s">
        <v>1053</v>
      </c>
      <c r="K357" s="20">
        <v>43361</v>
      </c>
      <c r="L357" s="32">
        <v>43847</v>
      </c>
      <c r="M357" s="21">
        <f t="shared" si="294"/>
        <v>82.304185955094169</v>
      </c>
      <c r="N357" s="14" t="s">
        <v>324</v>
      </c>
      <c r="O357" s="14" t="s">
        <v>944</v>
      </c>
      <c r="P357" s="14" t="s">
        <v>944</v>
      </c>
      <c r="Q357" s="22" t="s">
        <v>326</v>
      </c>
      <c r="R357" s="246" t="s">
        <v>36</v>
      </c>
      <c r="S357" s="23">
        <f t="shared" si="288"/>
        <v>810699.03</v>
      </c>
      <c r="T357" s="23">
        <v>653758.11</v>
      </c>
      <c r="U357" s="23">
        <v>156940.92000000001</v>
      </c>
      <c r="V357" s="23">
        <f t="shared" si="289"/>
        <v>154604.29</v>
      </c>
      <c r="W357" s="23">
        <v>115369.07</v>
      </c>
      <c r="X357" s="23">
        <v>39235.22</v>
      </c>
      <c r="Y357" s="23">
        <f t="shared" si="293"/>
        <v>0</v>
      </c>
      <c r="Z357" s="23"/>
      <c r="AA357" s="23"/>
      <c r="AB357" s="23">
        <f t="shared" si="295"/>
        <v>19700.080000000002</v>
      </c>
      <c r="AC357" s="23">
        <v>15696.51</v>
      </c>
      <c r="AD357" s="23">
        <v>4003.57</v>
      </c>
      <c r="AE357" s="23">
        <f t="shared" si="292"/>
        <v>985003.4</v>
      </c>
      <c r="AF357" s="23"/>
      <c r="AG357" s="26">
        <f t="shared" si="301"/>
        <v>985003.4</v>
      </c>
      <c r="AH357" s="99" t="s">
        <v>585</v>
      </c>
      <c r="AI357" s="28"/>
      <c r="AJ357" s="29">
        <f>98000+15936.3+98000+14229.11+98000</f>
        <v>324165.40999999997</v>
      </c>
      <c r="AK357" s="29">
        <f>21728.22+21402.65</f>
        <v>43130.87</v>
      </c>
    </row>
    <row r="358" spans="1:37" ht="96" customHeight="1" x14ac:dyDescent="0.25">
      <c r="A358" s="12">
        <v>354</v>
      </c>
      <c r="B358" s="13"/>
      <c r="C358" s="67">
        <v>392</v>
      </c>
      <c r="D358" s="13" t="s">
        <v>168</v>
      </c>
      <c r="E358" s="18" t="s">
        <v>165</v>
      </c>
      <c r="F358" s="16" t="s">
        <v>445</v>
      </c>
      <c r="G358" s="92" t="s">
        <v>1054</v>
      </c>
      <c r="H358" s="94" t="s">
        <v>1055</v>
      </c>
      <c r="I358" s="18" t="s">
        <v>1056</v>
      </c>
      <c r="J358" s="17" t="s">
        <v>1057</v>
      </c>
      <c r="K358" s="20">
        <v>43356</v>
      </c>
      <c r="L358" s="32">
        <v>44012</v>
      </c>
      <c r="M358" s="21">
        <f t="shared" si="294"/>
        <v>83.98386240618575</v>
      </c>
      <c r="N358" s="14" t="s">
        <v>324</v>
      </c>
      <c r="O358" s="14" t="s">
        <v>312</v>
      </c>
      <c r="P358" s="14" t="s">
        <v>312</v>
      </c>
      <c r="Q358" s="22" t="s">
        <v>157</v>
      </c>
      <c r="R358" s="14" t="s">
        <v>36</v>
      </c>
      <c r="S358" s="23">
        <f>T358+U358</f>
        <v>2443303.91</v>
      </c>
      <c r="T358" s="23">
        <v>1970311.71</v>
      </c>
      <c r="U358" s="23">
        <v>472992.2</v>
      </c>
      <c r="V358" s="23">
        <f t="shared" si="289"/>
        <v>0</v>
      </c>
      <c r="W358" s="23">
        <v>0</v>
      </c>
      <c r="X358" s="23">
        <v>0</v>
      </c>
      <c r="Y358" s="23">
        <f>Z358+AA358</f>
        <v>465950.13</v>
      </c>
      <c r="Z358" s="23">
        <v>347702.1</v>
      </c>
      <c r="AA358" s="23">
        <v>118248.03</v>
      </c>
      <c r="AB358" s="23">
        <f t="shared" si="295"/>
        <v>0</v>
      </c>
      <c r="AC358" s="23">
        <v>0</v>
      </c>
      <c r="AD358" s="23">
        <v>0</v>
      </c>
      <c r="AE358" s="23">
        <f t="shared" si="292"/>
        <v>2909254.04</v>
      </c>
      <c r="AF358" s="23"/>
      <c r="AG358" s="26">
        <f t="shared" si="301"/>
        <v>2909254.04</v>
      </c>
      <c r="AH358" s="99" t="s">
        <v>585</v>
      </c>
      <c r="AI358" s="28"/>
      <c r="AJ358" s="29">
        <f>23394.54+31870.76</f>
        <v>55265.3</v>
      </c>
      <c r="AK358" s="29">
        <v>0</v>
      </c>
    </row>
    <row r="359" spans="1:37" ht="141.75" x14ac:dyDescent="0.25">
      <c r="A359" s="12">
        <v>355</v>
      </c>
      <c r="B359" s="13">
        <v>109770</v>
      </c>
      <c r="C359" s="67">
        <v>300</v>
      </c>
      <c r="D359" s="13" t="s">
        <v>1320</v>
      </c>
      <c r="E359" s="18" t="s">
        <v>165</v>
      </c>
      <c r="F359" s="16" t="s">
        <v>322</v>
      </c>
      <c r="G359" s="92" t="s">
        <v>1058</v>
      </c>
      <c r="H359" s="30" t="s">
        <v>1059</v>
      </c>
      <c r="I359" s="18" t="s">
        <v>349</v>
      </c>
      <c r="J359" s="240" t="s">
        <v>1060</v>
      </c>
      <c r="K359" s="20">
        <v>43362</v>
      </c>
      <c r="L359" s="32">
        <v>43848</v>
      </c>
      <c r="M359" s="21">
        <f t="shared" si="294"/>
        <v>82.304184197970017</v>
      </c>
      <c r="N359" s="14" t="s">
        <v>324</v>
      </c>
      <c r="O359" s="14" t="s">
        <v>312</v>
      </c>
      <c r="P359" s="14" t="s">
        <v>312</v>
      </c>
      <c r="Q359" s="22" t="s">
        <v>326</v>
      </c>
      <c r="R359" s="14" t="s">
        <v>36</v>
      </c>
      <c r="S359" s="23">
        <f t="shared" si="288"/>
        <v>786369.83000000007</v>
      </c>
      <c r="T359" s="23">
        <v>634138.80000000005</v>
      </c>
      <c r="U359" s="23">
        <v>152231.03</v>
      </c>
      <c r="V359" s="23">
        <f t="shared" si="289"/>
        <v>149964.62</v>
      </c>
      <c r="W359" s="23">
        <v>111906.86</v>
      </c>
      <c r="X359" s="23">
        <v>38057.760000000002</v>
      </c>
      <c r="Y359" s="23">
        <f t="shared" si="293"/>
        <v>0</v>
      </c>
      <c r="Z359" s="23"/>
      <c r="AA359" s="23"/>
      <c r="AB359" s="23">
        <f t="shared" si="295"/>
        <v>19108.870000000003</v>
      </c>
      <c r="AC359" s="23">
        <v>15225.37</v>
      </c>
      <c r="AD359" s="23">
        <v>3883.5</v>
      </c>
      <c r="AE359" s="23">
        <f t="shared" si="292"/>
        <v>955443.32000000007</v>
      </c>
      <c r="AF359" s="23"/>
      <c r="AG359" s="26">
        <f t="shared" si="301"/>
        <v>955443.32000000007</v>
      </c>
      <c r="AH359" s="99" t="s">
        <v>585</v>
      </c>
      <c r="AI359" s="28"/>
      <c r="AJ359" s="29">
        <f>95544.32-8902.54+79756.49+100684.35-11646.04+72714.4+13739.52</f>
        <v>341890.5</v>
      </c>
      <c r="AK359" s="29">
        <f>13512.19+19201.01+11646.04+10486.67</f>
        <v>54845.909999999996</v>
      </c>
    </row>
    <row r="360" spans="1:37" ht="141.75" x14ac:dyDescent="0.25">
      <c r="A360" s="14">
        <v>356</v>
      </c>
      <c r="B360" s="13">
        <v>112155</v>
      </c>
      <c r="C360" s="67">
        <v>224</v>
      </c>
      <c r="D360" s="13" t="s">
        <v>172</v>
      </c>
      <c r="E360" s="18" t="s">
        <v>165</v>
      </c>
      <c r="F360" s="16" t="s">
        <v>322</v>
      </c>
      <c r="G360" s="92" t="s">
        <v>1061</v>
      </c>
      <c r="H360" s="30" t="s">
        <v>1062</v>
      </c>
      <c r="I360" s="18" t="s">
        <v>1063</v>
      </c>
      <c r="J360" s="240" t="s">
        <v>1064</v>
      </c>
      <c r="K360" s="20">
        <v>43362</v>
      </c>
      <c r="L360" s="32">
        <v>43848</v>
      </c>
      <c r="M360" s="21">
        <f t="shared" si="294"/>
        <v>82.838169366221436</v>
      </c>
      <c r="N360" s="14" t="s">
        <v>324</v>
      </c>
      <c r="O360" s="14" t="s">
        <v>944</v>
      </c>
      <c r="P360" s="14" t="s">
        <v>944</v>
      </c>
      <c r="Q360" s="22" t="s">
        <v>326</v>
      </c>
      <c r="R360" s="14" t="s">
        <v>36</v>
      </c>
      <c r="S360" s="23">
        <f t="shared" si="288"/>
        <v>821979.66999999993</v>
      </c>
      <c r="T360" s="23">
        <v>662854.99</v>
      </c>
      <c r="U360" s="23">
        <v>159124.68</v>
      </c>
      <c r="V360" s="23">
        <f t="shared" si="289"/>
        <v>150446.51999999999</v>
      </c>
      <c r="W360" s="23">
        <v>111947.54</v>
      </c>
      <c r="X360" s="23">
        <v>38498.980000000003</v>
      </c>
      <c r="Y360" s="23">
        <f t="shared" si="293"/>
        <v>6308.99</v>
      </c>
      <c r="Z360" s="23">
        <v>5026.83</v>
      </c>
      <c r="AA360" s="23">
        <v>1282.1600000000001</v>
      </c>
      <c r="AB360" s="23">
        <f t="shared" si="295"/>
        <v>13536.47</v>
      </c>
      <c r="AC360" s="23">
        <v>10785.47</v>
      </c>
      <c r="AD360" s="23">
        <v>2751</v>
      </c>
      <c r="AE360" s="23">
        <f t="shared" si="292"/>
        <v>992271.64999999991</v>
      </c>
      <c r="AF360" s="23"/>
      <c r="AG360" s="26">
        <f t="shared" si="301"/>
        <v>992271.64999999991</v>
      </c>
      <c r="AH360" s="99" t="s">
        <v>585</v>
      </c>
      <c r="AI360" s="28"/>
      <c r="AJ360" s="29">
        <f>99227.15-8607.73-3982.27</f>
        <v>86637.15</v>
      </c>
      <c r="AK360" s="29">
        <f>8607.73+3982.27</f>
        <v>12590</v>
      </c>
    </row>
    <row r="361" spans="1:37" ht="409.5" x14ac:dyDescent="0.25">
      <c r="A361" s="12">
        <v>357</v>
      </c>
      <c r="B361" s="13">
        <v>111612</v>
      </c>
      <c r="C361" s="67">
        <v>153</v>
      </c>
      <c r="D361" s="13" t="s">
        <v>1074</v>
      </c>
      <c r="E361" s="18" t="s">
        <v>165</v>
      </c>
      <c r="F361" s="16" t="s">
        <v>322</v>
      </c>
      <c r="G361" s="30" t="s">
        <v>1069</v>
      </c>
      <c r="H361" s="30" t="s">
        <v>1070</v>
      </c>
      <c r="I361" s="18" t="s">
        <v>1071</v>
      </c>
      <c r="J361" s="240" t="s">
        <v>1072</v>
      </c>
      <c r="K361" s="20">
        <v>43371</v>
      </c>
      <c r="L361" s="32">
        <v>43796</v>
      </c>
      <c r="M361" s="21">
        <f>S361/AE361*100</f>
        <v>82.304183068176116</v>
      </c>
      <c r="N361" s="14" t="s">
        <v>324</v>
      </c>
      <c r="O361" s="14" t="s">
        <v>312</v>
      </c>
      <c r="P361" s="14" t="s">
        <v>312</v>
      </c>
      <c r="Q361" s="22" t="s">
        <v>326</v>
      </c>
      <c r="R361" s="14" t="s">
        <v>36</v>
      </c>
      <c r="S361" s="23">
        <f t="shared" ref="S361:S375" si="302">T361+U361</f>
        <v>719578.88</v>
      </c>
      <c r="T361" s="23">
        <v>580277.67000000004</v>
      </c>
      <c r="U361" s="23">
        <v>139301.21</v>
      </c>
      <c r="V361" s="23">
        <f t="shared" ref="V361:V375" si="303">W361+X361</f>
        <v>137227.27000000002</v>
      </c>
      <c r="W361" s="23">
        <v>102401.97</v>
      </c>
      <c r="X361" s="23">
        <v>34825.300000000003</v>
      </c>
      <c r="Y361" s="23">
        <f t="shared" ref="Y361:Y375" si="304">Z361+AA361</f>
        <v>0</v>
      </c>
      <c r="Z361" s="23">
        <v>0</v>
      </c>
      <c r="AA361" s="23">
        <v>0</v>
      </c>
      <c r="AB361" s="23">
        <f t="shared" ref="AB361:AB375" si="305">AC361+AD361</f>
        <v>17485.84</v>
      </c>
      <c r="AC361" s="23">
        <v>13932.24</v>
      </c>
      <c r="AD361" s="23">
        <v>3553.6</v>
      </c>
      <c r="AE361" s="23">
        <f t="shared" ref="AE361:AE375" si="306">S361+V361+Y361+AB361</f>
        <v>874291.99</v>
      </c>
      <c r="AF361" s="23"/>
      <c r="AG361" s="26">
        <f t="shared" si="301"/>
        <v>874291.99</v>
      </c>
      <c r="AH361" s="99" t="s">
        <v>585</v>
      </c>
      <c r="AI361" s="28"/>
      <c r="AJ361" s="29">
        <f>87429.19-11092.62+65731.05+20127.08</f>
        <v>162194.70000000001</v>
      </c>
      <c r="AK361" s="29">
        <f>11092.62+3838.33</f>
        <v>14930.95</v>
      </c>
    </row>
    <row r="362" spans="1:37" ht="390" customHeight="1" x14ac:dyDescent="0.25">
      <c r="A362" s="12">
        <v>358</v>
      </c>
      <c r="B362" s="13">
        <v>110058</v>
      </c>
      <c r="C362" s="67">
        <v>302</v>
      </c>
      <c r="D362" s="13" t="s">
        <v>1074</v>
      </c>
      <c r="E362" s="18" t="s">
        <v>165</v>
      </c>
      <c r="F362" s="16" t="s">
        <v>322</v>
      </c>
      <c r="G362" s="92" t="s">
        <v>1075</v>
      </c>
      <c r="H362" s="30" t="s">
        <v>1076</v>
      </c>
      <c r="I362" s="18" t="s">
        <v>1077</v>
      </c>
      <c r="J362" s="19" t="s">
        <v>1078</v>
      </c>
      <c r="K362" s="20">
        <v>43370</v>
      </c>
      <c r="L362" s="32">
        <v>43857</v>
      </c>
      <c r="M362" s="21">
        <f>S362/AE362*100</f>
        <v>82.767157561916832</v>
      </c>
      <c r="N362" s="14" t="s">
        <v>324</v>
      </c>
      <c r="O362" s="14" t="s">
        <v>312</v>
      </c>
      <c r="P362" s="14" t="s">
        <v>312</v>
      </c>
      <c r="Q362" s="22" t="s">
        <v>326</v>
      </c>
      <c r="R362" s="14" t="s">
        <v>36</v>
      </c>
      <c r="S362" s="23">
        <f t="shared" si="302"/>
        <v>803873.75</v>
      </c>
      <c r="T362" s="23">
        <v>648254.14</v>
      </c>
      <c r="U362" s="23">
        <v>155619.60999999999</v>
      </c>
      <c r="V362" s="23">
        <f t="shared" si="303"/>
        <v>147948.57</v>
      </c>
      <c r="W362" s="23">
        <v>110131.78</v>
      </c>
      <c r="X362" s="23">
        <v>37816.79</v>
      </c>
      <c r="Y362" s="23">
        <f t="shared" si="304"/>
        <v>0</v>
      </c>
      <c r="Z362" s="23"/>
      <c r="AA362" s="23"/>
      <c r="AB362" s="23">
        <f t="shared" si="305"/>
        <v>19424.939999999999</v>
      </c>
      <c r="AC362" s="23">
        <v>15477.26</v>
      </c>
      <c r="AD362" s="23">
        <v>3947.68</v>
      </c>
      <c r="AE362" s="23">
        <f t="shared" si="306"/>
        <v>971247.26</v>
      </c>
      <c r="AF362" s="37"/>
      <c r="AG362" s="26">
        <f t="shared" si="301"/>
        <v>971247.26</v>
      </c>
      <c r="AH362" s="99" t="s">
        <v>585</v>
      </c>
      <c r="AI362" s="28"/>
      <c r="AJ362" s="29">
        <f>97124.72-2315.04+144614.75+20673.18</f>
        <v>260097.61</v>
      </c>
      <c r="AK362" s="29">
        <f>2315.04+24491.87+3942.46</f>
        <v>30749.37</v>
      </c>
    </row>
    <row r="363" spans="1:37" ht="390" customHeight="1" x14ac:dyDescent="0.25">
      <c r="A363" s="14">
        <v>359</v>
      </c>
      <c r="B363" s="13">
        <v>111482</v>
      </c>
      <c r="C363" s="67">
        <v>133</v>
      </c>
      <c r="D363" s="13" t="s">
        <v>1074</v>
      </c>
      <c r="E363" s="18" t="s">
        <v>165</v>
      </c>
      <c r="F363" s="16" t="s">
        <v>322</v>
      </c>
      <c r="G363" s="30" t="s">
        <v>1086</v>
      </c>
      <c r="H363" s="30" t="s">
        <v>1085</v>
      </c>
      <c r="I363" s="18" t="s">
        <v>1087</v>
      </c>
      <c r="J363" s="19" t="s">
        <v>1088</v>
      </c>
      <c r="K363" s="20">
        <v>43376</v>
      </c>
      <c r="L363" s="32">
        <v>43864</v>
      </c>
      <c r="M363" s="21">
        <f t="shared" ref="M363:M375" si="307">S363/AE363*100</f>
        <v>82.928005929547282</v>
      </c>
      <c r="N363" s="14" t="s">
        <v>324</v>
      </c>
      <c r="O363" s="14" t="s">
        <v>303</v>
      </c>
      <c r="P363" s="14" t="s">
        <v>1089</v>
      </c>
      <c r="Q363" s="22" t="s">
        <v>326</v>
      </c>
      <c r="R363" s="14" t="s">
        <v>36</v>
      </c>
      <c r="S363" s="23">
        <f t="shared" si="302"/>
        <v>795878.74</v>
      </c>
      <c r="T363" s="23">
        <v>641806.86</v>
      </c>
      <c r="U363" s="23">
        <v>154071.88</v>
      </c>
      <c r="V363" s="23">
        <f t="shared" si="303"/>
        <v>144649.33000000002</v>
      </c>
      <c r="W363" s="23">
        <v>107580.1</v>
      </c>
      <c r="X363" s="23">
        <v>37069.230000000003</v>
      </c>
      <c r="Y363" s="23">
        <f t="shared" si="304"/>
        <v>0</v>
      </c>
      <c r="Z363" s="23"/>
      <c r="AA363" s="23"/>
      <c r="AB363" s="23">
        <f t="shared" si="305"/>
        <v>19194.440000000002</v>
      </c>
      <c r="AC363" s="23">
        <v>15293.61</v>
      </c>
      <c r="AD363" s="23">
        <v>3900.83</v>
      </c>
      <c r="AE363" s="23">
        <f t="shared" si="306"/>
        <v>959722.51</v>
      </c>
      <c r="AF363" s="37"/>
      <c r="AG363" s="26">
        <f t="shared" si="301"/>
        <v>959722.51</v>
      </c>
      <c r="AH363" s="99" t="s">
        <v>871</v>
      </c>
      <c r="AI363" s="28"/>
      <c r="AJ363" s="29">
        <f>94052.8+22014.67+75007.09-1587.76+90621.42+42244.56</f>
        <v>322352.77999999997</v>
      </c>
      <c r="AK363" s="29">
        <f>7963.77+14304.23+1587.76+10820.01+19519.35</f>
        <v>54195.119999999995</v>
      </c>
    </row>
    <row r="364" spans="1:37" ht="390" customHeight="1" x14ac:dyDescent="0.25">
      <c r="A364" s="12">
        <v>360</v>
      </c>
      <c r="B364" s="13">
        <v>112266</v>
      </c>
      <c r="C364" s="67">
        <v>310</v>
      </c>
      <c r="D364" s="13" t="s">
        <v>168</v>
      </c>
      <c r="E364" s="18" t="s">
        <v>165</v>
      </c>
      <c r="F364" s="16" t="s">
        <v>322</v>
      </c>
      <c r="G364" s="30" t="s">
        <v>1090</v>
      </c>
      <c r="H364" s="30" t="s">
        <v>1091</v>
      </c>
      <c r="I364" s="18" t="s">
        <v>1092</v>
      </c>
      <c r="J364" s="19" t="s">
        <v>1093</v>
      </c>
      <c r="K364" s="20">
        <v>43376</v>
      </c>
      <c r="L364" s="32">
        <v>43801</v>
      </c>
      <c r="M364" s="21">
        <f t="shared" si="307"/>
        <v>83.010839519489394</v>
      </c>
      <c r="N364" s="14" t="s">
        <v>324</v>
      </c>
      <c r="O364" s="14" t="s">
        <v>312</v>
      </c>
      <c r="P364" s="14" t="s">
        <v>312</v>
      </c>
      <c r="Q364" s="22" t="s">
        <v>157</v>
      </c>
      <c r="R364" s="14" t="s">
        <v>36</v>
      </c>
      <c r="S364" s="23">
        <f t="shared" si="302"/>
        <v>830076.27</v>
      </c>
      <c r="T364" s="23">
        <v>669384.21</v>
      </c>
      <c r="U364" s="23">
        <v>160692.06</v>
      </c>
      <c r="V364" s="23">
        <f t="shared" si="303"/>
        <v>149885.79999999999</v>
      </c>
      <c r="W364" s="23">
        <v>111422.7</v>
      </c>
      <c r="X364" s="23">
        <v>38463.1</v>
      </c>
      <c r="Y364" s="23">
        <f t="shared" si="304"/>
        <v>0</v>
      </c>
      <c r="Z364" s="23"/>
      <c r="AA364" s="23"/>
      <c r="AB364" s="23">
        <f t="shared" si="305"/>
        <v>19999.23</v>
      </c>
      <c r="AC364" s="23">
        <v>15934.82</v>
      </c>
      <c r="AD364" s="23">
        <v>4064.41</v>
      </c>
      <c r="AE364" s="23">
        <f t="shared" si="306"/>
        <v>999961.3</v>
      </c>
      <c r="AF364" s="37"/>
      <c r="AG364" s="26">
        <f t="shared" si="301"/>
        <v>999961.3</v>
      </c>
      <c r="AH364" s="99" t="s">
        <v>871</v>
      </c>
      <c r="AI364" s="28"/>
      <c r="AJ364" s="29">
        <f>99996.13-6665.57+73099.14-794.96+84527.06+94015.05</f>
        <v>344176.85000000003</v>
      </c>
      <c r="AK364" s="29">
        <f>11707.76+14823.26+16781.91</f>
        <v>43312.93</v>
      </c>
    </row>
    <row r="365" spans="1:37" ht="390" customHeight="1" x14ac:dyDescent="0.25">
      <c r="A365" s="12">
        <v>361</v>
      </c>
      <c r="B365" s="13">
        <v>118704</v>
      </c>
      <c r="C365" s="67">
        <v>434</v>
      </c>
      <c r="D365" s="13" t="s">
        <v>172</v>
      </c>
      <c r="E365" s="18" t="s">
        <v>1083</v>
      </c>
      <c r="F365" s="75" t="s">
        <v>630</v>
      </c>
      <c r="G365" s="92" t="s">
        <v>1094</v>
      </c>
      <c r="H365" s="30" t="s">
        <v>1095</v>
      </c>
      <c r="I365" s="18" t="s">
        <v>353</v>
      </c>
      <c r="J365" s="19" t="s">
        <v>1096</v>
      </c>
      <c r="K365" s="20">
        <v>43389</v>
      </c>
      <c r="L365" s="32">
        <v>43846</v>
      </c>
      <c r="M365" s="21">
        <f t="shared" si="307"/>
        <v>83.983864465105967</v>
      </c>
      <c r="N365" s="14" t="s">
        <v>324</v>
      </c>
      <c r="O365" s="14" t="s">
        <v>312</v>
      </c>
      <c r="P365" s="14" t="s">
        <v>312</v>
      </c>
      <c r="Q365" s="22" t="s">
        <v>157</v>
      </c>
      <c r="R365" s="246" t="s">
        <v>36</v>
      </c>
      <c r="S365" s="23">
        <f t="shared" si="302"/>
        <v>1448623.93</v>
      </c>
      <c r="T365" s="23">
        <v>1168188.98</v>
      </c>
      <c r="U365" s="23">
        <v>280434.95</v>
      </c>
      <c r="V365" s="23">
        <f t="shared" si="303"/>
        <v>0</v>
      </c>
      <c r="W365" s="23">
        <v>0</v>
      </c>
      <c r="X365" s="23">
        <v>0</v>
      </c>
      <c r="Y365" s="23">
        <f>Z365+AA365</f>
        <v>0</v>
      </c>
      <c r="Z365" s="23">
        <v>0</v>
      </c>
      <c r="AA365" s="23">
        <v>0</v>
      </c>
      <c r="AB365" s="23">
        <f>AC365+AD365</f>
        <v>276259.7</v>
      </c>
      <c r="AC365" s="23">
        <v>206150.96</v>
      </c>
      <c r="AD365" s="23">
        <v>70108.740000000005</v>
      </c>
      <c r="AE365" s="23">
        <f t="shared" si="306"/>
        <v>1724883.63</v>
      </c>
      <c r="AF365" s="37">
        <v>458944.63</v>
      </c>
      <c r="AG365" s="26">
        <f t="shared" si="301"/>
        <v>2183828.2599999998</v>
      </c>
      <c r="AH365" s="99" t="s">
        <v>871</v>
      </c>
      <c r="AI365" s="28" t="s">
        <v>1292</v>
      </c>
      <c r="AJ365" s="29">
        <v>88271.18</v>
      </c>
      <c r="AK365" s="29">
        <v>0</v>
      </c>
    </row>
    <row r="366" spans="1:37" ht="288.75" customHeight="1" x14ac:dyDescent="0.25">
      <c r="A366" s="14">
        <v>362</v>
      </c>
      <c r="B366" s="13">
        <v>111265</v>
      </c>
      <c r="C366" s="67">
        <v>156</v>
      </c>
      <c r="D366" s="13" t="s">
        <v>1074</v>
      </c>
      <c r="E366" s="18" t="s">
        <v>165</v>
      </c>
      <c r="F366" s="16" t="s">
        <v>322</v>
      </c>
      <c r="G366" s="92" t="s">
        <v>1102</v>
      </c>
      <c r="H366" s="30" t="s">
        <v>1130</v>
      </c>
      <c r="I366" s="18" t="s">
        <v>1103</v>
      </c>
      <c r="J366" s="19" t="s">
        <v>1104</v>
      </c>
      <c r="K366" s="20">
        <v>43390</v>
      </c>
      <c r="L366" s="32">
        <v>43877</v>
      </c>
      <c r="M366" s="21">
        <f t="shared" si="307"/>
        <v>82.30418508577705</v>
      </c>
      <c r="N366" s="14" t="s">
        <v>324</v>
      </c>
      <c r="O366" s="14" t="s">
        <v>270</v>
      </c>
      <c r="P366" s="14" t="s">
        <v>270</v>
      </c>
      <c r="Q366" s="22" t="s">
        <v>326</v>
      </c>
      <c r="R366" s="14" t="s">
        <v>36</v>
      </c>
      <c r="S366" s="23">
        <f t="shared" si="302"/>
        <v>800497.5</v>
      </c>
      <c r="T366" s="23">
        <v>645531.51</v>
      </c>
      <c r="U366" s="23">
        <v>154965.99</v>
      </c>
      <c r="V366" s="23">
        <f t="shared" si="303"/>
        <v>152658.83000000002</v>
      </c>
      <c r="W366" s="23">
        <v>113917.32</v>
      </c>
      <c r="X366" s="23">
        <v>38741.51</v>
      </c>
      <c r="Y366" s="23">
        <f t="shared" si="304"/>
        <v>0</v>
      </c>
      <c r="Z366" s="23"/>
      <c r="AA366" s="23"/>
      <c r="AB366" s="23">
        <f t="shared" si="305"/>
        <v>19452.170000000002</v>
      </c>
      <c r="AC366" s="23">
        <v>15498.95</v>
      </c>
      <c r="AD366" s="23">
        <v>3953.22</v>
      </c>
      <c r="AE366" s="23">
        <f t="shared" si="306"/>
        <v>972608.50000000012</v>
      </c>
      <c r="AF366" s="37"/>
      <c r="AG366" s="26">
        <f t="shared" si="301"/>
        <v>972608.50000000012</v>
      </c>
      <c r="AH366" s="99" t="s">
        <v>871</v>
      </c>
      <c r="AI366" s="28"/>
      <c r="AJ366" s="29">
        <f>65068.03-7463.91+95685.5-844.43</f>
        <v>152445.19</v>
      </c>
      <c r="AK366" s="29">
        <f>10985.39+18086.66</f>
        <v>29072.05</v>
      </c>
    </row>
    <row r="367" spans="1:37" ht="390" customHeight="1" x14ac:dyDescent="0.25">
      <c r="A367" s="12">
        <v>363</v>
      </c>
      <c r="B367" s="13">
        <v>112719</v>
      </c>
      <c r="C367" s="67">
        <v>287</v>
      </c>
      <c r="D367" s="13" t="s">
        <v>1320</v>
      </c>
      <c r="E367" s="18" t="s">
        <v>165</v>
      </c>
      <c r="F367" s="16" t="s">
        <v>322</v>
      </c>
      <c r="G367" s="258" t="s">
        <v>1114</v>
      </c>
      <c r="H367" s="30" t="s">
        <v>1115</v>
      </c>
      <c r="I367" s="18" t="s">
        <v>1116</v>
      </c>
      <c r="J367" s="19" t="s">
        <v>1117</v>
      </c>
      <c r="K367" s="20">
        <v>43399</v>
      </c>
      <c r="L367" s="32">
        <v>43886</v>
      </c>
      <c r="M367" s="21">
        <f t="shared" si="307"/>
        <v>82.304184463081299</v>
      </c>
      <c r="N367" s="14" t="s">
        <v>324</v>
      </c>
      <c r="O367" s="14" t="s">
        <v>156</v>
      </c>
      <c r="P367" s="14" t="s">
        <v>156</v>
      </c>
      <c r="Q367" s="22" t="s">
        <v>326</v>
      </c>
      <c r="R367" s="14" t="s">
        <v>36</v>
      </c>
      <c r="S367" s="23">
        <f t="shared" si="302"/>
        <v>780735</v>
      </c>
      <c r="T367" s="23">
        <v>629594.75</v>
      </c>
      <c r="U367" s="23">
        <v>151140.25</v>
      </c>
      <c r="V367" s="23">
        <f t="shared" si="303"/>
        <v>148890.03999999998</v>
      </c>
      <c r="W367" s="23">
        <v>111105.01</v>
      </c>
      <c r="X367" s="23">
        <v>37785.03</v>
      </c>
      <c r="Y367" s="23">
        <f>Z367+AA367</f>
        <v>0</v>
      </c>
      <c r="Z367" s="23"/>
      <c r="AA367" s="23"/>
      <c r="AB367" s="23">
        <f>AC367+AD367</f>
        <v>18971.93</v>
      </c>
      <c r="AC367" s="23">
        <v>15116.28</v>
      </c>
      <c r="AD367" s="23">
        <v>3855.65</v>
      </c>
      <c r="AE367" s="23">
        <f t="shared" si="306"/>
        <v>948596.97000000009</v>
      </c>
      <c r="AF367" s="37"/>
      <c r="AG367" s="26">
        <f t="shared" si="301"/>
        <v>948596.97000000009</v>
      </c>
      <c r="AH367" s="99" t="s">
        <v>871</v>
      </c>
      <c r="AI367" s="28"/>
      <c r="AJ367" s="29">
        <f>60847.25+46274.32+74884.92+83101.32+62784.42</f>
        <v>327892.23</v>
      </c>
      <c r="AK367" s="29">
        <f>12128.97+6500.12+15847.83+9982.54</f>
        <v>44459.46</v>
      </c>
    </row>
    <row r="368" spans="1:37" ht="390" customHeight="1" x14ac:dyDescent="0.25">
      <c r="A368" s="12">
        <v>364</v>
      </c>
      <c r="B368" s="13">
        <v>112591</v>
      </c>
      <c r="C368" s="67">
        <v>205</v>
      </c>
      <c r="D368" s="13" t="s">
        <v>172</v>
      </c>
      <c r="E368" s="18" t="s">
        <v>165</v>
      </c>
      <c r="F368" s="16" t="s">
        <v>322</v>
      </c>
      <c r="G368" s="258" t="s">
        <v>1118</v>
      </c>
      <c r="H368" s="30" t="s">
        <v>1119</v>
      </c>
      <c r="I368" s="18" t="s">
        <v>1121</v>
      </c>
      <c r="J368" s="19" t="s">
        <v>1120</v>
      </c>
      <c r="K368" s="20">
        <v>43404</v>
      </c>
      <c r="L368" s="32">
        <v>43890</v>
      </c>
      <c r="M368" s="21">
        <f t="shared" si="307"/>
        <v>82.304184436387899</v>
      </c>
      <c r="N368" s="14" t="s">
        <v>324</v>
      </c>
      <c r="O368" s="14" t="s">
        <v>312</v>
      </c>
      <c r="P368" s="14" t="s">
        <v>312</v>
      </c>
      <c r="Q368" s="22" t="s">
        <v>326</v>
      </c>
      <c r="R368" s="14" t="s">
        <v>36</v>
      </c>
      <c r="S368" s="23">
        <f t="shared" si="302"/>
        <v>767059.32000000007</v>
      </c>
      <c r="T368" s="23">
        <v>618566.51</v>
      </c>
      <c r="U368" s="23">
        <v>148492.81</v>
      </c>
      <c r="V368" s="23">
        <f t="shared" si="303"/>
        <v>146282.01</v>
      </c>
      <c r="W368" s="23">
        <v>109158.81</v>
      </c>
      <c r="X368" s="23">
        <v>37123.199999999997</v>
      </c>
      <c r="Y368" s="23">
        <f t="shared" si="304"/>
        <v>0</v>
      </c>
      <c r="Z368" s="23"/>
      <c r="AA368" s="23"/>
      <c r="AB368" s="23">
        <f t="shared" si="305"/>
        <v>18639.620000000003</v>
      </c>
      <c r="AC368" s="23">
        <v>14851.54</v>
      </c>
      <c r="AD368" s="23">
        <v>3788.08</v>
      </c>
      <c r="AE368" s="23">
        <f t="shared" si="306"/>
        <v>931980.95000000007</v>
      </c>
      <c r="AF368" s="37"/>
      <c r="AG368" s="26">
        <f t="shared" si="301"/>
        <v>931980.95000000007</v>
      </c>
      <c r="AH368" s="99" t="s">
        <v>871</v>
      </c>
      <c r="AI368" s="28" t="s">
        <v>1384</v>
      </c>
      <c r="AJ368" s="29">
        <f>91333+58281.04</f>
        <v>149614.04</v>
      </c>
      <c r="AK368" s="29">
        <v>11290.14</v>
      </c>
    </row>
    <row r="369" spans="1:37" ht="390" customHeight="1" x14ac:dyDescent="0.25">
      <c r="A369" s="14">
        <v>365</v>
      </c>
      <c r="B369" s="13">
        <v>109897</v>
      </c>
      <c r="C369" s="67">
        <v>159</v>
      </c>
      <c r="D369" s="13" t="s">
        <v>1074</v>
      </c>
      <c r="E369" s="18" t="s">
        <v>165</v>
      </c>
      <c r="F369" s="16" t="s">
        <v>322</v>
      </c>
      <c r="G369" s="68" t="s">
        <v>1128</v>
      </c>
      <c r="H369" s="30" t="s">
        <v>1129</v>
      </c>
      <c r="I369" s="18" t="s">
        <v>349</v>
      </c>
      <c r="J369" s="112" t="s">
        <v>1185</v>
      </c>
      <c r="K369" s="20">
        <v>43418</v>
      </c>
      <c r="L369" s="20">
        <v>43903</v>
      </c>
      <c r="M369" s="21">
        <f t="shared" si="307"/>
        <v>82.304184553403289</v>
      </c>
      <c r="N369" s="14" t="s">
        <v>324</v>
      </c>
      <c r="O369" s="14" t="s">
        <v>312</v>
      </c>
      <c r="P369" s="14" t="s">
        <v>156</v>
      </c>
      <c r="Q369" s="22" t="s">
        <v>326</v>
      </c>
      <c r="R369" s="14" t="s">
        <v>36</v>
      </c>
      <c r="S369" s="23">
        <f t="shared" si="302"/>
        <v>763718.79999999993</v>
      </c>
      <c r="T369" s="23">
        <v>615872.68999999994</v>
      </c>
      <c r="U369" s="23">
        <v>147846.10999999999</v>
      </c>
      <c r="V369" s="23">
        <f t="shared" si="303"/>
        <v>145644.95000000001</v>
      </c>
      <c r="W369" s="23">
        <v>108683.4</v>
      </c>
      <c r="X369" s="23">
        <v>36961.550000000003</v>
      </c>
      <c r="Y369" s="23">
        <f t="shared" si="304"/>
        <v>0</v>
      </c>
      <c r="Z369" s="23"/>
      <c r="AA369" s="23"/>
      <c r="AB369" s="23">
        <f t="shared" si="305"/>
        <v>18558.45</v>
      </c>
      <c r="AC369" s="23">
        <v>14786.86</v>
      </c>
      <c r="AD369" s="23">
        <v>3771.59</v>
      </c>
      <c r="AE369" s="23">
        <f t="shared" si="306"/>
        <v>927922.2</v>
      </c>
      <c r="AF369" s="37"/>
      <c r="AG369" s="26">
        <f t="shared" si="301"/>
        <v>927922.2</v>
      </c>
      <c r="AH369" s="99" t="s">
        <v>871</v>
      </c>
      <c r="AI369" s="28"/>
      <c r="AJ369" s="29">
        <f>92792.22-7961.38+49708.54</f>
        <v>134539.38</v>
      </c>
      <c r="AK369" s="29">
        <v>7961.38</v>
      </c>
    </row>
    <row r="370" spans="1:37" ht="189" x14ac:dyDescent="0.25">
      <c r="A370" s="12">
        <v>366</v>
      </c>
      <c r="B370" s="13">
        <v>127778</v>
      </c>
      <c r="C370" s="67">
        <v>580</v>
      </c>
      <c r="D370" s="13" t="s">
        <v>171</v>
      </c>
      <c r="E370" s="18" t="s">
        <v>165</v>
      </c>
      <c r="F370" s="16" t="s">
        <v>1262</v>
      </c>
      <c r="G370" s="68" t="s">
        <v>1182</v>
      </c>
      <c r="H370" s="30" t="s">
        <v>1183</v>
      </c>
      <c r="I370" s="18" t="s">
        <v>349</v>
      </c>
      <c r="J370" s="112" t="s">
        <v>1184</v>
      </c>
      <c r="K370" s="20">
        <v>43447</v>
      </c>
      <c r="L370" s="20">
        <v>44543</v>
      </c>
      <c r="M370" s="21">
        <f t="shared" si="307"/>
        <v>83.983863103096297</v>
      </c>
      <c r="N370" s="14" t="s">
        <v>324</v>
      </c>
      <c r="O370" s="14" t="s">
        <v>312</v>
      </c>
      <c r="P370" s="14" t="s">
        <v>312</v>
      </c>
      <c r="Q370" s="22" t="s">
        <v>157</v>
      </c>
      <c r="R370" s="14" t="s">
        <v>36</v>
      </c>
      <c r="S370" s="23">
        <f t="shared" si="302"/>
        <v>10837735.809999999</v>
      </c>
      <c r="T370" s="23">
        <v>8739689.6799999997</v>
      </c>
      <c r="U370" s="23">
        <v>2098046.13</v>
      </c>
      <c r="V370" s="23">
        <f t="shared" si="303"/>
        <v>0</v>
      </c>
      <c r="W370" s="23">
        <v>0</v>
      </c>
      <c r="X370" s="23">
        <v>0</v>
      </c>
      <c r="Y370" s="23">
        <f t="shared" si="304"/>
        <v>2066809.67</v>
      </c>
      <c r="Z370" s="23">
        <v>1542298.16</v>
      </c>
      <c r="AA370" s="23">
        <v>524511.51</v>
      </c>
      <c r="AB370" s="23">
        <f t="shared" si="305"/>
        <v>0</v>
      </c>
      <c r="AC370" s="23">
        <v>0</v>
      </c>
      <c r="AD370" s="23">
        <v>0</v>
      </c>
      <c r="AE370" s="23">
        <f t="shared" si="306"/>
        <v>12904545.479999999</v>
      </c>
      <c r="AF370" s="37">
        <v>0</v>
      </c>
      <c r="AG370" s="26">
        <f t="shared" si="301"/>
        <v>12904545.479999999</v>
      </c>
      <c r="AH370" s="99" t="s">
        <v>871</v>
      </c>
      <c r="AI370" s="28" t="s">
        <v>349</v>
      </c>
      <c r="AJ370" s="29">
        <v>4232165.5</v>
      </c>
      <c r="AK370" s="29">
        <v>0</v>
      </c>
    </row>
    <row r="371" spans="1:37" ht="299.25" x14ac:dyDescent="0.25">
      <c r="A371" s="12">
        <v>367</v>
      </c>
      <c r="B371" s="13">
        <v>127575</v>
      </c>
      <c r="C371" s="67">
        <v>604</v>
      </c>
      <c r="D371" s="13" t="s">
        <v>163</v>
      </c>
      <c r="E371" s="18" t="s">
        <v>165</v>
      </c>
      <c r="F371" s="16" t="s">
        <v>1262</v>
      </c>
      <c r="G371" s="68" t="s">
        <v>1198</v>
      </c>
      <c r="H371" s="30" t="s">
        <v>1199</v>
      </c>
      <c r="I371" s="18" t="s">
        <v>349</v>
      </c>
      <c r="J371" s="112" t="s">
        <v>1202</v>
      </c>
      <c r="K371" s="20">
        <v>43448</v>
      </c>
      <c r="L371" s="20">
        <v>44179</v>
      </c>
      <c r="M371" s="21">
        <f t="shared" si="307"/>
        <v>83.983862830635374</v>
      </c>
      <c r="N371" s="14" t="s">
        <v>324</v>
      </c>
      <c r="O371" s="14" t="s">
        <v>312</v>
      </c>
      <c r="P371" s="14" t="s">
        <v>312</v>
      </c>
      <c r="Q371" s="22" t="s">
        <v>157</v>
      </c>
      <c r="R371" s="14" t="s">
        <v>36</v>
      </c>
      <c r="S371" s="23">
        <f t="shared" si="302"/>
        <v>71134346.120000005</v>
      </c>
      <c r="T371" s="23">
        <v>57363652.549999997</v>
      </c>
      <c r="U371" s="23">
        <v>13770693.57</v>
      </c>
      <c r="V371" s="23">
        <f t="shared" si="303"/>
        <v>0</v>
      </c>
      <c r="W371" s="23">
        <v>0</v>
      </c>
      <c r="X371" s="23">
        <v>0</v>
      </c>
      <c r="Y371" s="23">
        <f t="shared" si="304"/>
        <v>13565670.91</v>
      </c>
      <c r="Z371" s="23">
        <v>10122997.52</v>
      </c>
      <c r="AA371" s="23">
        <v>3442673.39</v>
      </c>
      <c r="AB371" s="23">
        <f t="shared" si="305"/>
        <v>0</v>
      </c>
      <c r="AC371" s="23">
        <v>0</v>
      </c>
      <c r="AD371" s="23">
        <v>0</v>
      </c>
      <c r="AE371" s="23">
        <f t="shared" si="306"/>
        <v>84700017.030000001</v>
      </c>
      <c r="AF371" s="37">
        <v>0</v>
      </c>
      <c r="AG371" s="26">
        <f t="shared" si="301"/>
        <v>84700017.030000001</v>
      </c>
      <c r="AH371" s="99" t="s">
        <v>871</v>
      </c>
      <c r="AI371" s="28"/>
      <c r="AJ371" s="29">
        <v>64794622.270000003</v>
      </c>
      <c r="AK371" s="29">
        <v>0</v>
      </c>
    </row>
    <row r="372" spans="1:37" ht="173.25" x14ac:dyDescent="0.25">
      <c r="A372" s="14">
        <v>368</v>
      </c>
      <c r="B372" s="13">
        <v>116834</v>
      </c>
      <c r="C372" s="67">
        <v>397</v>
      </c>
      <c r="D372" s="13" t="s">
        <v>172</v>
      </c>
      <c r="E372" s="18" t="s">
        <v>165</v>
      </c>
      <c r="F372" s="16" t="s">
        <v>445</v>
      </c>
      <c r="G372" s="68" t="s">
        <v>1220</v>
      </c>
      <c r="H372" s="30" t="s">
        <v>124</v>
      </c>
      <c r="I372" s="18" t="s">
        <v>1221</v>
      </c>
      <c r="J372" s="73" t="s">
        <v>1222</v>
      </c>
      <c r="K372" s="20">
        <v>43462</v>
      </c>
      <c r="L372" s="20">
        <v>44255</v>
      </c>
      <c r="M372" s="21">
        <f t="shared" si="307"/>
        <v>83.410873102181938</v>
      </c>
      <c r="N372" s="14" t="s">
        <v>324</v>
      </c>
      <c r="O372" s="14" t="s">
        <v>312</v>
      </c>
      <c r="P372" s="14" t="s">
        <v>312</v>
      </c>
      <c r="Q372" s="22" t="s">
        <v>157</v>
      </c>
      <c r="R372" s="14" t="s">
        <v>36</v>
      </c>
      <c r="S372" s="23">
        <f t="shared" si="302"/>
        <v>3404514.47</v>
      </c>
      <c r="T372" s="23">
        <v>2745444.31</v>
      </c>
      <c r="U372" s="23">
        <v>659070.16</v>
      </c>
      <c r="V372" s="23">
        <f t="shared" si="303"/>
        <v>218543.18</v>
      </c>
      <c r="W372" s="23">
        <v>163081.66</v>
      </c>
      <c r="X372" s="23">
        <v>55461.51999999999</v>
      </c>
      <c r="Y372" s="23">
        <f t="shared" si="304"/>
        <v>430714.54000000004</v>
      </c>
      <c r="Z372" s="23">
        <v>321408.51</v>
      </c>
      <c r="AA372" s="23">
        <v>109306.03</v>
      </c>
      <c r="AB372" s="23">
        <f t="shared" si="305"/>
        <v>27847.32</v>
      </c>
      <c r="AC372" s="23">
        <v>22187.98</v>
      </c>
      <c r="AD372" s="23">
        <v>5659.34</v>
      </c>
      <c r="AE372" s="23">
        <f t="shared" si="306"/>
        <v>4081619.5100000002</v>
      </c>
      <c r="AF372" s="37">
        <v>0</v>
      </c>
      <c r="AG372" s="26">
        <f t="shared" si="301"/>
        <v>4081619.5100000002</v>
      </c>
      <c r="AH372" s="99" t="s">
        <v>871</v>
      </c>
      <c r="AI372" s="28"/>
      <c r="AJ372" s="29">
        <v>138999</v>
      </c>
      <c r="AK372" s="29">
        <v>0</v>
      </c>
    </row>
    <row r="373" spans="1:37" ht="315" x14ac:dyDescent="0.25">
      <c r="A373" s="12">
        <v>369</v>
      </c>
      <c r="B373" s="13">
        <v>116793</v>
      </c>
      <c r="C373" s="67">
        <v>398</v>
      </c>
      <c r="D373" s="13" t="s">
        <v>172</v>
      </c>
      <c r="E373" s="18" t="s">
        <v>165</v>
      </c>
      <c r="F373" s="16" t="s">
        <v>445</v>
      </c>
      <c r="G373" s="68" t="s">
        <v>1223</v>
      </c>
      <c r="H373" s="30" t="s">
        <v>124</v>
      </c>
      <c r="I373" s="15" t="s">
        <v>1225</v>
      </c>
      <c r="J373" s="73" t="s">
        <v>1224</v>
      </c>
      <c r="K373" s="20">
        <v>43462</v>
      </c>
      <c r="L373" s="20">
        <v>44193</v>
      </c>
      <c r="M373" s="21">
        <f t="shared" si="307"/>
        <v>83.535949472559906</v>
      </c>
      <c r="N373" s="14" t="s">
        <v>324</v>
      </c>
      <c r="O373" s="14" t="s">
        <v>312</v>
      </c>
      <c r="P373" s="14" t="s">
        <v>312</v>
      </c>
      <c r="Q373" s="22" t="s">
        <v>157</v>
      </c>
      <c r="R373" s="14" t="s">
        <v>36</v>
      </c>
      <c r="S373" s="23">
        <f t="shared" si="302"/>
        <v>2506078.48</v>
      </c>
      <c r="T373" s="23">
        <v>2020933.92</v>
      </c>
      <c r="U373" s="23">
        <v>485144.56</v>
      </c>
      <c r="V373" s="23">
        <f t="shared" si="303"/>
        <v>219474.66</v>
      </c>
      <c r="W373" s="23">
        <v>163099.38</v>
      </c>
      <c r="X373" s="23">
        <v>56375.28</v>
      </c>
      <c r="Y373" s="23">
        <f t="shared" si="304"/>
        <v>258446.85499999998</v>
      </c>
      <c r="Z373" s="23">
        <v>193536.02499999999</v>
      </c>
      <c r="AA373" s="23">
        <v>64910.83</v>
      </c>
      <c r="AB373" s="23">
        <f t="shared" si="305"/>
        <v>16000</v>
      </c>
      <c r="AC373" s="23">
        <v>12748.37</v>
      </c>
      <c r="AD373" s="23">
        <v>3251.63</v>
      </c>
      <c r="AE373" s="23">
        <f t="shared" si="306"/>
        <v>2999999.9950000001</v>
      </c>
      <c r="AF373" s="37"/>
      <c r="AG373" s="26">
        <f t="shared" si="301"/>
        <v>2999999.9950000001</v>
      </c>
      <c r="AH373" s="99" t="s">
        <v>871</v>
      </c>
      <c r="AI373" s="28"/>
      <c r="AJ373" s="29">
        <f>147000-67000</f>
        <v>80000</v>
      </c>
      <c r="AK373" s="29">
        <v>0</v>
      </c>
    </row>
    <row r="374" spans="1:37" ht="409.5" x14ac:dyDescent="0.25">
      <c r="A374" s="12">
        <v>370</v>
      </c>
      <c r="B374" s="13">
        <v>116103</v>
      </c>
      <c r="C374" s="67">
        <v>393</v>
      </c>
      <c r="D374" s="13" t="s">
        <v>173</v>
      </c>
      <c r="E374" s="18" t="s">
        <v>165</v>
      </c>
      <c r="F374" s="16" t="s">
        <v>445</v>
      </c>
      <c r="G374" s="68" t="s">
        <v>1228</v>
      </c>
      <c r="H374" s="30" t="s">
        <v>1229</v>
      </c>
      <c r="I374" s="15" t="s">
        <v>1230</v>
      </c>
      <c r="J374" s="19" t="s">
        <v>1231</v>
      </c>
      <c r="K374" s="20">
        <v>43818</v>
      </c>
      <c r="L374" s="20">
        <v>44246</v>
      </c>
      <c r="M374" s="21">
        <f t="shared" si="307"/>
        <v>83.983862913229757</v>
      </c>
      <c r="N374" s="14" t="s">
        <v>324</v>
      </c>
      <c r="O374" s="14" t="s">
        <v>312</v>
      </c>
      <c r="P374" s="14" t="s">
        <v>312</v>
      </c>
      <c r="Q374" s="22" t="s">
        <v>157</v>
      </c>
      <c r="R374" s="14" t="s">
        <v>36</v>
      </c>
      <c r="S374" s="23">
        <f t="shared" si="302"/>
        <v>6662642.3300000001</v>
      </c>
      <c r="T374" s="23">
        <v>5372840.5599999996</v>
      </c>
      <c r="U374" s="23">
        <v>1289801.77</v>
      </c>
      <c r="V374" s="23">
        <f t="shared" si="303"/>
        <v>545363.38</v>
      </c>
      <c r="W374" s="23">
        <v>403028.12</v>
      </c>
      <c r="X374" s="23">
        <v>142335.26</v>
      </c>
      <c r="Y374" s="23">
        <f t="shared" si="304"/>
        <v>725235.3899999999</v>
      </c>
      <c r="Z374" s="23">
        <v>545120.19999999995</v>
      </c>
      <c r="AA374" s="23">
        <v>180115.19</v>
      </c>
      <c r="AB374" s="23">
        <f t="shared" si="305"/>
        <v>0</v>
      </c>
      <c r="AC374" s="23">
        <v>0</v>
      </c>
      <c r="AD374" s="23">
        <v>0</v>
      </c>
      <c r="AE374" s="23">
        <f t="shared" si="306"/>
        <v>7933241.0999999996</v>
      </c>
      <c r="AF374" s="37">
        <v>0</v>
      </c>
      <c r="AG374" s="26">
        <f t="shared" si="301"/>
        <v>7933241.0999999996</v>
      </c>
      <c r="AH374" s="99" t="s">
        <v>871</v>
      </c>
      <c r="AI374" s="28"/>
      <c r="AJ374" s="29">
        <v>389096.78</v>
      </c>
      <c r="AK374" s="29">
        <v>0</v>
      </c>
    </row>
    <row r="375" spans="1:37" ht="172.5" customHeight="1" x14ac:dyDescent="0.25">
      <c r="A375" s="14">
        <v>371</v>
      </c>
      <c r="B375" s="13">
        <v>127534</v>
      </c>
      <c r="C375" s="35">
        <v>619</v>
      </c>
      <c r="D375" s="13" t="s">
        <v>646</v>
      </c>
      <c r="E375" s="18" t="s">
        <v>165</v>
      </c>
      <c r="F375" s="16" t="s">
        <v>1262</v>
      </c>
      <c r="G375" s="68" t="s">
        <v>1239</v>
      </c>
      <c r="H375" s="30" t="s">
        <v>1240</v>
      </c>
      <c r="I375" s="18" t="s">
        <v>422</v>
      </c>
      <c r="J375" s="19" t="s">
        <v>1241</v>
      </c>
      <c r="K375" s="20">
        <v>43490</v>
      </c>
      <c r="L375" s="20">
        <v>44372</v>
      </c>
      <c r="M375" s="21">
        <f t="shared" si="307"/>
        <v>83.983862775890657</v>
      </c>
      <c r="N375" s="14" t="s">
        <v>324</v>
      </c>
      <c r="O375" s="14" t="s">
        <v>312</v>
      </c>
      <c r="P375" s="14" t="s">
        <v>312</v>
      </c>
      <c r="Q375" s="22" t="s">
        <v>157</v>
      </c>
      <c r="R375" s="14" t="s">
        <v>36</v>
      </c>
      <c r="S375" s="23">
        <f t="shared" si="302"/>
        <v>8137225.3799999999</v>
      </c>
      <c r="T375" s="23">
        <v>6561963.3499999996</v>
      </c>
      <c r="U375" s="23">
        <v>1575262.03</v>
      </c>
      <c r="V375" s="23">
        <f t="shared" si="303"/>
        <v>0</v>
      </c>
      <c r="W375" s="23">
        <v>0</v>
      </c>
      <c r="X375" s="23">
        <v>0</v>
      </c>
      <c r="Y375" s="23">
        <f t="shared" si="304"/>
        <v>1551809.05</v>
      </c>
      <c r="Z375" s="23">
        <v>1157993.49</v>
      </c>
      <c r="AA375" s="23">
        <v>393815.56</v>
      </c>
      <c r="AB375" s="23">
        <f t="shared" si="305"/>
        <v>0</v>
      </c>
      <c r="AC375" s="23">
        <v>0</v>
      </c>
      <c r="AD375" s="23">
        <v>0</v>
      </c>
      <c r="AE375" s="23">
        <f t="shared" si="306"/>
        <v>9689034.4299999997</v>
      </c>
      <c r="AF375" s="37">
        <v>0</v>
      </c>
      <c r="AG375" s="26">
        <f t="shared" si="301"/>
        <v>9689034.4299999997</v>
      </c>
      <c r="AH375" s="99" t="s">
        <v>871</v>
      </c>
      <c r="AI375" s="28"/>
      <c r="AJ375" s="29">
        <v>0</v>
      </c>
      <c r="AK375" s="29">
        <v>0</v>
      </c>
    </row>
    <row r="376" spans="1:37" ht="299.25" x14ac:dyDescent="0.25">
      <c r="A376" s="12">
        <v>372</v>
      </c>
      <c r="B376" s="13">
        <v>111384</v>
      </c>
      <c r="C376" s="35">
        <v>166</v>
      </c>
      <c r="D376" s="13" t="s">
        <v>1074</v>
      </c>
      <c r="E376" s="18" t="s">
        <v>165</v>
      </c>
      <c r="F376" s="75" t="s">
        <v>322</v>
      </c>
      <c r="G376" s="68" t="s">
        <v>1250</v>
      </c>
      <c r="H376" s="30" t="s">
        <v>1251</v>
      </c>
      <c r="I376" s="18" t="s">
        <v>422</v>
      </c>
      <c r="J376" s="19" t="s">
        <v>1252</v>
      </c>
      <c r="K376" s="20">
        <v>43497</v>
      </c>
      <c r="L376" s="20">
        <v>43922</v>
      </c>
      <c r="M376" s="21">
        <v>82.304190610000006</v>
      </c>
      <c r="N376" s="14" t="s">
        <v>324</v>
      </c>
      <c r="O376" s="14" t="s">
        <v>226</v>
      </c>
      <c r="P376" s="14" t="s">
        <v>226</v>
      </c>
      <c r="Q376" s="22" t="s">
        <v>326</v>
      </c>
      <c r="R376" s="14" t="s">
        <v>36</v>
      </c>
      <c r="S376" s="23">
        <f>T376+U376</f>
        <v>765704.55999999994</v>
      </c>
      <c r="T376" s="23">
        <v>617473.98</v>
      </c>
      <c r="U376" s="23">
        <v>148230.57999999999</v>
      </c>
      <c r="V376" s="23">
        <f>W376+X376</f>
        <v>146023.57999999999</v>
      </c>
      <c r="W376" s="23">
        <v>108965.98</v>
      </c>
      <c r="X376" s="23">
        <v>37057.599999999999</v>
      </c>
      <c r="Y376" s="23">
        <v>0</v>
      </c>
      <c r="Z376" s="23"/>
      <c r="AA376" s="23"/>
      <c r="AB376" s="23">
        <f>AC376+AD376</f>
        <v>18606.7</v>
      </c>
      <c r="AC376" s="23">
        <v>14825.33</v>
      </c>
      <c r="AD376" s="23">
        <v>3781.37</v>
      </c>
      <c r="AE376" s="23">
        <f>S376+V376+Y376+AB376</f>
        <v>930334.83999999985</v>
      </c>
      <c r="AF376" s="37"/>
      <c r="AG376" s="26">
        <f t="shared" si="301"/>
        <v>930334.83999999985</v>
      </c>
      <c r="AH376" s="99" t="s">
        <v>871</v>
      </c>
      <c r="AI376" s="28"/>
      <c r="AJ376" s="29">
        <v>93033</v>
      </c>
      <c r="AK376" s="29">
        <v>0</v>
      </c>
    </row>
    <row r="377" spans="1:37" ht="159.75" customHeight="1" x14ac:dyDescent="0.25">
      <c r="A377" s="12">
        <v>373</v>
      </c>
      <c r="B377" s="13">
        <v>118765</v>
      </c>
      <c r="C377" s="67">
        <v>454</v>
      </c>
      <c r="D377" s="13" t="s">
        <v>171</v>
      </c>
      <c r="E377" s="18" t="s">
        <v>1042</v>
      </c>
      <c r="F377" s="16" t="s">
        <v>505</v>
      </c>
      <c r="G377" s="68" t="s">
        <v>1001</v>
      </c>
      <c r="H377" s="30" t="s">
        <v>1002</v>
      </c>
      <c r="I377" s="18" t="s">
        <v>1260</v>
      </c>
      <c r="J377" s="48" t="s">
        <v>1003</v>
      </c>
      <c r="K377" s="257">
        <v>43348</v>
      </c>
      <c r="L377" s="32">
        <v>44079</v>
      </c>
      <c r="M377" s="21">
        <f t="shared" ref="M377:M380" si="308">S377/AE377*100</f>
        <v>83.983862746396113</v>
      </c>
      <c r="N377" s="69" t="s">
        <v>155</v>
      </c>
      <c r="O377" s="14" t="s">
        <v>312</v>
      </c>
      <c r="P377" s="14" t="s">
        <v>156</v>
      </c>
      <c r="Q377" s="70" t="s">
        <v>157</v>
      </c>
      <c r="R377" s="69" t="s">
        <v>36</v>
      </c>
      <c r="S377" s="23">
        <f>T377+U377</f>
        <v>24915549.670000002</v>
      </c>
      <c r="T377" s="23">
        <v>20092220.07</v>
      </c>
      <c r="U377" s="23">
        <v>4823329.5999999996</v>
      </c>
      <c r="V377" s="23">
        <f>W377+X377</f>
        <v>0</v>
      </c>
      <c r="W377" s="23"/>
      <c r="X377" s="23"/>
      <c r="Y377" s="23">
        <f>Z377+AA377</f>
        <v>4751518.33</v>
      </c>
      <c r="Z377" s="23">
        <v>3545685.88</v>
      </c>
      <c r="AA377" s="23">
        <v>1205832.45</v>
      </c>
      <c r="AB377" s="23">
        <f>AC377+AD377</f>
        <v>0</v>
      </c>
      <c r="AC377" s="23">
        <v>0</v>
      </c>
      <c r="AD377" s="23">
        <v>0</v>
      </c>
      <c r="AE377" s="23">
        <f>S377+V377+Y377+AB377</f>
        <v>29667068</v>
      </c>
      <c r="AF377" s="23"/>
      <c r="AG377" s="26">
        <f t="shared" si="301"/>
        <v>29667068</v>
      </c>
      <c r="AH377" s="99" t="s">
        <v>585</v>
      </c>
      <c r="AI377" s="192" t="s">
        <v>1365</v>
      </c>
      <c r="AJ377" s="29">
        <f>120031.42+149365.14+291186.94</f>
        <v>560583.5</v>
      </c>
      <c r="AK377" s="29">
        <v>0</v>
      </c>
    </row>
    <row r="378" spans="1:37" ht="161.25" customHeight="1" x14ac:dyDescent="0.25">
      <c r="A378" s="14">
        <v>374</v>
      </c>
      <c r="B378" s="13">
        <v>127403</v>
      </c>
      <c r="C378" s="67">
        <v>579</v>
      </c>
      <c r="D378" s="13" t="s">
        <v>171</v>
      </c>
      <c r="E378" s="18" t="s">
        <v>165</v>
      </c>
      <c r="F378" s="16" t="s">
        <v>1262</v>
      </c>
      <c r="G378" s="68" t="s">
        <v>1263</v>
      </c>
      <c r="H378" s="30" t="s">
        <v>1264</v>
      </c>
      <c r="I378" s="18" t="s">
        <v>422</v>
      </c>
      <c r="J378" s="19" t="s">
        <v>1265</v>
      </c>
      <c r="K378" s="20">
        <v>43514</v>
      </c>
      <c r="L378" s="20">
        <v>44245</v>
      </c>
      <c r="M378" s="21">
        <f t="shared" si="308"/>
        <v>83.983863067164137</v>
      </c>
      <c r="N378" s="69" t="s">
        <v>155</v>
      </c>
      <c r="O378" s="14" t="s">
        <v>312</v>
      </c>
      <c r="P378" s="14" t="s">
        <v>312</v>
      </c>
      <c r="Q378" s="70" t="s">
        <v>157</v>
      </c>
      <c r="R378" s="69" t="s">
        <v>36</v>
      </c>
      <c r="S378" s="23">
        <f>T378+U378</f>
        <v>5070433.51</v>
      </c>
      <c r="T378" s="23">
        <v>4088862.86</v>
      </c>
      <c r="U378" s="23">
        <v>981570.65</v>
      </c>
      <c r="V378" s="23">
        <f>W378+X378</f>
        <v>0</v>
      </c>
      <c r="W378" s="23">
        <v>0</v>
      </c>
      <c r="X378" s="23">
        <v>0</v>
      </c>
      <c r="Y378" s="23">
        <f>Z378+AA378</f>
        <v>966956.68</v>
      </c>
      <c r="Z378" s="23">
        <v>721564.03</v>
      </c>
      <c r="AA378" s="23">
        <v>245392.65</v>
      </c>
      <c r="AB378" s="23">
        <f>AC378+AD378</f>
        <v>0</v>
      </c>
      <c r="AC378" s="23">
        <v>0</v>
      </c>
      <c r="AD378" s="23">
        <v>0</v>
      </c>
      <c r="AE378" s="23">
        <f>S378+V378+Y378+AB378</f>
        <v>6037390.1899999995</v>
      </c>
      <c r="AF378" s="37">
        <v>0</v>
      </c>
      <c r="AG378" s="26">
        <f t="shared" si="301"/>
        <v>6037390.1899999995</v>
      </c>
      <c r="AH378" s="99" t="s">
        <v>871</v>
      </c>
      <c r="AI378" s="28" t="s">
        <v>422</v>
      </c>
      <c r="AJ378" s="29"/>
      <c r="AK378" s="29"/>
    </row>
    <row r="379" spans="1:37" ht="157.5" x14ac:dyDescent="0.25">
      <c r="A379" s="12">
        <v>375</v>
      </c>
      <c r="B379" s="13">
        <v>127820</v>
      </c>
      <c r="C379" s="35">
        <v>605</v>
      </c>
      <c r="D379" s="13" t="s">
        <v>163</v>
      </c>
      <c r="E379" s="18" t="s">
        <v>165</v>
      </c>
      <c r="F379" s="16" t="s">
        <v>1262</v>
      </c>
      <c r="G379" s="68" t="s">
        <v>1289</v>
      </c>
      <c r="H379" s="30" t="s">
        <v>51</v>
      </c>
      <c r="I379" s="18" t="s">
        <v>185</v>
      </c>
      <c r="J379" s="19" t="s">
        <v>1290</v>
      </c>
      <c r="K379" s="20">
        <v>43528</v>
      </c>
      <c r="L379" s="20">
        <v>44808</v>
      </c>
      <c r="M379" s="21">
        <f t="shared" si="308"/>
        <v>83.983862642815609</v>
      </c>
      <c r="N379" s="69" t="s">
        <v>155</v>
      </c>
      <c r="O379" s="14" t="s">
        <v>312</v>
      </c>
      <c r="P379" s="14" t="s">
        <v>312</v>
      </c>
      <c r="Q379" s="70" t="s">
        <v>157</v>
      </c>
      <c r="R379" s="69" t="s">
        <v>36</v>
      </c>
      <c r="S379" s="23">
        <f t="shared" ref="S379:S380" si="309">T379+U379</f>
        <v>8804544.8300000001</v>
      </c>
      <c r="T379" s="23">
        <v>7100098.3100000005</v>
      </c>
      <c r="U379" s="23">
        <v>1704446.52</v>
      </c>
      <c r="V379" s="23">
        <f t="shared" ref="V379:V380" si="310">W379+X379</f>
        <v>0</v>
      </c>
      <c r="W379" s="23"/>
      <c r="X379" s="23"/>
      <c r="Y379" s="23">
        <f t="shared" ref="Y379:Y380" si="311">Z379+AA379</f>
        <v>1679070.1800000002</v>
      </c>
      <c r="Z379" s="23">
        <v>1252958.54</v>
      </c>
      <c r="AA379" s="23">
        <v>426111.64</v>
      </c>
      <c r="AB379" s="23">
        <f t="shared" ref="AB379:AB380" si="312">AC379+AD379</f>
        <v>0</v>
      </c>
      <c r="AC379" s="23"/>
      <c r="AD379" s="23"/>
      <c r="AE379" s="23">
        <f t="shared" ref="AE379:AE380" si="313">S379+V379+Y379+AB379</f>
        <v>10483615.01</v>
      </c>
      <c r="AF379" s="37">
        <v>0</v>
      </c>
      <c r="AG379" s="26">
        <f t="shared" si="301"/>
        <v>10483615.01</v>
      </c>
      <c r="AH379" s="99" t="s">
        <v>871</v>
      </c>
      <c r="AI379" s="28" t="s">
        <v>1354</v>
      </c>
      <c r="AJ379" s="29"/>
      <c r="AK379" s="29"/>
    </row>
    <row r="380" spans="1:37" ht="108" customHeight="1" x14ac:dyDescent="0.25">
      <c r="A380" s="12">
        <v>376</v>
      </c>
      <c r="B380" s="13">
        <v>127148</v>
      </c>
      <c r="C380" s="67">
        <v>576</v>
      </c>
      <c r="D380" s="13" t="s">
        <v>175</v>
      </c>
      <c r="E380" s="18" t="s">
        <v>1323</v>
      </c>
      <c r="F380" s="15" t="s">
        <v>1322</v>
      </c>
      <c r="G380" s="68" t="s">
        <v>1324</v>
      </c>
      <c r="H380" s="30" t="s">
        <v>124</v>
      </c>
      <c r="I380" s="18" t="s">
        <v>1325</v>
      </c>
      <c r="J380" s="19" t="s">
        <v>1326</v>
      </c>
      <c r="K380" s="20">
        <v>43552</v>
      </c>
      <c r="L380" s="20">
        <v>44102</v>
      </c>
      <c r="M380" s="21">
        <f t="shared" si="308"/>
        <v>83.791410330251352</v>
      </c>
      <c r="N380" s="69" t="s">
        <v>155</v>
      </c>
      <c r="O380" s="14" t="s">
        <v>312</v>
      </c>
      <c r="P380" s="14" t="s">
        <v>312</v>
      </c>
      <c r="Q380" s="70" t="s">
        <v>157</v>
      </c>
      <c r="R380" s="14" t="s">
        <v>36</v>
      </c>
      <c r="S380" s="23">
        <f t="shared" si="309"/>
        <v>4099805.0300000003</v>
      </c>
      <c r="T380" s="23">
        <v>3306135.56</v>
      </c>
      <c r="U380" s="23">
        <v>793669.47</v>
      </c>
      <c r="V380" s="23">
        <f t="shared" si="310"/>
        <v>87992.28</v>
      </c>
      <c r="W380" s="23">
        <v>65661.759999999995</v>
      </c>
      <c r="X380" s="23">
        <v>22330.52</v>
      </c>
      <c r="Y380" s="23">
        <f t="shared" si="311"/>
        <v>705072.99</v>
      </c>
      <c r="Z380" s="23">
        <v>526707.51</v>
      </c>
      <c r="AA380" s="23">
        <v>178365.48</v>
      </c>
      <c r="AB380" s="23">
        <f t="shared" si="312"/>
        <v>0</v>
      </c>
      <c r="AC380" s="23"/>
      <c r="AD380" s="23"/>
      <c r="AE380" s="23">
        <f t="shared" si="313"/>
        <v>4892870.3</v>
      </c>
      <c r="AF380" s="37"/>
      <c r="AG380" s="26">
        <f t="shared" si="301"/>
        <v>4892870.3</v>
      </c>
      <c r="AH380" s="99" t="s">
        <v>871</v>
      </c>
      <c r="AI380" s="28" t="s">
        <v>422</v>
      </c>
      <c r="AJ380" s="29">
        <v>56061</v>
      </c>
      <c r="AK380" s="29">
        <v>0</v>
      </c>
    </row>
    <row r="381" spans="1:37" ht="283.5" customHeight="1" x14ac:dyDescent="0.25">
      <c r="A381" s="14">
        <v>377</v>
      </c>
      <c r="B381" s="13">
        <v>129157</v>
      </c>
      <c r="C381" s="67">
        <v>653</v>
      </c>
      <c r="D381" s="13" t="s">
        <v>174</v>
      </c>
      <c r="E381" s="18" t="s">
        <v>165</v>
      </c>
      <c r="F381" s="15" t="s">
        <v>1394</v>
      </c>
      <c r="G381" s="68" t="s">
        <v>1397</v>
      </c>
      <c r="H381" s="30" t="s">
        <v>1396</v>
      </c>
      <c r="I381" s="18" t="s">
        <v>1398</v>
      </c>
      <c r="J381" s="19" t="s">
        <v>1395</v>
      </c>
      <c r="K381" s="20">
        <v>43595</v>
      </c>
      <c r="L381" s="20">
        <v>43961</v>
      </c>
      <c r="M381" s="21">
        <f t="shared" ref="M381" si="314">S381/AE381*100</f>
        <v>83.983862366599269</v>
      </c>
      <c r="N381" s="69" t="s">
        <v>155</v>
      </c>
      <c r="O381" s="14" t="s">
        <v>312</v>
      </c>
      <c r="P381" s="14" t="s">
        <v>312</v>
      </c>
      <c r="Q381" s="70" t="s">
        <v>157</v>
      </c>
      <c r="R381" s="14" t="s">
        <v>36</v>
      </c>
      <c r="S381" s="23">
        <f t="shared" ref="S381:S384" si="315">T381+U381</f>
        <v>5246671.9399999995</v>
      </c>
      <c r="T381" s="23">
        <v>4230983.8099999996</v>
      </c>
      <c r="U381" s="23">
        <v>1015688.13</v>
      </c>
      <c r="V381" s="23">
        <f t="shared" ref="V381" si="316">W381+X381</f>
        <v>397060.75</v>
      </c>
      <c r="W381" s="23">
        <v>293431.23</v>
      </c>
      <c r="X381" s="23">
        <v>103629.52</v>
      </c>
      <c r="Y381" s="23">
        <f t="shared" ref="Y381:Y384" si="317">Z381+AA381</f>
        <v>603505.52</v>
      </c>
      <c r="Z381" s="23">
        <v>453212.99</v>
      </c>
      <c r="AA381" s="23">
        <v>150292.53</v>
      </c>
      <c r="AB381" s="23">
        <f t="shared" ref="AB381:AB382" si="318">AC381+AD381</f>
        <v>0</v>
      </c>
      <c r="AC381" s="23"/>
      <c r="AD381" s="23"/>
      <c r="AE381" s="23">
        <f t="shared" ref="AE381:AE384" si="319">S381+V381+Y381+AB381</f>
        <v>6247238.209999999</v>
      </c>
      <c r="AF381" s="37">
        <v>0</v>
      </c>
      <c r="AG381" s="26">
        <f t="shared" si="301"/>
        <v>6247238.209999999</v>
      </c>
      <c r="AH381" s="99" t="s">
        <v>871</v>
      </c>
      <c r="AI381" s="28" t="s">
        <v>422</v>
      </c>
      <c r="AJ381" s="29"/>
      <c r="AK381" s="29"/>
    </row>
    <row r="382" spans="1:37" ht="226.5" customHeight="1" x14ac:dyDescent="0.25">
      <c r="A382" s="12">
        <v>378</v>
      </c>
      <c r="B382" s="13">
        <v>127557</v>
      </c>
      <c r="C382" s="67">
        <v>592</v>
      </c>
      <c r="D382" s="13" t="s">
        <v>177</v>
      </c>
      <c r="E382" s="18" t="s">
        <v>165</v>
      </c>
      <c r="F382" s="16" t="s">
        <v>1262</v>
      </c>
      <c r="G382" s="68" t="s">
        <v>1405</v>
      </c>
      <c r="H382" s="30" t="s">
        <v>1404</v>
      </c>
      <c r="I382" s="18" t="s">
        <v>1406</v>
      </c>
      <c r="J382" s="19" t="s">
        <v>1423</v>
      </c>
      <c r="K382" s="20">
        <v>43601</v>
      </c>
      <c r="L382" s="20">
        <v>44697</v>
      </c>
      <c r="M382" s="21">
        <f t="shared" ref="M382:M384" si="320">S382/AE382*100</f>
        <v>83.983862979972571</v>
      </c>
      <c r="N382" s="69" t="s">
        <v>155</v>
      </c>
      <c r="O382" s="14" t="s">
        <v>312</v>
      </c>
      <c r="P382" s="14" t="s">
        <v>312</v>
      </c>
      <c r="Q382" s="70" t="s">
        <v>157</v>
      </c>
      <c r="R382" s="14" t="s">
        <v>36</v>
      </c>
      <c r="S382" s="23">
        <f t="shared" si="315"/>
        <v>21869408.25</v>
      </c>
      <c r="T382" s="23">
        <v>17635772.390000001</v>
      </c>
      <c r="U382" s="23">
        <v>4233635.8600000003</v>
      </c>
      <c r="V382" s="23">
        <f>W382+X382</f>
        <v>2835302.4000000004</v>
      </c>
      <c r="W382" s="23">
        <v>2095312.34</v>
      </c>
      <c r="X382" s="23">
        <v>739990.06</v>
      </c>
      <c r="Y382" s="23">
        <f t="shared" si="317"/>
        <v>1335301.6499999999</v>
      </c>
      <c r="Z382" s="23">
        <v>1016882.74</v>
      </c>
      <c r="AA382" s="23">
        <v>318418.90999999997</v>
      </c>
      <c r="AB382" s="23">
        <f t="shared" si="318"/>
        <v>0</v>
      </c>
      <c r="AC382" s="23"/>
      <c r="AD382" s="23"/>
      <c r="AE382" s="23">
        <f t="shared" si="319"/>
        <v>26040012.299999997</v>
      </c>
      <c r="AF382" s="37">
        <v>0</v>
      </c>
      <c r="AG382" s="26">
        <f t="shared" si="301"/>
        <v>26040012.299999997</v>
      </c>
      <c r="AH382" s="99" t="s">
        <v>871</v>
      </c>
      <c r="AI382" s="28" t="s">
        <v>422</v>
      </c>
      <c r="AJ382" s="29"/>
      <c r="AK382" s="29"/>
    </row>
    <row r="383" spans="1:37" ht="239.25" customHeight="1" x14ac:dyDescent="0.25">
      <c r="A383" s="12">
        <v>379</v>
      </c>
      <c r="B383" s="13">
        <v>127562</v>
      </c>
      <c r="C383" s="67">
        <v>606</v>
      </c>
      <c r="D383" s="13" t="s">
        <v>176</v>
      </c>
      <c r="E383" s="18" t="s">
        <v>165</v>
      </c>
      <c r="F383" s="16" t="s">
        <v>1262</v>
      </c>
      <c r="G383" s="68" t="s">
        <v>1420</v>
      </c>
      <c r="H383" s="30" t="s">
        <v>1421</v>
      </c>
      <c r="I383" s="18" t="s">
        <v>1422</v>
      </c>
      <c r="J383" s="19" t="s">
        <v>1424</v>
      </c>
      <c r="K383" s="20">
        <v>43608</v>
      </c>
      <c r="L383" s="20">
        <v>44339</v>
      </c>
      <c r="M383" s="21">
        <f t="shared" si="320"/>
        <v>83.983863082660847</v>
      </c>
      <c r="N383" s="69" t="s">
        <v>155</v>
      </c>
      <c r="O383" s="14" t="s">
        <v>312</v>
      </c>
      <c r="P383" s="14" t="s">
        <v>156</v>
      </c>
      <c r="Q383" s="70" t="s">
        <v>157</v>
      </c>
      <c r="R383" s="14" t="s">
        <v>36</v>
      </c>
      <c r="S383" s="23">
        <f t="shared" si="315"/>
        <v>8877559.8000000007</v>
      </c>
      <c r="T383" s="23">
        <v>7158978.4900000002</v>
      </c>
      <c r="U383" s="23">
        <v>1718581.31</v>
      </c>
      <c r="V383" s="23">
        <f>W383+X383</f>
        <v>156211.66</v>
      </c>
      <c r="W383" s="23">
        <v>115441.72</v>
      </c>
      <c r="X383" s="23">
        <v>40769.94</v>
      </c>
      <c r="Y383" s="23">
        <f t="shared" si="317"/>
        <v>1536782.78</v>
      </c>
      <c r="Z383" s="23">
        <v>1147907.44</v>
      </c>
      <c r="AA383" s="23">
        <v>388875.34</v>
      </c>
      <c r="AB383" s="23">
        <f>AC383+AD383</f>
        <v>0</v>
      </c>
      <c r="AC383" s="23">
        <v>0</v>
      </c>
      <c r="AD383" s="23">
        <v>0</v>
      </c>
      <c r="AE383" s="23">
        <f t="shared" si="319"/>
        <v>10570554.24</v>
      </c>
      <c r="AF383" s="37">
        <v>0</v>
      </c>
      <c r="AG383" s="26">
        <f t="shared" si="301"/>
        <v>10570554.24</v>
      </c>
      <c r="AH383" s="99" t="str">
        <f t="shared" ref="AH383:AI384" si="321">AH382</f>
        <v>în implementare</v>
      </c>
      <c r="AI383" s="28" t="str">
        <f t="shared" si="321"/>
        <v>n.a.</v>
      </c>
      <c r="AJ383" s="29"/>
      <c r="AK383" s="29"/>
    </row>
    <row r="384" spans="1:37" ht="315.75" customHeight="1" x14ac:dyDescent="0.25">
      <c r="A384" s="14">
        <v>380</v>
      </c>
      <c r="B384" s="14">
        <v>116178</v>
      </c>
      <c r="C384" s="8">
        <v>403</v>
      </c>
      <c r="D384" s="13" t="s">
        <v>171</v>
      </c>
      <c r="E384" s="18" t="s">
        <v>165</v>
      </c>
      <c r="F384" s="16" t="s">
        <v>445</v>
      </c>
      <c r="G384" s="68" t="s">
        <v>1504</v>
      </c>
      <c r="H384" s="30" t="s">
        <v>1505</v>
      </c>
      <c r="I384" s="18" t="s">
        <v>422</v>
      </c>
      <c r="J384" s="19" t="s">
        <v>1516</v>
      </c>
      <c r="K384" s="20">
        <v>43640</v>
      </c>
      <c r="L384" s="20">
        <v>44432</v>
      </c>
      <c r="M384" s="21">
        <f t="shared" si="320"/>
        <v>83.983862989767033</v>
      </c>
      <c r="N384" s="69" t="s">
        <v>155</v>
      </c>
      <c r="O384" s="14" t="s">
        <v>312</v>
      </c>
      <c r="P384" s="14" t="s">
        <v>156</v>
      </c>
      <c r="Q384" s="70" t="s">
        <v>157</v>
      </c>
      <c r="R384" s="14" t="s">
        <v>1368</v>
      </c>
      <c r="S384" s="23">
        <f t="shared" si="315"/>
        <v>2394035.5999999996</v>
      </c>
      <c r="T384" s="23">
        <v>1930581.13</v>
      </c>
      <c r="U384" s="23">
        <v>463454.47</v>
      </c>
      <c r="V384" s="23">
        <f>W384+X384</f>
        <v>0</v>
      </c>
      <c r="W384" s="23">
        <v>0</v>
      </c>
      <c r="X384" s="23">
        <v>0</v>
      </c>
      <c r="Y384" s="23">
        <f t="shared" si="317"/>
        <v>456554.4</v>
      </c>
      <c r="Z384" s="23">
        <v>340690.78</v>
      </c>
      <c r="AA384" s="23">
        <v>115863.62</v>
      </c>
      <c r="AB384" s="23"/>
      <c r="AC384" s="23">
        <v>0</v>
      </c>
      <c r="AD384" s="23">
        <v>0</v>
      </c>
      <c r="AE384" s="23">
        <f t="shared" si="319"/>
        <v>2850589.9999999995</v>
      </c>
      <c r="AF384" s="37">
        <v>0</v>
      </c>
      <c r="AG384" s="26">
        <f t="shared" si="301"/>
        <v>2850589.9999999995</v>
      </c>
      <c r="AH384" s="99" t="str">
        <f t="shared" si="321"/>
        <v>în implementare</v>
      </c>
      <c r="AI384" s="259"/>
      <c r="AJ384" s="260"/>
      <c r="AK384" s="260"/>
    </row>
    <row r="386" spans="31:33" x14ac:dyDescent="0.25">
      <c r="AE386" s="184">
        <f>SUM(AE5:AE384)</f>
        <v>1609795382.8846998</v>
      </c>
      <c r="AF386" s="184"/>
      <c r="AG386" s="184"/>
    </row>
    <row r="388" spans="31:33" x14ac:dyDescent="0.25">
      <c r="AE388" s="299">
        <v>4.7222999999999997</v>
      </c>
    </row>
    <row r="390" spans="31:33" x14ac:dyDescent="0.25">
      <c r="AE390" s="298">
        <f>(AE386/AE388)/1000000</f>
        <v>340.89223109177726</v>
      </c>
    </row>
  </sheetData>
  <protectedRanges>
    <protectedRange sqref="I1:I2 AI265:AK265 AF263:AF265 T263:U265 W263:X265 Z264:AA265 AC263:AD265 B8:D12 Z8:AA12 W8:X12 T8:U12 AF8:AF12 B18:D18 T17:U18 W17:X18 Z17:AA18 AC17:AD18 AF17:AF18 B22:D22 X22 AA22 AC22:AD22 G345:L353 C341:D353 AF22 AF341:AF360 T42:U45 W42:X45 T150:U150 T130 W130 Y130:Z130 B140:L140 N78:R79 AF93:AF96 AC105:AD107 B113:D119 I99:L100 T142:U143 AF113 X99:X100 AC113:AD113 T145:U148 AI38:XFD38 W150:X151 W61:AA61 P115 N130 AC62:AD66 AI270:XFD270 Z82:AA82 W82:X82 U99:U100 B98:D100 AF98:AF100 B67:B68 G99:G100 W105:X107 AI32:XFD34 U105:U107 T98:U98 W98:X98 Z98:AA98 T113:U113 W113:X113 Z113:AA113 B122:D125 AC82:AD82 C127:D127 C129 N82 AL42:XFD45 P82 AC132:AD133 AF132:AF133 T132:U133 W145:X148 B155:D157 W142:X143 W152:AA153 B130:L130 AI135:XFD138 B128:L128 AI77:XFD80 AF42:AF45 G42:G45 G263:L264 C263:D265 U267 AL263:XFD265 F265:L265 F267:L267 W267:X279 T268:U279 AF267:AF279 G268:L269 AC267:AD279 Z267:AA276 B25:D28 W26:X28 AC30:AD30 Z26:AA28 AC26:AD28 C279:L279 C272:L272 C267:D271 C273:D278 F273:L278 G280:L280 C280:D280 T280:AF280 AC282:AD284 Z145:AA148 AC142:AD143 X62:AA62 F291 Z288:AA290 W281:X290 T281:U290 AF281:AF290 C288:D290 AC286:AD290 F288:L290 AI282:AK283 N135 B17:C17 B7:C7 E292:L295 N292:P296 F296:L299 C167:D167 AI294:AK294 N297:N299 AL84:XFD86 E300:L301 C163:D163 G302:L302 B102:B104 N105:N107 E303:L304 R305 F305:L306 C294:C323 D292:D323 F37:G37 R292:R301 S56:U56 W57:AA57 X56:AA56 G129:L129 AF130 AC130:AD130 AL129:XFD129 F113:L113 S22:U22 N269:P290 R272:R290 G142 AL142:XFD142 F22:L22 F308:L322 I323:L323 AI307:AK307 AC61:AF61 X154:AA154 L154:L157 AL154:XFD157 F154:J157 B30:D30 J30:L30 N22:Q22 N30:Q30 F30:H30 T127:U128 AF128 AI127 B56:D57 G56:L57 AI272:XFD272 F151:Q151 AF105:AF107 F116:L119 F82:H82 N154:Q157 F127:L127 N17:N18 AF26:AF28 F13:F14 AJ139:XFD139 M57:U57 Z150:AA151 AF82 N113:Q113 B82:D82 N136:O136 N145:R145 I135:L136 Q135:R136 Z42:AA45 G7:L9 F17:L18 Q17:Q18 AJ93:XFD94 AI17:AI18 AL17:XFD18 N300:P337 R308:R314 F324:L339 O338:P339 W359:X360 AC359:AD360 C139:D139 AL25:XFD30 F25:Q28 G341:L341 H344 G168:L168 G342:H343 R341:R360 C324:D339 AC292:AD339 Z293:AA339 AF292:AF339 W292:X339 T292:U339 G98:L98 B61:D62 S61:U62 AH345:AH346 AC47:AD57 F342:F349 AI349:AK349 G139:L139 B77:D77 F77:L77 C158:D158 B164:D166 E297:E299 C170:D170 F167:L167 F145:L145 F135:G136 F270:L271 C281:L287 E377 C355:D360 W139:X139 T139:U139 AC139:AD139 Z139:AA139 F353:F360 G355:L360 N139:P139 B42:D45 S151:U151 F105:L107 Z105:AA107 AJ105:XFD106 AH341:XFD344 AF62:AF66 B64:D66 B78:L79 AI8:XFD12 AI95:XFD96 AJ98:XFD100 AI132:XFD133 W93:X96 AJ82:XFD82 AJ37:XFD37 AI128:XFD128 AI130:XFD130 AI113:XFD113 AI143:XFD143 F158:U158 AI140:XFD140 AI158:XFD158 AI107:XFD107 AI15:XFD15 AJ188:XFD188 AI189:XFD189 F178:F181 AI145:XFD153 M56:Q56 AI122:XFD125 M32:Q32 T26:U28 G61:Q62 W155:AA158 F47:R48 F169:R173 M167:R168 F163:R163 J1:XFD3 E332 D354:E354 E307:L307 E323:G323 N77:Q77 F165:R165 F164:Q164 R318:R337 F362:F364 B63:L63 A4:XFD4 N138:AD138 B138:L138 N341:P360 Z341:AA360 AC341:AD357 T341:U360 W341:X357 I342:L344 C149:D149 B171:D173 B145:D146 I146:L146 F146:G146 B47:D51 B58:U58 B59:D59 F59:U59 AC42:AD45 AI278:XFD279 AI87:XFD91 N87:R88 AC98:AD100 AC93:AD96 N93:N95 Q95 P105:Q107 B105:D107 AC109:AD111 AA99:AA100 Z93:AA96 T93:U96 N98:N100 T122:U125 AF122:AF125 W135:X137 AF143 J150:L150 F114:G115 I114:L115 T114 W114 Z114 N114:O115 B150:G150 B142:D143 F143:H143 J142:L143 R142 N127:Q128 B135:D137 F137:L137 F152:U153 C152:D154 AC8:AD12 W58:AD58 W59:AA59 AC59:AD59 AC178:AD178 AI269 AL268:XFD269 AI271 AL271:XFD271 AI273:AI277 AL273:XFD277 AL280:XFD339 AI280:AI281 AI287:AK287 AI284:AI286 AI288:AI290 AI292:AI293 AI296:AK296 AI295 AI298:AK299 AI297 AI300:AI301 AI303:AI306 AI310:AK310 AI308:AI309 AI316:AK316 AI311:AI315 AI317:AI321 AI325:AI326 AI327:AK331 AH332:AK339 AH347:AI348 AJ345:AK348 AH350:AK360 AI361:AK361 O23:O24 Q23:Q24 B93:D96 F93:L96 N96:Q96 O150 F10:L12 M34:Q34 AC37:AD38 E38:G38 B147:L147 J37:L38 B37:D38 W149:AA149 Z37:AA38 AF37:AF38 W37:X38 G64:L66 T37:U38 G149:U149 F366:F375 B182:D185 AC182:AD185 AF182:AF185 W132:AA133 W182:AA185 N132:R133 F182:U185 N89:Q89 AF188:AF189 B132:D133 F132:L133 AH58:AH59 AF47:AF59 S154:U157 AC145:AD158 AF145:AF158 G188:H189 B188:D189 S188:U189 W188:AA189 AC188:AD189 J188:P189 N140:AD140 E166:R166 B151:D151 Z142:AA143 AF77:AF80 AC77:AD80 T77:U80 W77:AA80 B80:R80 T82:U82 J82:L82 AC135:AD137 T135:U137 Z135:AA137 AF135:AF140 N137:R137 AL35:XFD35 F43:F45 I42:L45 P42:P45 I68 AI182:XFD185 B168:D169 W84:X90 AF84:AF91 AC84:AD91 Z84:AA91 T84:U91 B84:D91 F84:L89 G90:L91 M63:U66 W63:AA66 AI61:XFD66 G122:L125 AJ114:XFD119 N90:R91 T116:U119 Z116:AA119 AC116:AD119 W116:X119 F35 I35 M33:R33 F32:L34 B32:D34 AF32:AF34 AC122:AD128 T126 I126 F123:F126 AL345:XFD384 AL126:XFD127 T32:U35 Z32:AA35 AC32:AD35 W32:X35 AJ267:XFD267 X91 T160:U173 W160:X173 Z160:AA173 AF160:AF173 AC160:AD173 N160:N162 P160:Q162 B160:L162 B15:D15 Z15:AA15 W15:X15 T15:U15 AF15 AC15:AD15 F15:L15 N116:P119 B52:B55 D52:D55 G49:R51 W47:X55 Z47:AA55 T47:U55 F74:F75 F378:F384 B148:D148 F148:L148 P122:P125 N122:N125 W122:AA128 F111 I52:R55 AI322:AK324 AI109:XFD111 AI22:XFD22 AI47:XFD59 AI160:XFD173 A1:H3 A385:XFD1048576" name="maria" securityDescriptor="O:WDG:WDD:(A;;CC;;;S-1-5-21-3048853270-2157241324-869001692-3245)(A;;CC;;;S-1-5-21-3048853270-2157241324-869001692-1007)"/>
    <protectedRange sqref="Q265 S297 Q269:Q290 Q292:Q339 Q139 Q341:Q360" name="maria_1" securityDescriptor="O:WDG:WDD:(A;;CC;;;S-1-5-21-3048853270-2157241324-869001692-3245)(A;;CC;;;S-1-5-21-3048853270-2157241324-869001692-1007)"/>
    <protectedRange sqref="E6 E16 E60 E29 E31 E36 E39:E40 E46:E47 E81 E83 E92 E97 E101:E102 E108:E109 E112 E120:E121 E129 E131 E134 E141 E144 E159 E174:E176 E243:E245 E302 E139 A5:P5 E50 G13:P14 E19:E20 AJ5:XFD5 AJ13:XFD14 E64:E76 A7:A8 A10:A11 A13:E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A128 A130:A131 A133:A134 A136:A137 A139:A140 A142:A143 A145:A146 A148:A149 A151:A152 A154:A155 A157:A158 A160:A161 A163:A164 A166:A167 A169:A170 A172:A173 A175:A176 A178:A179 A181:A182 A184:A185 A187:A188 A190:A191 A193:A194 A196:A197 A199:A200 A202:A203 A205:A206 A208:A209 A211:A212 A214:A215 A217:A218 A220:A221 A223:A224 A226:A227 A229:A230 A232:A233 A235:A236 A238:A239 A241:A242 A244:A245 A247:A248 A250:A251 A253:A254 A256:A257 A259:A260 A262:A263 A265:A266 A268:A269 A271:A272 A274:A275 A277:A278 A280:A281 A283:A284 A286:A287 A289:A290 A292:A293 A295:A296 A298:A299 A301:A302 A304:A305 A307:A308 A310:A311 A313:A314 A316:A317 A319:A320 A322:A323 A325:A326 A328:A329 A331:A332 A334:A335 A337:A338 A340:A341 A343:A344 A346:A347 A349:A350 A352:A353 A355:A356 A358:A359 A361:A362 A364:A365 A367:A368 A370:A371 A373:A374 A376:A377 A379:A380 A382:A383" name="maria_2" securityDescriptor="O:WDG:WDD:(A;;CC;;;S-1-5-21-3048853270-2157241324-869001692-3245)(A;;CC;;;S-1-5-21-3048853270-2157241324-869001692-1007)"/>
    <protectedRange sqref="Q5:R5 Q13:R14" name="maria_1_2" securityDescriptor="O:WDG:WDD:(A;;CC;;;S-1-5-21-3048853270-2157241324-869001692-3245)(A;;CC;;;S-1-5-21-3048853270-2157241324-869001692-1007)"/>
    <protectedRange sqref="S5:AI5 AH349 AH6:AH12 AB6:AB12 AH189 S13:AF14 AH193:AH331 AB15 AH15:AH57 AH60:AH125 AH127:AH185 AH13:AI14 AG6:AG384" name="maria_1_1_1" securityDescriptor="O:WDG:WDD:(A;;CC;;;S-1-5-21-3048853270-2157241324-869001692-3245)(A;;CC;;;S-1-5-21-3048853270-2157241324-869001692-1007)"/>
    <protectedRange sqref="AF6:AF7 T6:U7 W6:X7 Z6:AA7 A6:D6 AC6:AD7 M7 F139 AI139 F6:P6 AI345:AI346 N7:P12 N15:P15 AI6:XFD7 A9 A12 A15 A18 A21 A24 A27 A30 A33 A36 A39 A42 A45 A48 A51 A54 A57 A60 A63 A66 A69 A72 A75 A78 A81 A84 A87 A90 A93 A96 A99 A102 A105 A108 A111 A114 A117 A120 A123 A126 A129 A132 A135 A138 A141 A144 A147 A150 A153 A156 A159 A162 A165 A168 A171 A174 A177 A180 A183 A186 A189 A192 A195 A198 A201 A204 A207 A210 A213 A216 A219 A222 A225 A228 A231 A234 A237 A240 A243 A246 A249 A252 A255 A258 A261 A264 A267 A270 A273 A276 A279 A282 A285 A288 A291 A294 A297 A300 A303 A306 A309 A312 A315 A318 A321 A324 A327 A330 A333 A336 A339 A342 A345 A348 A351 A354 A357 A360 A363 A366 A369 A372 A375 A378 A381 A384" name="maria_3" securityDescriptor="O:WDG:WDD:(A;;CC;;;S-1-5-21-3048853270-2157241324-869001692-3245)(A;;CC;;;S-1-5-21-3048853270-2157241324-869001692-1007)"/>
    <protectedRange sqref="Q6:R7 R139 R41 R77 R103:R104 R164 R257 R315:R317 R339 Q8:Q12 R155:R157 Q15" name="maria_1_3" securityDescriptor="O:WDG:WDD:(A;;CC;;;S-1-5-21-3048853270-2157241324-869001692-3245)(A;;CC;;;S-1-5-21-3048853270-2157241324-869001692-1007)"/>
    <protectedRange sqref="AE22 S6:S12 V6:V12 Y6:Y12 AE6:AE12 S15 V15 Y15 AE15" name="maria_1_1_2" securityDescriptor="O:WDG:WDD:(A;;CC;;;S-1-5-21-3048853270-2157241324-869001692-3245)(A;;CC;;;S-1-5-21-3048853270-2157241324-869001692-1007)"/>
    <protectedRange sqref="AL16:XFD16 AF16 T16:U16 W16:X16 Z16:AD16 B16:D16 AB17:AB18 D7 D17 M17:M18 O17:P18 AJ17:AK18 F7 F16:P16 AL19:XFD19 AF19 T19:U19 W19:X19 Z19:AD19 B19:D19 F19:P19" name="maria_4" securityDescriptor="O:WDG:WDD:(A;;CC;;;S-1-5-21-3048853270-2157241324-869001692-3245)(A;;CC;;;S-1-5-21-3048853270-2157241324-869001692-1007)"/>
    <protectedRange sqref="Q16:R16 R30 R17:R18 Q19:R19 R8:R12 R22:R28 R15" name="maria_1_4" securityDescriptor="O:WDG:WDD:(A;;CC;;;S-1-5-21-3048853270-2157241324-869001692-3245)(A;;CC;;;S-1-5-21-3048853270-2157241324-869001692-1007)"/>
    <protectedRange sqref="AI16 S16:S19 V16:V19 Y16:Y19 AE16:AE19 AI19" name="maria_1_1_3" securityDescriptor="O:WDG:WDD:(A;;CC;;;S-1-5-21-3048853270-2157241324-869001692-3245)(A;;CC;;;S-1-5-21-3048853270-2157241324-869001692-1007)"/>
    <protectedRange sqref="AF60 F20 T60:U60 W60:X60 Z60:AA60 AC60:AD60 AI60 U21 N60:P60 E18 E8:F9 E48:E49 E61:E62 E77 E85 E165 E168:F168 B60:D60 F60:L60 E146 E59 E142:E143 E136:E137 AL60:XFD60 E93:E96 M8:M12 E182:E185 E132:E133 N21:P21 AC21:AD21 Z21:AA21 W21:X21 B20 B21:L21 AF21 E105:E107 E151 E153:E154 E26:E28 E171:E173 E82 E98:E100 E156:E158 E110 E42:E45 E169 E122:E123 E177:E180 E87:E91 E33 M15 E125:E126 AJ21:XFD21 E113:E119 E148:E149 E51:E57" name="maria_5" securityDescriptor="O:WDG:WDD:(A;;CC;;;S-1-5-21-3048853270-2157241324-869001692-3245)(A;;CC;;;S-1-5-21-3048853270-2157241324-869001692-1007)"/>
    <protectedRange sqref="AE60 AE30 AE26:AE28 Q60:R60 Q21:R21 AE21" name="maria_1_5" securityDescriptor="O:WDG:WDD:(A;;CC;;;S-1-5-21-3048853270-2157241324-869001692-3245)(A;;CC;;;S-1-5-21-3048853270-2157241324-869001692-1007)"/>
    <protectedRange sqref="C20:D20 G20:H20 S60 V60 Y60 AB60 AB21:AB22 Y21:Y22 V21:V22 S21:T21 AB30 M21:M24 W22 Z22 S30:T30 V30:W30 Y30:Z30 J20:AF20 AB26:AB28 Y26:Y28 S26:S28 V26:V28 M60 M35 M124:M126 AI20:XFD20" name="maria_1_1_4" securityDescriptor="O:WDG:WDD:(A;;CC;;;S-1-5-21-3048853270-2157241324-869001692-3245)(A;;CC;;;S-1-5-21-3048853270-2157241324-869001692-1007)"/>
    <protectedRange sqref="B31:D31 M30 I30 AJ30:AK30 AJ25:AK28 I150 I37:I38 B29:D29 F29:P29 F31:P31 AJ31:XFD31" name="maria_6" securityDescriptor="O:WDG:WDD:(A;;CC;;;S-1-5-21-3048853270-2157241324-869001692-3245)(A;;CC;;;S-1-5-21-3048853270-2157241324-869001692-1007)"/>
    <protectedRange sqref="Q31:R31 Q29:R29 R32 R34" name="maria_1_6" securityDescriptor="O:WDG:WDD:(A;;CC;;;S-1-5-21-3048853270-2157241324-869001692-3245)(A;;CC;;;S-1-5-21-3048853270-2157241324-869001692-1007)"/>
    <protectedRange sqref="S31:AF31 X30 AA30 AF30 S25:AF25 U30 S29:AF29 AI21 AI25:AI31 Y33:Y35 AB33:AB35 AE33:AE35 V33:V35 S33:S35" name="maria_1_1_5" securityDescriptor="O:WDG:WDD:(A;;CC;;;S-1-5-21-3048853270-2157241324-869001692-3245)(A;;CC;;;S-1-5-21-3048853270-2157241324-869001692-1007)"/>
    <protectedRange sqref="AL39:XFD39 B39:D39 F39:P39 O40:O45 M40:M45" name="maria_8" securityDescriptor="O:WDG:WDD:(A;;CC;;;S-1-5-21-3048853270-2157241324-869001692-3245)(A;;CC;;;S-1-5-21-3048853270-2157241324-869001692-1007)"/>
    <protectedRange sqref="Q39:R39" name="maria_1_8" securityDescriptor="O:WDG:WDD:(A;;CC;;;S-1-5-21-3048853270-2157241324-869001692-3245)(A;;CC;;;S-1-5-21-3048853270-2157241324-869001692-1007)"/>
    <protectedRange sqref="S39:U39 W39:AA39 AC39:AF39 AI39" name="maria_1_1_7" securityDescriptor="O:WDG:WDD:(A;;CC;;;S-1-5-21-3048853270-2157241324-869001692-3245)(A;;CC;;;S-1-5-21-3048853270-2157241324-869001692-1007)"/>
    <protectedRange sqref="AF40:AF41 T40:U41 W40:X41 Z40:AA41 AC40:AD41 P40:P41 B40:D41 F40:L41 AI40 AL40:XFD41 H42:H45 N40:N45 AI41:AK45" name="maria_9" securityDescriptor="O:WDG:WDD:(A;;CC;;;S-1-5-21-3048853270-2157241324-869001692-3245)(A;;CC;;;S-1-5-21-3048853270-2157241324-869001692-1007)"/>
    <protectedRange sqref="Q40:R40 Q41:Q45" name="maria_1_9" securityDescriptor="O:WDG:WDD:(A;;CC;;;S-1-5-21-3048853270-2157241324-869001692-3245)(A;;CC;;;S-1-5-21-3048853270-2157241324-869001692-1007)"/>
    <protectedRange sqref="AE58:AE59 S40:S45 Y40:Y45 AE40:AE45" name="maria_1_1_8" securityDescriptor="O:WDG:WDD:(A;;CC;;;S-1-5-21-3048853270-2157241324-869001692-3245)(A;;CC;;;S-1-5-21-3048853270-2157241324-869001692-1007)"/>
    <protectedRange sqref="AI46 AF46 T46:U46 W46:X46 Z46:AA46 B46:D46 AC46:AD46 F46:P46 AL46:XFD46" name="maria_10" securityDescriptor="O:WDG:WDD:(A;;CC;;;S-1-5-21-3048853270-2157241324-869001692-3245)(A;;CC;;;S-1-5-21-3048853270-2157241324-869001692-1007)"/>
    <protectedRange sqref="Q46:R46 R42:R45" name="maria_1_10" securityDescriptor="O:WDG:WDD:(A;;CC;;;S-1-5-21-3048853270-2157241324-869001692-3245)(A;;CC;;;S-1-5-21-3048853270-2157241324-869001692-1007)"/>
    <protectedRange sqref="AE46:AE57 S46:S55 Y46:Y55 AE62:AE66" name="maria_1_1_9" securityDescriptor="O:WDG:WDD:(A;;CC;;;S-1-5-21-3048853270-2157241324-869001692-3245)(A;;CC;;;S-1-5-21-3048853270-2157241324-869001692-1007)"/>
    <protectedRange sqref="AI67:AI68 AF67:AF68 T67:U68 W67:X68 Z67:AA68 C67:D68 AC67:AD68 AL67:XFD68 F67:P67 G68:H68 J68:P68" name="maria_11" securityDescriptor="O:WDG:WDD:(A;;CC;;;S-1-5-21-3048853270-2157241324-869001692-3245)(A;;CC;;;S-1-5-21-3048853270-2157241324-869001692-1007)"/>
    <protectedRange sqref="R56 R61:R62 R98:R100 Q67:R68" name="maria_1_11" securityDescriptor="O:WDG:WDD:(A;;CC;;;S-1-5-21-3048853270-2157241324-869001692-3245)(A;;CC;;;S-1-5-21-3048853270-2157241324-869001692-1007)"/>
    <protectedRange sqref="Y67:Y69 S67:S75 AE67:AE75" name="maria_1_1_10" securityDescriptor="O:WDG:WDD:(A;;CC;;;S-1-5-21-3048853270-2157241324-869001692-3245)(A;;CC;;;S-1-5-21-3048853270-2157241324-869001692-1007)"/>
    <protectedRange sqref="B69:D69 W69:X69 AI69 AC69:AD69 T69:U69 Z69:AA69 AF69 AL69:XFD69 F69:R69 M70:M75" name="maria_12" securityDescriptor="O:WDG:WDD:(A;;CC;;;S-1-5-21-3048853270-2157241324-869001692-3245)(A;;CC;;;S-1-5-21-3048853270-2157241324-869001692-1007)"/>
    <protectedRange sqref="AF70 T70:U70 W70:X70 Z70:AA70 B70:D70 AC70:AD70 N70:P70 F70:L70 AI70:XFD70" name="maria_13" securityDescriptor="O:WDG:WDD:(A;;CC;;;S-1-5-21-3048853270-2157241324-869001692-3245)(A;;CC;;;S-1-5-21-3048853270-2157241324-869001692-1007)"/>
    <protectedRange sqref="Q70:R70" name="maria_1_12" securityDescriptor="O:WDG:WDD:(A;;CC;;;S-1-5-21-3048853270-2157241324-869001692-3245)(A;;CC;;;S-1-5-21-3048853270-2157241324-869001692-1007)"/>
    <protectedRange sqref="Y70" name="maria_1_1_11" securityDescriptor="O:WDG:WDD:(A;;CC;;;S-1-5-21-3048853270-2157241324-869001692-3245)(A;;CC;;;S-1-5-21-3048853270-2157241324-869001692-1007)"/>
    <protectedRange sqref="T71:U75 W71:X75 Z71:AA75 AC71:AD75 AJ75:XFD75 AI71 AL71:XFD71 B71:D75 F68 F90:F91 F71:L73 G74:L75 N71:P75 AF71:AF75 AI72:XFD74 F64:F66" name="maria_14" securityDescriptor="O:WDG:WDD:(A;;CC;;;S-1-5-21-3048853270-2157241324-869001692-3245)(A;;CC;;;S-1-5-21-3048853270-2157241324-869001692-1007)"/>
    <protectedRange sqref="Q71:R75" name="maria_1_13" securityDescriptor="O:WDG:WDD:(A;;CC;;;S-1-5-21-3048853270-2157241324-869001692-3245)(A;;CC;;;S-1-5-21-3048853270-2157241324-869001692-1007)"/>
    <protectedRange sqref="Y71:Y75" name="maria_1_1_12" securityDescriptor="O:WDG:WDD:(A;;CC;;;S-1-5-21-3048853270-2157241324-869001692-3245)(A;;CC;;;S-1-5-21-3048853270-2157241324-869001692-1007)"/>
    <protectedRange sqref="AF76 T76:U76 W76:X76 Z76:AA76 B76:D76 AC76:AD76 F76:P76 AL76:XFD76 M77:M79 AI75:AI76" name="maria_15" securityDescriptor="O:WDG:WDD:(A;;CC;;;S-1-5-21-3048853270-2157241324-869001692-3245)(A;;CC;;;S-1-5-21-3048853270-2157241324-869001692-1007)"/>
    <protectedRange sqref="Q76:R76" name="maria_1_14" securityDescriptor="O:WDG:WDD:(A;;CC;;;S-1-5-21-3048853270-2157241324-869001692-3245)(A;;CC;;;S-1-5-21-3048853270-2157241324-869001692-1007)"/>
    <protectedRange sqref="Y76 S76:S80 AE76:AE80" name="maria_1_1_13" securityDescriptor="O:WDG:WDD:(A;;CC;;;S-1-5-21-3048853270-2157241324-869001692-3245)(A;;CC;;;S-1-5-21-3048853270-2157241324-869001692-1007)"/>
    <protectedRange sqref="AF81 B81:D81 W81:AA81 AC81:AD81 O82 F81:U81 M82 L134 L174 AL81:XFD81 AI81:AI82 Q82:S82 Y82 I82" name="maria_16" securityDescriptor="O:WDG:WDD:(A;;CC;;;S-1-5-21-3048853270-2157241324-869001692-3245)(A;;CC;;;S-1-5-21-3048853270-2157241324-869001692-1007)"/>
    <protectedRange sqref="AE81:AE82" name="maria_1_15" securityDescriptor="O:WDG:WDD:(A;;CC;;;S-1-5-21-3048853270-2157241324-869001692-3245)(A;;CC;;;S-1-5-21-3048853270-2157241324-869001692-1007)"/>
    <protectedRange sqref="B92:D92 W92:AA92 AC92:AF92 Y93:Y96 AE193:AE279 O93:S94 AE281:AE339 AE341:AE360 AI93:AI94 AI92:XFD92 O95:P95 F92:U92 L197 AE362:AE376 AE188:AE189 M93:M96 R95:S96 AE379:AE384 AE151:AE185 AE93:AE149" name="maria_17" securityDescriptor="O:WDG:WDD:(A;;CC;;;S-1-5-21-3048853270-2157241324-869001692-3245)(A;;CC;;;S-1-5-21-3048853270-2157241324-869001692-1007)"/>
    <protectedRange sqref="AL83:XFD83 B83:D83 AJ84:AK86 N86:P86 F83:L83 M83:P85 M86:M91" name="maria_18" securityDescriptor="O:WDG:WDD:(A;;CC;;;S-1-5-21-3048853270-2157241324-869001692-3245)(A;;CC;;;S-1-5-21-3048853270-2157241324-869001692-1007)"/>
    <protectedRange sqref="Q83:R86" name="maria_1_16" securityDescriptor="O:WDG:WDD:(A;;CC;;;S-1-5-21-3048853270-2157241324-869001692-3245)(A;;CC;;;S-1-5-21-3048853270-2157241324-869001692-1007)"/>
    <protectedRange sqref="S83:U83 W83:AA83 AC83:AF83 AI83:AI86 S84:S91 Y84:Y91 AE84:AE91" name="maria_1_1_14" securityDescriptor="O:WDG:WDD:(A;;CC;;;S-1-5-21-3048853270-2157241324-869001692-3245)(A;;CC;;;S-1-5-21-3048853270-2157241324-869001692-1007)"/>
    <protectedRange sqref="AI101 AF101 T101:U101 W101:X101 Z101:AA101 C101:D101 AC101:AD101 O102:P104 F101:P101 AL101:XFD101 O105:O107" name="maria_19" securityDescriptor="O:WDG:WDD:(A;;CC;;;S-1-5-21-3048853270-2157241324-869001692-3245)(A;;CC;;;S-1-5-21-3048853270-2157241324-869001692-1007)"/>
    <protectedRange sqref="Q101:R101" name="maria_1_17" securityDescriptor="O:WDG:WDD:(A;;CC;;;S-1-5-21-3048853270-2157241324-869001692-3245)(A;;CC;;;S-1-5-21-3048853270-2157241324-869001692-1007)"/>
    <protectedRange sqref="S101:S107 T105:T107 Y101:Y107" name="maria_1_1_15" securityDescriptor="O:WDG:WDD:(A;;CC;;;S-1-5-21-3048853270-2157241324-869001692-3245)(A;;CC;;;S-1-5-21-3048853270-2157241324-869001692-1007)"/>
    <protectedRange sqref="AF97 T97:U97 W97:X97 Z97:AA97 B97:D97 AC97:AD97 B101 F97:P97 M98:M100 H99:H100 AI98:AI100 O98:P100 AI97:XFD97" name="maria_20" securityDescriptor="O:WDG:WDD:(A;;CC;;;S-1-5-21-3048853270-2157241324-869001692-3245)(A;;CC;;;S-1-5-21-3048853270-2157241324-869001692-1007)"/>
    <protectedRange sqref="Q97:R97 Q98:Q100" name="maria_1_18" securityDescriptor="O:WDG:WDD:(A;;CC;;;S-1-5-21-3048853270-2157241324-869001692-3245)(A;;CC;;;S-1-5-21-3048853270-2157241324-869001692-1007)"/>
    <protectedRange sqref="Y97:Y100 Z99:Z100 T99:T100 S97:S100" name="maria_1_1_16" securityDescriptor="O:WDG:WDD:(A;;CC;;;S-1-5-21-3048853270-2157241324-869001692-3245)(A;;CC;;;S-1-5-21-3048853270-2157241324-869001692-1007)"/>
    <protectedRange sqref="AL112:XFD112 B112:D112 M113:M115 B127 B129 B131 B120:B121 F112:P112 H114:H115 P114" name="maria_21" securityDescriptor="O:WDG:WDD:(A;;CC;;;S-1-5-21-3048853270-2157241324-869001692-3245)(A;;CC;;;S-1-5-21-3048853270-2157241324-869001692-1007)"/>
    <protectedRange sqref="Q112:R112 Q114:Q119 Q111" name="maria_1_19" securityDescriptor="O:WDG:WDD:(A;;CC;;;S-1-5-21-3048853270-2157241324-869001692-3245)(A;;CC;;;S-1-5-21-3048853270-2157241324-869001692-1007)"/>
    <protectedRange sqref="S112:U112 W112:AA112 AF112 AI112 AC112:AD112 Y113:Y114 X114 S113:S114 U114 AA114 S115:U115 W115:AA115 AC114:AD115 AI114:AI119 S116:S119 Y116:Y119 AF114:AF119" name="maria_1_1_17" securityDescriptor="O:WDG:WDD:(A;;CC;;;S-1-5-21-3048853270-2157241324-869001692-3245)(A;;CC;;;S-1-5-21-3048853270-2157241324-869001692-1007)"/>
    <protectedRange sqref="B108:D108 P108 F108:N108 M116:M119 M109:M111 AJ108:XFD108" name="maria_22" securityDescriptor="O:WDG:WDD:(A;;CC;;;S-1-5-21-3048853270-2157241324-869001692-3245)(A;;CC;;;S-1-5-21-3048853270-2157241324-869001692-1007)"/>
    <protectedRange sqref="Q108:R108" name="maria_1_20" securityDescriptor="O:WDG:WDD:(A;;CC;;;S-1-5-21-3048853270-2157241324-869001692-3245)(A;;CC;;;S-1-5-21-3048853270-2157241324-869001692-1007)"/>
    <protectedRange sqref="S108:U108 W108:AA108 AC108:AD108 AI108 AF108:AF111 S109:S111 Y109:Y111" name="maria_1_1_18" securityDescriptor="O:WDG:WDD:(A;;CC;;;S-1-5-21-3048853270-2157241324-869001692-3245)(A;;CC;;;S-1-5-21-3048853270-2157241324-869001692-1007)"/>
    <protectedRange sqref="AF120:AF121 U120:U121 W120:X121 Z120:AA121 AC120:AD121 F122 C120:D121 F120:P121 AI120:AI121 AL120:XFD121 M122:M123 O122:O125" name="maria_23" securityDescriptor="O:WDG:WDD:(A;;CC;;;S-1-5-21-3048853270-2157241324-869001692-3245)(A;;CC;;;S-1-5-21-3048853270-2157241324-869001692-1007)"/>
    <protectedRange sqref="R35 R126 Q120:R125" name="maria_1_21" securityDescriptor="O:WDG:WDD:(A;;CC;;;S-1-5-21-3048853270-2157241324-869001692-3245)(A;;CC;;;S-1-5-21-3048853270-2157241324-869001692-1007)"/>
    <protectedRange sqref="S120:T121 Y120:Y121 S130 S122:S128" name="maria_1_1_19" securityDescriptor="O:WDG:WDD:(A;;CC;;;S-1-5-21-3048853270-2157241324-869001692-3245)(A;;CC;;;S-1-5-21-3048853270-2157241324-869001692-1007)"/>
    <protectedRange sqref="AF131 T131:U131 W131:X131 Z131:AA131 C131:D131 AC131:AD131 D129 AI129 AF129 T129:U129 W129:X129 Z129:AA129 M129:P129 AC129:AD129 AJ127:AK127 AF127 AA130 M132:M133 F129 F131:P131 O130:P130 U130 X130 M127:M128 M130 M137 AI131:XFD131" name="maria_24" securityDescriptor="O:WDG:WDD:(A;;CC;;;S-1-5-21-3048853270-2157241324-869001692-3245)(A;;CC;;;S-1-5-21-3048853270-2157241324-869001692-1007)"/>
    <protectedRange sqref="R127:R128 Q129:R131" name="maria_1_22" securityDescriptor="O:WDG:WDD:(A;;CC;;;S-1-5-21-3048853270-2157241324-869001692-3245)(A;;CC;;;S-1-5-21-3048853270-2157241324-869001692-1007)"/>
    <protectedRange sqref="Y131 Y129 S129 S131:S133 S137" name="maria_1_1_20" securityDescriptor="O:WDG:WDD:(A;;CC;;;S-1-5-21-3048853270-2157241324-869001692-3245)(A;;CC;;;S-1-5-21-3048853270-2157241324-869001692-1007)"/>
    <protectedRange sqref="AI141 T141:U141 W141:X141 Z141:AA141 B141:D141 AC141:AD141 B144 B149 B158:B159 B163 B170 B167 H142 F142 AF141:AF142 AI142:AK142 F141:P141 F149 M142:P143 B152:B154 AL141:XFD141 I142:I143" name="maria_25" securityDescriptor="O:WDG:WDD:(A;;CC;;;S-1-5-21-3048853270-2157241324-869001692-3245)(A;;CC;;;S-1-5-21-3048853270-2157241324-869001692-1007)"/>
    <protectedRange sqref="Q141:R141 Q142:Q143 R143" name="maria_1_23" securityDescriptor="O:WDG:WDD:(A;;CC;;;S-1-5-21-3048853270-2157241324-869001692-3245)(A;;CC;;;S-1-5-21-3048853270-2157241324-869001692-1007)"/>
    <protectedRange sqref="S141:S143 Y141:Y143" name="maria_1_1_21" securityDescriptor="O:WDG:WDD:(A;;CC;;;S-1-5-21-3048853270-2157241324-869001692-3245)(A;;CC;;;S-1-5-21-3048853270-2157241324-869001692-1007)"/>
    <protectedRange sqref="AF36 T36:U36 W36:X36 Z36:AD36 B36:D36 AB193:AB201 AI36:AI37 AB32 M37:P38 F36:P36 H150 M150:N150 AB59 AL36:XFD36 R36:R38 H37:H38 P150 AB188:AB189 R150:R151 AB127:AB137 AB37:AB57 AB61:AB122 AB141:AB185" name="maria_26" securityDescriptor="O:WDG:WDD:(A;;CC;;;S-1-5-21-3048853270-2157241324-869001692-3245)(A;;CC;;;S-1-5-21-3048853270-2157241324-869001692-1007)"/>
    <protectedRange sqref="Q150 Q36:Q38" name="maria_1_24" securityDescriptor="O:WDG:WDD:(A;;CC;;;S-1-5-21-3048853270-2157241324-869001692-3245)(A;;CC;;;S-1-5-21-3048853270-2157241324-869001692-1007)"/>
    <protectedRange sqref="W99:W100 W56 S32 V32 AE32 Y32 W154 W62 V188:V189 S150 AE150 Y150:Y151 AE36:AE38 Y36:Y38 S36:S38 V36:V59 V61:V137 V141:V185" name="maria_1_1_22" securityDescriptor="O:WDG:WDD:(A;;CC;;;S-1-5-21-3048853270-2157241324-869001692-3245)(A;;CC;;;S-1-5-21-3048853270-2157241324-869001692-1007)"/>
    <protectedRange sqref="B174:D174 W174:AA174 AF174 AI174 AC174:AD174 M174:U174 AL174:XFD174 F302 F174:K174 Y175:Y181 M175:M181 S175:S181" name="maria_28" securityDescriptor="O:WDG:WDD:(A;;CC;;;S-1-5-21-3048853270-2157241324-869001692-3245)(A;;CC;;;S-1-5-21-3048853270-2157241324-869001692-1007)"/>
    <protectedRange sqref="T175:U181 W175:X181 Z175:AA181 B175:D181 AC175:AD177 F42 F61:F62 AC179:AD181 F175:L177 G178:L181 AI175:AI176 AL175:XFD176 F98:F100 F110 N175:P181 AI177:XFD181 F49:F57 AF175:AF181" name="maria_29" securityDescriptor="O:WDG:WDD:(A;;CC;;;S-1-5-21-3048853270-2157241324-869001692-3245)(A;;CC;;;S-1-5-21-3048853270-2157241324-869001692-1007)"/>
    <protectedRange sqref="R105:R107 R111 R113:R119 Q175:R181" name="maria_1_25" securityDescriptor="O:WDG:WDD:(A;;CC;;;S-1-5-21-3048853270-2157241324-869001692-3245)(A;;CC;;;S-1-5-21-3048853270-2157241324-869001692-1007)"/>
    <protectedRange sqref="AI159 AF159 T159:U159 W159:X159 Z159:AA159 C159:D159 AI154:AK157 F159:P159 AL159:XFD159 K154:K157 M154:M157 O160:O162 M160:M162" name="maria_30" securityDescriptor="O:WDG:WDD:(A;;CC;;;S-1-5-21-3048853270-2157241324-869001692-3245)(A;;CC;;;S-1-5-21-3048853270-2157241324-869001692-1007)"/>
    <protectedRange sqref="Q159:R159 R154 R160:R162" name="maria_1_26" securityDescriptor="O:WDG:WDD:(A;;CC;;;S-1-5-21-3048853270-2157241324-869001692-3245)(A;;CC;;;S-1-5-21-3048853270-2157241324-869001692-1007)"/>
    <protectedRange sqref="S159:S173 Y159:Y173" name="maria_1_1_24" securityDescriptor="O:WDG:WDD:(A;;CC;;;S-1-5-21-3048853270-2157241324-869001692-3245)(A;;CC;;;S-1-5-21-3048853270-2157241324-869001692-1007)"/>
    <protectedRange sqref="AI144 AF144 T144:U144 W144:X144 Z144:AA144 C144:D144 AC144:AD144 M135:M136 M140 F144:P144 M138 H146 AL144:XFD144 M145:M148 N146:P148" name="maria_31" securityDescriptor="O:WDG:WDD:(A;;CC;;;S-1-5-21-3048853270-2157241324-869001692-3245)(A;;CC;;;S-1-5-21-3048853270-2157241324-869001692-1007)"/>
    <protectedRange sqref="Q144:R144 R89 Q146:R148" name="maria_1_27" securityDescriptor="O:WDG:WDD:(A;;CC;;;S-1-5-21-3048853270-2157241324-869001692-3245)(A;;CC;;;S-1-5-21-3048853270-2157241324-869001692-1007)"/>
    <protectedRange sqref="Y135 S135 S144:S148 Y144:Y148" name="maria_1_1_25" securityDescriptor="O:WDG:WDD:(A;;CC;;;S-1-5-21-3048853270-2157241324-869001692-3245)(A;;CC;;;S-1-5-21-3048853270-2157241324-869001692-1007)"/>
    <protectedRange sqref="B134 F134" name="maria_32" securityDescriptor="O:WDG:WDD:(A;;CC;;;S-1-5-21-3048853270-2157241324-869001692-3245)(A;;CC;;;S-1-5-21-3048853270-2157241324-869001692-1007)"/>
    <protectedRange sqref="C134:D134 G134:H134 W134:AA134 AF134 AI134 AC134:AD134 S136 O135:P135 H135:H136 P136 J134:K134 M134:U134 AL134:XFD134 Y136:Y137" name="maria_1_28" securityDescriptor="O:WDG:WDD:(A;;CC;;;S-1-5-21-3048853270-2157241324-869001692-3245)(A;;CC;;;S-1-5-21-3048853270-2157241324-869001692-1007)"/>
    <protectedRange sqref="C237:H237 C194:H229 C238:I241 J229:L229 T195:U241 W211:X241 Z211:AA241 I194:L196 AF193:AF241 AC193:AD241 W194:AA210 N195:R241 N194:U194 V194:V279 Y211:Y279 AB202:AB279 B194:B290 C292:C293 S195:S296 C230:L236 Y139 AB139 M139 M194:M339 S298:S339 AB281:AB339 Y282:Y339 V281:V339 B294:B339 B139 S139 V139 J237:L241 B355:B361 B193:AA193 V341:V360 S341:S360 B341:B353 M341:M360 AB341:AB360 Y341:Y360 AL193:XFD193 I198:L228 I197:K197 AI193 AB362:AB376 Y362:Y376 V362:V376 S362:S376 M362:M376 S378 Y378 S379:AD384 U126 AI194:XFD241" name="maria_33" securityDescriptor="O:WDG:WDD:(A;;CC;;;S-1-5-21-3048853270-2157241324-869001692-3245)(A;;CC;;;S-1-5-21-3048853270-2157241324-869001692-1007)"/>
    <protectedRange sqref="AI242 AF242 T242:U242 W242:X242 Z242:AA242 C242:L242 AC242:AD242 N242:P242 E312:E315 AL242:XFD242" name="maria_34" securityDescriptor="O:WDG:WDD:(A;;CC;;;S-1-5-21-3048853270-2157241324-869001692-3245)(A;;CC;;;S-1-5-21-3048853270-2157241324-869001692-1007)"/>
    <protectedRange sqref="Q242:R242" name="maria_1_29" securityDescriptor="O:WDG:WDD:(A;;CC;;;S-1-5-21-3048853270-2157241324-869001692-3245)(A;;CC;;;S-1-5-21-3048853270-2157241324-869001692-1007)"/>
    <protectedRange sqref="O243:P243 R243:R245 O245:P245 AF243:AF245 T243:U245 W243:X245 Z243 AA243:AA244 Z245:AA245 AC243:AD245 N243:N245 AI302 R302:R304 R306:R307 C243:D245 F243:L245 AI243:AI245 AL243:XFD245" name="maria_35" securityDescriptor="O:WDG:WDD:(A;;CC;;;S-1-5-21-3048853270-2157241324-869001692-3245)(A;;CC;;;S-1-5-21-3048853270-2157241324-869001692-1007)"/>
    <protectedRange sqref="Q243:Q245" name="maria_1_30" securityDescriptor="O:WDG:WDD:(A;;CC;;;S-1-5-21-3048853270-2157241324-869001692-3245)(A;;CC;;;S-1-5-21-3048853270-2157241324-869001692-1007)"/>
    <protectedRange sqref="Z244" name="maria_1_1_27" securityDescriptor="O:WDG:WDD:(A;;CC;;;S-1-5-21-3048853270-2157241324-869001692-3245)(A;;CC;;;S-1-5-21-3048853270-2157241324-869001692-1007)"/>
    <protectedRange sqref="AF246:AF253 T246:U253 W246:X253 Z246:AA253 AC246:AD253 C246:L253 N246:P253 E257 E262:E264 E268:E269 E271 E273:E277 E280 E288:E290 E296 E305:E306 E308:E311 E324:E331 E338:E339 E342:E349 E316:E322 E170 E167 E163:E164 E155 E145 E135 E127 E103:E104 E86 E41 E37 E32 E30 E17 E7 E84 E353 E333:E336 E355:E360 E152 AI246:AI253 AL246:XFD253 E22:E25 E372:E373 E376:F376 E10:E12 E15 E34:E35 E124 E181 E384 E111" name="maria_36" securityDescriptor="O:WDG:WDD:(A;;CC;;;S-1-5-21-3048853270-2157241324-869001692-3245)(A;;CC;;;S-1-5-21-3048853270-2157241324-869001692-1007)"/>
    <protectedRange sqref="Q246:R253" name="maria_1_31" securityDescriptor="O:WDG:WDD:(A;;CC;;;S-1-5-21-3048853270-2157241324-869001692-3245)(A;;CC;;;S-1-5-21-3048853270-2157241324-869001692-1007)"/>
    <protectedRange sqref="AF254:AF255 T254:U255 W254:X255 Z255 AA254:AA255 C254:L255 AC254:AD255 N254:P255 AF266 T266:U266 W266:X266 AA266 C266:L266 AC266:AD266 E265 E267 N266:P267 AI267 E278 E270 AI255 AL255:XFD255 E374 AI266:XFD266 AI254:XFD254" name="maria_37" securityDescriptor="O:WDG:WDD:(A;;CC;;;S-1-5-21-3048853270-2157241324-869001692-3245)(A;;CC;;;S-1-5-21-3048853270-2157241324-869001692-1007)"/>
    <protectedRange sqref="Q254:R255 Q266:R267" name="maria_1_32" securityDescriptor="O:WDG:WDD:(A;;CC;;;S-1-5-21-3048853270-2157241324-869001692-3245)(A;;CC;;;S-1-5-21-3048853270-2157241324-869001692-1007)"/>
    <protectedRange sqref="Z254 Z266" name="maria_1_1_29" securityDescriptor="O:WDG:WDD:(A;;CC;;;S-1-5-21-3048853270-2157241324-869001692-3245)(A;;CC;;;S-1-5-21-3048853270-2157241324-869001692-1007)"/>
    <protectedRange sqref="AF256:AF257 T256:U257 W256:X257 Z257:AA257 AC256:AD257 C256:L256 N256:P257 C257:D257 F257:L257 AI256:AI257 AL256:XFD257" name="maria_38" securityDescriptor="O:WDG:WDD:(A;;CC;;;S-1-5-21-3048853270-2157241324-869001692-3245)(A;;CC;;;S-1-5-21-3048853270-2157241324-869001692-1007)"/>
    <protectedRange sqref="Q256:R256 Q257" name="maria_1_33" securityDescriptor="O:WDG:WDD:(A;;CC;;;S-1-5-21-3048853270-2157241324-869001692-3245)(A;;CC;;;S-1-5-21-3048853270-2157241324-869001692-1007)"/>
    <protectedRange sqref="H260:I260 G258:I259 AF258:AF260 C258:F260 T258:U260 W258:X260 Z258:AA260 J258:L260 AC258:AD260 N265:P265 N258:P260 AI258:AI259 AL258:XFD259 AI260:XFD260" name="maria_39" securityDescriptor="O:WDG:WDD:(A;;CC;;;S-1-5-21-3048853270-2157241324-869001692-3245)(A;;CC;;;S-1-5-21-3048853270-2157241324-869001692-1007)"/>
    <protectedRange sqref="Q258:R260 R265" name="maria_1_34" securityDescriptor="O:WDG:WDD:(A;;CC;;;S-1-5-21-3048853270-2157241324-869001692-3245)(A;;CC;;;S-1-5-21-3048853270-2157241324-869001692-1007)"/>
    <protectedRange sqref="AF261:AF262 T261:U262 W261:X262 C261:L261 AC261:AD262 Z261:AA263 AI263:AK263 N261:P264 AI268 N268:P268 C262:D262 F262:L262 F263:F264 F268:F269 F280 AI262 AL262:XFD262 AI264 AI261:XFD261" name="maria_40" securityDescriptor="O:WDG:WDD:(A;;CC;;;S-1-5-21-3048853270-2157241324-869001692-3245)(A;;CC;;;S-1-5-21-3048853270-2157241324-869001692-1007)"/>
    <protectedRange sqref="Q261:R264 Q268:R268 R269:R271" name="maria_1_35" securityDescriptor="O:WDG:WDD:(A;;CC;;;S-1-5-21-3048853270-2157241324-869001692-3245)(A;;CC;;;S-1-5-21-3048853270-2157241324-869001692-1007)"/>
    <protectedRange sqref="AF102:AF104 T102:U104 W102:X104 Z102:AA104 AC102:AD104 C102:D104 F102:N104 AI105:AI106 M105:M107 AI102:XFD104" name="maria_42" securityDescriptor="O:WDG:WDD:(A;;CC;;;S-1-5-21-3048853270-2157241324-869001692-3245)(A;;CC;;;S-1-5-21-3048853270-2157241324-869001692-1007)"/>
    <protectedRange sqref="Q102:R102 Q103:Q104" name="maria_1_37" securityDescriptor="O:WDG:WDD:(A;;CC;;;S-1-5-21-3048853270-2157241324-869001692-3245)(A;;CC;;;S-1-5-21-3048853270-2157241324-869001692-1007)"/>
    <protectedRange sqref="T340:U340 W340:X340 AF340 Z340:AA340 AC340:AD340 C340:D340 N340:P340 AH340:AI340 F340:L340 F341 F350:F352 AL340:XFD340" name="maria_7" securityDescriptor="O:WDG:WDD:(A;;CC;;;S-1-5-21-3048853270-2157241324-869001692-3245)(A;;CC;;;S-1-5-21-3048853270-2157241324-869001692-1007)"/>
    <protectedRange sqref="Q340" name="maria_1_7" securityDescriptor="O:WDG:WDD:(A;;CC;;;S-1-5-21-3048853270-2157241324-869001692-3245)(A;;CC;;;S-1-5-21-3048853270-2157241324-869001692-1007)"/>
    <protectedRange sqref="AE340" name="maria_17_1" securityDescriptor="O:WDG:WDD:(A;;CC;;;S-1-5-21-3048853270-2157241324-869001692-3245)(A;;CC;;;S-1-5-21-3048853270-2157241324-869001692-1007)"/>
    <protectedRange sqref="V340 Y340 AB340 B340 S340 M340" name="maria_33_1" securityDescriptor="O:WDG:WDD:(A;;CC;;;S-1-5-21-3048853270-2157241324-869001692-3245)(A;;CC;;;S-1-5-21-3048853270-2157241324-869001692-1007)"/>
    <protectedRange sqref="E340:E341 E350:E352" name="maria_36_1" securityDescriptor="O:WDG:WDD:(A;;CC;;;S-1-5-21-3048853270-2157241324-869001692-3245)(A;;CC;;;S-1-5-21-3048853270-2157241324-869001692-1007)"/>
    <protectedRange sqref="T377:U377 W377:X377 AF377 Z377:AA377 AC377:AD377 C377:D377 F377:G377 AH377:AK377" name="maria_27" securityDescriptor="O:WDG:WDD:(A;;CC;;;S-1-5-21-3048853270-2157241324-869001692-3245)(A;;CC;;;S-1-5-21-3048853270-2157241324-869001692-1007)"/>
    <protectedRange sqref="AE377:AE378" name="maria_17_2" securityDescriptor="O:WDG:WDD:(A;;CC;;;S-1-5-21-3048853270-2157241324-869001692-3245)(A;;CC;;;S-1-5-21-3048853270-2157241324-869001692-1007)"/>
    <protectedRange sqref="Y377 B377 S377 AB377:AB378 V377:V378 M377:M384" name="maria_33_2" securityDescriptor="O:WDG:WDD:(A;;CC;;;S-1-5-21-3048853270-2157241324-869001692-3245)(A;;CC;;;S-1-5-21-3048853270-2157241324-869001692-1007)"/>
    <protectedRange sqref="O377:P377" name="maria_10_1" securityDescriptor="O:WDG:WDD:(A;;CC;;;S-1-5-21-3048853270-2157241324-869001692-3245)(A;;CC;;;S-1-5-21-3048853270-2157241324-869001692-1007)"/>
    <protectedRange sqref="B109:D111 G109:H111" name="maria_41" securityDescriptor="O:WDG:WDD:(A;;CC;;;S-1-5-21-3048853270-2157241324-869001692-3245)(A;;CC;;;S-1-5-21-3048853270-2157241324-869001692-1007)"/>
    <protectedRange sqref="F109" name="maria_22_1" securityDescriptor="O:WDG:WDD:(A;;CC;;;S-1-5-21-3048853270-2157241324-869001692-3245)(A;;CC;;;S-1-5-21-3048853270-2157241324-869001692-1007)"/>
    <protectedRange sqref="J109:J111" name="maria_43" securityDescriptor="O:WDG:WDD:(A;;CC;;;S-1-5-21-3048853270-2157241324-869001692-3245)(A;;CC;;;S-1-5-21-3048853270-2157241324-869001692-1007)"/>
    <protectedRange sqref="I109:I111" name="maria_22_2" securityDescriptor="O:WDG:WDD:(A;;CC;;;S-1-5-21-3048853270-2157241324-869001692-3245)(A;;CC;;;S-1-5-21-3048853270-2157241324-869001692-1007)"/>
    <protectedRange sqref="K109:L111" name="maria_44" securityDescriptor="O:WDG:WDD:(A;;CC;;;S-1-5-21-3048853270-2157241324-869001692-3245)(A;;CC;;;S-1-5-21-3048853270-2157241324-869001692-1007)"/>
    <protectedRange sqref="P109 N109:N111" name="maria_22_3" securityDescriptor="O:WDG:WDD:(A;;CC;;;S-1-5-21-3048853270-2157241324-869001692-3245)(A;;CC;;;S-1-5-21-3048853270-2157241324-869001692-1007)"/>
    <protectedRange sqref="Q109:R110" name="maria_1_20_1" securityDescriptor="O:WDG:WDD:(A;;CC;;;S-1-5-21-3048853270-2157241324-869001692-3245)(A;;CC;;;S-1-5-21-3048853270-2157241324-869001692-1007)"/>
    <protectedRange sqref="T109:U111" name="maria_45" securityDescriptor="O:WDG:WDD:(A;;CC;;;S-1-5-21-3048853270-2157241324-869001692-3245)(A;;CC;;;S-1-5-21-3048853270-2157241324-869001692-1007)"/>
    <protectedRange sqref="W109:X111" name="maria_46" securityDescriptor="O:WDG:WDD:(A;;CC;;;S-1-5-21-3048853270-2157241324-869001692-3245)(A;;CC;;;S-1-5-21-3048853270-2157241324-869001692-1007)"/>
    <protectedRange sqref="Z109:AA111" name="maria_47" securityDescriptor="O:WDG:WDD:(A;;CC;;;S-1-5-21-3048853270-2157241324-869001692-3245)(A;;CC;;;S-1-5-21-3048853270-2157241324-869001692-1007)"/>
    <protectedRange sqref="W361:X361 AF361 AC361:AD361 C361:D361 T361:U361 Z361:AA361 F361:L361 AH361 O365:P365 N361:P364 R361:R364 R366:R369 N366:P376 O35:P35 O126:P126 O378:P384" name="maria_48" securityDescriptor="O:WDG:WDD:(A;;CC;;;S-1-5-21-3048853270-2157241324-869001692-3245)(A;;CC;;;S-1-5-21-3048853270-2157241324-869001692-1007)"/>
    <protectedRange sqref="Q361:Q376" name="maria_1_36" securityDescriptor="O:WDG:WDD:(A;;CC;;;S-1-5-21-3048853270-2157241324-869001692-3245)(A;;CC;;;S-1-5-21-3048853270-2157241324-869001692-1007)"/>
    <protectedRange sqref="AE361" name="maria_17_3" securityDescriptor="O:WDG:WDD:(A;;CC;;;S-1-5-21-3048853270-2157241324-869001692-3245)(A;;CC;;;S-1-5-21-3048853270-2157241324-869001692-1007)"/>
    <protectedRange sqref="Y361 AB361 S361 V361 M361" name="maria_33_3" securityDescriptor="O:WDG:WDD:(A;;CC;;;S-1-5-21-3048853270-2157241324-869001692-3245)(A;;CC;;;S-1-5-21-3048853270-2157241324-869001692-1007)"/>
    <protectedRange sqref="E361" name="maria_36_2" securityDescriptor="O:WDG:WDD:(A;;CC;;;S-1-5-21-3048853270-2157241324-869001692-3245)(A;;CC;;;S-1-5-21-3048853270-2157241324-869001692-1007)"/>
    <protectedRange sqref="E337" name="maria_1_4_1" securityDescriptor="O:WDG:WDD:(A;;CC;;;S-1-5-21-3048853270-2157241324-869001692-3245)(A;;CC;;;S-1-5-21-3048853270-2157241324-869001692-1007)"/>
    <protectedRange sqref="E365" name="maria_1_1" securityDescriptor="O:WDG:WDD:(A;;CC;;;S-1-5-21-3048853270-2157241324-869001692-3245)(A;;CC;;;S-1-5-21-3048853270-2157241324-869001692-1007)"/>
    <protectedRange sqref="F365" name="maria_49" securityDescriptor="O:WDG:WDD:(A;;CC;;;S-1-5-21-3048853270-2157241324-869001692-3245)(A;;CC;;;S-1-5-21-3048853270-2157241324-869001692-1007)"/>
    <protectedRange sqref="N365" name="maria_2_1" securityDescriptor="O:WDG:WDD:(A;;CC;;;S-1-5-21-3048853270-2157241324-869001692-3245)(A;;CC;;;S-1-5-21-3048853270-2157241324-869001692-1007)"/>
    <protectedRange sqref="R365 R370:R376" name="maria_3_1" securityDescriptor="O:WDG:WDD:(A;;CC;;;S-1-5-21-3048853270-2157241324-869001692-3245)(A;;CC;;;S-1-5-21-3048853270-2157241324-869001692-1007)"/>
    <protectedRange sqref="AJ242:AK242" name="maria_34_2" securityDescriptor="O:WDG:WDD:(A;;CC;;;S-1-5-21-3048853270-2157241324-869001692-3245)(A;;CC;;;S-1-5-21-3048853270-2157241324-869001692-1007)"/>
    <protectedRange sqref="AJ246:AK246" name="maria_36_4" securityDescriptor="O:WDG:WDD:(A;;CC;;;S-1-5-21-3048853270-2157241324-869001692-3245)(A;;CC;;;S-1-5-21-3048853270-2157241324-869001692-1007)"/>
    <protectedRange sqref="AJ247:AK247" name="maria_36_6" securityDescriptor="O:WDG:WDD:(A;;CC;;;S-1-5-21-3048853270-2157241324-869001692-3245)(A;;CC;;;S-1-5-21-3048853270-2157241324-869001692-1007)"/>
    <protectedRange sqref="AJ248:AK248" name="maria_36_7" securityDescriptor="O:WDG:WDD:(A;;CC;;;S-1-5-21-3048853270-2157241324-869001692-3245)(A;;CC;;;S-1-5-21-3048853270-2157241324-869001692-1007)"/>
    <protectedRange sqref="AJ249:AK249" name="maria_36_8" securityDescriptor="O:WDG:WDD:(A;;CC;;;S-1-5-21-3048853270-2157241324-869001692-3245)(A;;CC;;;S-1-5-21-3048853270-2157241324-869001692-1007)"/>
    <protectedRange sqref="AJ250:AK250" name="maria_36_9" securityDescriptor="O:WDG:WDD:(A;;CC;;;S-1-5-21-3048853270-2157241324-869001692-3245)(A;;CC;;;S-1-5-21-3048853270-2157241324-869001692-1007)"/>
    <protectedRange sqref="AJ251:AK251" name="maria_36_10" securityDescriptor="O:WDG:WDD:(A;;CC;;;S-1-5-21-3048853270-2157241324-869001692-3245)(A;;CC;;;S-1-5-21-3048853270-2157241324-869001692-1007)"/>
    <protectedRange sqref="AJ252:AK252" name="maria_36_12" securityDescriptor="O:WDG:WDD:(A;;CC;;;S-1-5-21-3048853270-2157241324-869001692-3245)(A;;CC;;;S-1-5-21-3048853270-2157241324-869001692-1007)"/>
    <protectedRange sqref="AJ253:AK253" name="maria_36_14" securityDescriptor="O:WDG:WDD:(A;;CC;;;S-1-5-21-3048853270-2157241324-869001692-3245)(A;;CC;;;S-1-5-21-3048853270-2157241324-869001692-1007)"/>
    <protectedRange sqref="AJ255:AK255" name="maria_37_1" securityDescriptor="O:WDG:WDD:(A;;CC;;;S-1-5-21-3048853270-2157241324-869001692-3245)(A;;CC;;;S-1-5-21-3048853270-2157241324-869001692-1007)"/>
    <protectedRange sqref="AJ256:AK256" name="maria_38_1" securityDescriptor="O:WDG:WDD:(A;;CC;;;S-1-5-21-3048853270-2157241324-869001692-3245)(A;;CC;;;S-1-5-21-3048853270-2157241324-869001692-1007)"/>
    <protectedRange sqref="AJ257:AK257" name="maria_38_3" securityDescriptor="O:WDG:WDD:(A;;CC;;;S-1-5-21-3048853270-2157241324-869001692-3245)(A;;CC;;;S-1-5-21-3048853270-2157241324-869001692-1007)"/>
    <protectedRange sqref="AJ258:AK258" name="maria_39_2" securityDescriptor="O:WDG:WDD:(A;;CC;;;S-1-5-21-3048853270-2157241324-869001692-3245)(A;;CC;;;S-1-5-21-3048853270-2157241324-869001692-1007)"/>
    <protectedRange sqref="AJ259:AK259" name="maria_39_3" securityDescriptor="O:WDG:WDD:(A;;CC;;;S-1-5-21-3048853270-2157241324-869001692-3245)(A;;CC;;;S-1-5-21-3048853270-2157241324-869001692-1007)"/>
    <protectedRange sqref="AJ262:AK262" name="maria_40_1" securityDescriptor="O:WDG:WDD:(A;;CC;;;S-1-5-21-3048853270-2157241324-869001692-3245)(A;;CC;;;S-1-5-21-3048853270-2157241324-869001692-1007)"/>
    <protectedRange sqref="AJ264:AK264" name="maria_40_2" securityDescriptor="O:WDG:WDD:(A;;CC;;;S-1-5-21-3048853270-2157241324-869001692-3245)(A;;CC;;;S-1-5-21-3048853270-2157241324-869001692-1007)"/>
    <protectedRange sqref="AJ268:AK268" name="maria_40_4" securityDescriptor="O:WDG:WDD:(A;;CC;;;S-1-5-21-3048853270-2157241324-869001692-3245)(A;;CC;;;S-1-5-21-3048853270-2157241324-869001692-1007)"/>
    <protectedRange sqref="AJ269:AK269" name="maria_50" securityDescriptor="O:WDG:WDD:(A;;CC;;;S-1-5-21-3048853270-2157241324-869001692-3245)(A;;CC;;;S-1-5-21-3048853270-2157241324-869001692-1007)"/>
    <protectedRange sqref="AJ271:AK271" name="maria_51" securityDescriptor="O:WDG:WDD:(A;;CC;;;S-1-5-21-3048853270-2157241324-869001692-3245)(A;;CC;;;S-1-5-21-3048853270-2157241324-869001692-1007)"/>
    <protectedRange sqref="AJ273:AK273" name="maria_52" securityDescriptor="O:WDG:WDD:(A;;CC;;;S-1-5-21-3048853270-2157241324-869001692-3245)(A;;CC;;;S-1-5-21-3048853270-2157241324-869001692-1007)"/>
    <protectedRange sqref="AJ274:AK274" name="maria_53" securityDescriptor="O:WDG:WDD:(A;;CC;;;S-1-5-21-3048853270-2157241324-869001692-3245)(A;;CC;;;S-1-5-21-3048853270-2157241324-869001692-1007)"/>
    <protectedRange sqref="AJ275:AK275" name="maria_54" securityDescriptor="O:WDG:WDD:(A;;CC;;;S-1-5-21-3048853270-2157241324-869001692-3245)(A;;CC;;;S-1-5-21-3048853270-2157241324-869001692-1007)"/>
    <protectedRange sqref="AJ276:AK276" name="maria_55" securityDescriptor="O:WDG:WDD:(A;;CC;;;S-1-5-21-3048853270-2157241324-869001692-3245)(A;;CC;;;S-1-5-21-3048853270-2157241324-869001692-1007)"/>
    <protectedRange sqref="AJ277:AK277" name="maria_57" securityDescriptor="O:WDG:WDD:(A;;CC;;;S-1-5-21-3048853270-2157241324-869001692-3245)(A;;CC;;;S-1-5-21-3048853270-2157241324-869001692-1007)"/>
    <protectedRange sqref="AJ280:AK280" name="maria_58" securityDescriptor="O:WDG:WDD:(A;;CC;;;S-1-5-21-3048853270-2157241324-869001692-3245)(A;;CC;;;S-1-5-21-3048853270-2157241324-869001692-1007)"/>
    <protectedRange sqref="AJ281:AK281" name="maria_60" securityDescriptor="O:WDG:WDD:(A;;CC;;;S-1-5-21-3048853270-2157241324-869001692-3245)(A;;CC;;;S-1-5-21-3048853270-2157241324-869001692-1007)"/>
    <protectedRange sqref="AJ284:AK284" name="maria_62" securityDescriptor="O:WDG:WDD:(A;;CC;;;S-1-5-21-3048853270-2157241324-869001692-3245)(A;;CC;;;S-1-5-21-3048853270-2157241324-869001692-1007)"/>
    <protectedRange sqref="AJ285:AK285" name="maria_64" securityDescriptor="O:WDG:WDD:(A;;CC;;;S-1-5-21-3048853270-2157241324-869001692-3245)(A;;CC;;;S-1-5-21-3048853270-2157241324-869001692-1007)"/>
    <protectedRange sqref="AJ286:AK286" name="maria_65" securityDescriptor="O:WDG:WDD:(A;;CC;;;S-1-5-21-3048853270-2157241324-869001692-3245)(A;;CC;;;S-1-5-21-3048853270-2157241324-869001692-1007)"/>
    <protectedRange sqref="AJ288:AK288" name="maria_66" securityDescriptor="O:WDG:WDD:(A;;CC;;;S-1-5-21-3048853270-2157241324-869001692-3245)(A;;CC;;;S-1-5-21-3048853270-2157241324-869001692-1007)"/>
    <protectedRange sqref="AJ289:AK289" name="maria_68" securityDescriptor="O:WDG:WDD:(A;;CC;;;S-1-5-21-3048853270-2157241324-869001692-3245)(A;;CC;;;S-1-5-21-3048853270-2157241324-869001692-1007)"/>
    <protectedRange sqref="AJ290:AK290" name="maria_69" securityDescriptor="O:WDG:WDD:(A;;CC;;;S-1-5-21-3048853270-2157241324-869001692-3245)(A;;CC;;;S-1-5-21-3048853270-2157241324-869001692-1007)"/>
    <protectedRange sqref="AJ292:AK292" name="maria_70" securityDescriptor="O:WDG:WDD:(A;;CC;;;S-1-5-21-3048853270-2157241324-869001692-3245)(A;;CC;;;S-1-5-21-3048853270-2157241324-869001692-1007)"/>
    <protectedRange sqref="AJ293:AK293" name="maria_71" securityDescriptor="O:WDG:WDD:(A;;CC;;;S-1-5-21-3048853270-2157241324-869001692-3245)(A;;CC;;;S-1-5-21-3048853270-2157241324-869001692-1007)"/>
    <protectedRange sqref="AJ295:AK295" name="maria_72" securityDescriptor="O:WDG:WDD:(A;;CC;;;S-1-5-21-3048853270-2157241324-869001692-3245)(A;;CC;;;S-1-5-21-3048853270-2157241324-869001692-1007)"/>
    <protectedRange sqref="AJ297:AK297" name="maria_74" securityDescriptor="O:WDG:WDD:(A;;CC;;;S-1-5-21-3048853270-2157241324-869001692-3245)(A;;CC;;;S-1-5-21-3048853270-2157241324-869001692-1007)"/>
    <protectedRange sqref="AJ300:AK300" name="maria_76" securityDescriptor="O:WDG:WDD:(A;;CC;;;S-1-5-21-3048853270-2157241324-869001692-3245)(A;;CC;;;S-1-5-21-3048853270-2157241324-869001692-1007)"/>
    <protectedRange sqref="AJ301:AK301" name="maria_77" securityDescriptor="O:WDG:WDD:(A;;CC;;;S-1-5-21-3048853270-2157241324-869001692-3245)(A;;CC;;;S-1-5-21-3048853270-2157241324-869001692-1007)"/>
    <protectedRange sqref="AJ303:AK303" name="maria_78" securityDescriptor="O:WDG:WDD:(A;;CC;;;S-1-5-21-3048853270-2157241324-869001692-3245)(A;;CC;;;S-1-5-21-3048853270-2157241324-869001692-1007)"/>
    <protectedRange sqref="AJ304:AK304" name="maria_79" securityDescriptor="O:WDG:WDD:(A;;CC;;;S-1-5-21-3048853270-2157241324-869001692-3245)(A;;CC;;;S-1-5-21-3048853270-2157241324-869001692-1007)"/>
    <protectedRange sqref="AJ305:AK305" name="maria_80" securityDescriptor="O:WDG:WDD:(A;;CC;;;S-1-5-21-3048853270-2157241324-869001692-3245)(A;;CC;;;S-1-5-21-3048853270-2157241324-869001692-1007)"/>
    <protectedRange sqref="AJ306:AK306" name="maria_81" securityDescriptor="O:WDG:WDD:(A;;CC;;;S-1-5-21-3048853270-2157241324-869001692-3245)(A;;CC;;;S-1-5-21-3048853270-2157241324-869001692-1007)"/>
    <protectedRange sqref="AJ308:AK308" name="maria_82" securityDescriptor="O:WDG:WDD:(A;;CC;;;S-1-5-21-3048853270-2157241324-869001692-3245)(A;;CC;;;S-1-5-21-3048853270-2157241324-869001692-1007)"/>
    <protectedRange sqref="AJ309:AK309" name="maria_83" securityDescriptor="O:WDG:WDD:(A;;CC;;;S-1-5-21-3048853270-2157241324-869001692-3245)(A;;CC;;;S-1-5-21-3048853270-2157241324-869001692-1007)"/>
    <protectedRange sqref="AJ311:AK311" name="maria_84" securityDescriptor="O:WDG:WDD:(A;;CC;;;S-1-5-21-3048853270-2157241324-869001692-3245)(A;;CC;;;S-1-5-21-3048853270-2157241324-869001692-1007)"/>
    <protectedRange sqref="AJ312:AK312" name="maria_85" securityDescriptor="O:WDG:WDD:(A;;CC;;;S-1-5-21-3048853270-2157241324-869001692-3245)(A;;CC;;;S-1-5-21-3048853270-2157241324-869001692-1007)"/>
    <protectedRange sqref="AJ313:AK313" name="maria_87" securityDescriptor="O:WDG:WDD:(A;;CC;;;S-1-5-21-3048853270-2157241324-869001692-3245)(A;;CC;;;S-1-5-21-3048853270-2157241324-869001692-1007)"/>
    <protectedRange sqref="AJ314:AK314" name="maria_88" securityDescriptor="O:WDG:WDD:(A;;CC;;;S-1-5-21-3048853270-2157241324-869001692-3245)(A;;CC;;;S-1-5-21-3048853270-2157241324-869001692-1007)"/>
    <protectedRange sqref="AJ315:AK315" name="maria_89" securityDescriptor="O:WDG:WDD:(A;;CC;;;S-1-5-21-3048853270-2157241324-869001692-3245)(A;;CC;;;S-1-5-21-3048853270-2157241324-869001692-1007)"/>
    <protectedRange sqref="AJ317:AK317" name="maria_91" securityDescriptor="O:WDG:WDD:(A;;CC;;;S-1-5-21-3048853270-2157241324-869001692-3245)(A;;CC;;;S-1-5-21-3048853270-2157241324-869001692-1007)"/>
    <protectedRange sqref="AJ318:AK318" name="maria_92" securityDescriptor="O:WDG:WDD:(A;;CC;;;S-1-5-21-3048853270-2157241324-869001692-3245)(A;;CC;;;S-1-5-21-3048853270-2157241324-869001692-1007)"/>
    <protectedRange sqref="AJ319:AK319" name="maria_93" securityDescriptor="O:WDG:WDD:(A;;CC;;;S-1-5-21-3048853270-2157241324-869001692-3245)(A;;CC;;;S-1-5-21-3048853270-2157241324-869001692-1007)"/>
    <protectedRange sqref="AJ320:AK320" name="maria_95" securityDescriptor="O:WDG:WDD:(A;;CC;;;S-1-5-21-3048853270-2157241324-869001692-3245)(A;;CC;;;S-1-5-21-3048853270-2157241324-869001692-1007)"/>
    <protectedRange sqref="AJ321:AK321" name="maria_96" securityDescriptor="O:WDG:WDD:(A;;CC;;;S-1-5-21-3048853270-2157241324-869001692-3245)(A;;CC;;;S-1-5-21-3048853270-2157241324-869001692-1007)"/>
    <protectedRange sqref="AJ325:AK325" name="maria_98" securityDescriptor="O:WDG:WDD:(A;;CC;;;S-1-5-21-3048853270-2157241324-869001692-3245)(A;;CC;;;S-1-5-21-3048853270-2157241324-869001692-1007)"/>
    <protectedRange sqref="AJ326:AK326" name="maria_99" securityDescriptor="O:WDG:WDD:(A;;CC;;;S-1-5-21-3048853270-2157241324-869001692-3245)(A;;CC;;;S-1-5-21-3048853270-2157241324-869001692-1007)"/>
    <protectedRange sqref="AJ340:AK340" name="maria_7_1" securityDescriptor="O:WDG:WDD:(A;;CC;;;S-1-5-21-3048853270-2157241324-869001692-3245)(A;;CC;;;S-1-5-21-3048853270-2157241324-869001692-1007)"/>
    <protectedRange sqref="AJ46:AK46" name="maria_10_3" securityDescriptor="O:WDG:WDD:(A;;CC;;;S-1-5-21-3048853270-2157241324-869001692-3245)(A;;CC;;;S-1-5-21-3048853270-2157241324-869001692-1007)"/>
    <protectedRange sqref="AJ16:AK16 AJ19:AK19" name="maria_4_2" securityDescriptor="O:WDG:WDD:(A;;CC;;;S-1-5-21-3048853270-2157241324-869001692-3245)(A;;CC;;;S-1-5-21-3048853270-2157241324-869001692-1007)"/>
    <protectedRange sqref="AJ60:AK60" name="maria_5_2" securityDescriptor="O:WDG:WDD:(A;;CC;;;S-1-5-21-3048853270-2157241324-869001692-3245)(A;;CC;;;S-1-5-21-3048853270-2157241324-869001692-1007)"/>
    <protectedRange sqref="AJ29:AK29" name="maria_6_1" securityDescriptor="O:WDG:WDD:(A;;CC;;;S-1-5-21-3048853270-2157241324-869001692-3245)(A;;CC;;;S-1-5-21-3048853270-2157241324-869001692-1007)"/>
    <protectedRange sqref="AJ36:AK36" name="maria_26_1" securityDescriptor="O:WDG:WDD:(A;;CC;;;S-1-5-21-3048853270-2157241324-869001692-3245)(A;;CC;;;S-1-5-21-3048853270-2157241324-869001692-1007)"/>
    <protectedRange sqref="AJ39:AK39" name="maria_8_1" securityDescriptor="O:WDG:WDD:(A;;CC;;;S-1-5-21-3048853270-2157241324-869001692-3245)(A;;CC;;;S-1-5-21-3048853270-2157241324-869001692-1007)"/>
    <protectedRange sqref="AJ40:AK40" name="maria_9_2" securityDescriptor="O:WDG:WDD:(A;;CC;;;S-1-5-21-3048853270-2157241324-869001692-3245)(A;;CC;;;S-1-5-21-3048853270-2157241324-869001692-1007)"/>
    <protectedRange sqref="AJ67:AK68" name="maria_11_1" securityDescriptor="O:WDG:WDD:(A;;CC;;;S-1-5-21-3048853270-2157241324-869001692-3245)(A;;CC;;;S-1-5-21-3048853270-2157241324-869001692-1007)"/>
    <protectedRange sqref="AJ69:AK69" name="maria_12_2" securityDescriptor="O:WDG:WDD:(A;;CC;;;S-1-5-21-3048853270-2157241324-869001692-3245)(A;;CC;;;S-1-5-21-3048853270-2157241324-869001692-1007)"/>
    <protectedRange sqref="AJ71:AK71" name="maria_14_1" securityDescriptor="O:WDG:WDD:(A;;CC;;;S-1-5-21-3048853270-2157241324-869001692-3245)(A;;CC;;;S-1-5-21-3048853270-2157241324-869001692-1007)"/>
    <protectedRange sqref="AJ76:AK76" name="maria_15_1" securityDescriptor="O:WDG:WDD:(A;;CC;;;S-1-5-21-3048853270-2157241324-869001692-3245)(A;;CC;;;S-1-5-21-3048853270-2157241324-869001692-1007)"/>
    <protectedRange sqref="AJ81:AK81" name="maria_16_2" securityDescriptor="O:WDG:WDD:(A;;CC;;;S-1-5-21-3048853270-2157241324-869001692-3245)(A;;CC;;;S-1-5-21-3048853270-2157241324-869001692-1007)"/>
    <protectedRange sqref="AJ83:AK83" name="maria_18_1" securityDescriptor="O:WDG:WDD:(A;;CC;;;S-1-5-21-3048853270-2157241324-869001692-3245)(A;;CC;;;S-1-5-21-3048853270-2157241324-869001692-1007)"/>
    <protectedRange sqref="AJ101:AK101" name="maria_19_2" securityDescriptor="O:WDG:WDD:(A;;CC;;;S-1-5-21-3048853270-2157241324-869001692-3245)(A;;CC;;;S-1-5-21-3048853270-2157241324-869001692-1007)"/>
    <protectedRange sqref="AJ112:AK112" name="maria_21_1" securityDescriptor="O:WDG:WDD:(A;;CC;;;S-1-5-21-3048853270-2157241324-869001692-3245)(A;;CC;;;S-1-5-21-3048853270-2157241324-869001692-1007)"/>
    <protectedRange sqref="AJ120:AK120" name="maria_23_1" securityDescriptor="O:WDG:WDD:(A;;CC;;;S-1-5-21-3048853270-2157241324-869001692-3245)(A;;CC;;;S-1-5-21-3048853270-2157241324-869001692-1007)"/>
    <protectedRange sqref="AJ121:AK121" name="maria_23_3" securityDescriptor="O:WDG:WDD:(A;;CC;;;S-1-5-21-3048853270-2157241324-869001692-3245)(A;;CC;;;S-1-5-21-3048853270-2157241324-869001692-1007)"/>
    <protectedRange sqref="AJ129:AK129" name="maria_24_1" securityDescriptor="O:WDG:WDD:(A;;CC;;;S-1-5-21-3048853270-2157241324-869001692-3245)(A;;CC;;;S-1-5-21-3048853270-2157241324-869001692-1007)"/>
    <protectedRange sqref="AJ134:AK134" name="maria_1_28_1" securityDescriptor="O:WDG:WDD:(A;;CC;;;S-1-5-21-3048853270-2157241324-869001692-3245)(A;;CC;;;S-1-5-21-3048853270-2157241324-869001692-1007)"/>
    <protectedRange sqref="AJ141:AK141" name="maria_25_1" securityDescriptor="O:WDG:WDD:(A;;CC;;;S-1-5-21-3048853270-2157241324-869001692-3245)(A;;CC;;;S-1-5-21-3048853270-2157241324-869001692-1007)"/>
    <protectedRange sqref="AK144" name="maria_31_2" securityDescriptor="O:WDG:WDD:(A;;CC;;;S-1-5-21-3048853270-2157241324-869001692-3245)(A;;CC;;;S-1-5-21-3048853270-2157241324-869001692-1007)"/>
    <protectedRange sqref="AJ159:AK159" name="maria_30_1" securityDescriptor="O:WDG:WDD:(A;;CC;;;S-1-5-21-3048853270-2157241324-869001692-3245)(A;;CC;;;S-1-5-21-3048853270-2157241324-869001692-1007)"/>
    <protectedRange sqref="AJ174:AK174" name="maria_28_1" securityDescriptor="O:WDG:WDD:(A;;CC;;;S-1-5-21-3048853270-2157241324-869001692-3245)(A;;CC;;;S-1-5-21-3048853270-2157241324-869001692-1007)"/>
    <protectedRange sqref="AJ175:AK175" name="maria_29_1" securityDescriptor="O:WDG:WDD:(A;;CC;;;S-1-5-21-3048853270-2157241324-869001692-3245)(A;;CC;;;S-1-5-21-3048853270-2157241324-869001692-1007)"/>
    <protectedRange sqref="AJ176:AK176" name="maria_29_2" securityDescriptor="O:WDG:WDD:(A;;CC;;;S-1-5-21-3048853270-2157241324-869001692-3245)(A;;CC;;;S-1-5-21-3048853270-2157241324-869001692-1007)"/>
    <protectedRange sqref="AJ243:AK243" name="maria_35_1" securityDescriptor="O:WDG:WDD:(A;;CC;;;S-1-5-21-3048853270-2157241324-869001692-3245)(A;;CC;;;S-1-5-21-3048853270-2157241324-869001692-1007)"/>
    <protectedRange sqref="AJ244:AK244" name="maria_35_3" securityDescriptor="O:WDG:WDD:(A;;CC;;;S-1-5-21-3048853270-2157241324-869001692-3245)(A;;CC;;;S-1-5-21-3048853270-2157241324-869001692-1007)"/>
    <protectedRange sqref="AJ245:AK245" name="maria_35_4" securityDescriptor="O:WDG:WDD:(A;;CC;;;S-1-5-21-3048853270-2157241324-869001692-3245)(A;;CC;;;S-1-5-21-3048853270-2157241324-869001692-1007)"/>
    <protectedRange sqref="AJ302:AK302" name="maria_35_5" securityDescriptor="O:WDG:WDD:(A;;CC;;;S-1-5-21-3048853270-2157241324-869001692-3245)(A;;CC;;;S-1-5-21-3048853270-2157241324-869001692-1007)"/>
    <protectedRange sqref="AJ144" name="maria_31_3" securityDescriptor="O:WDG:WDD:(A;;CC;;;S-1-5-21-3048853270-2157241324-869001692-3245)(A;;CC;;;S-1-5-21-3048853270-2157241324-869001692-1007)"/>
    <protectedRange sqref="AJ193:AK193" name="maria_33_4" securityDescriptor="O:WDG:WDD:(A;;CC;;;S-1-5-21-3048853270-2157241324-869001692-3245)(A;;CC;;;S-1-5-21-3048853270-2157241324-869001692-1007)"/>
    <protectedRange sqref="AL186:XFD187 F186:F189 Q186:R189" name="maria_56" securityDescriptor="O:WDG:WDD:(A;;CC;;;S-1-5-21-3048853270-2157241324-869001692-3245)(A;;CC;;;S-1-5-21-3048853270-2157241324-869001692-1007)"/>
    <protectedRange sqref="E186:E189" name="maria_5_1" securityDescriptor="O:WDG:WDD:(A;;CC;;;S-1-5-21-3048853270-2157241324-869001692-3245)(A;;CC;;;S-1-5-21-3048853270-2157241324-869001692-1007)"/>
    <protectedRange sqref="AE186:AE187" name="maria_17_4" securityDescriptor="O:WDG:WDD:(A;;CC;;;S-1-5-21-3048853270-2157241324-869001692-3245)(A;;CC;;;S-1-5-21-3048853270-2157241324-869001692-1007)"/>
    <protectedRange sqref="S186:AD187" name="maria_33_5" securityDescriptor="O:WDG:WDD:(A;;CC;;;S-1-5-21-3048853270-2157241324-869001692-3245)(A;;CC;;;S-1-5-21-3048853270-2157241324-869001692-1007)"/>
    <protectedRange sqref="M186:M187" name="maria_33_2_1" securityDescriptor="O:WDG:WDD:(A;;CC;;;S-1-5-21-3048853270-2157241324-869001692-3245)(A;;CC;;;S-1-5-21-3048853270-2157241324-869001692-1007)"/>
    <protectedRange sqref="N186:P187" name="maria_48_1" securityDescriptor="O:WDG:WDD:(A;;CC;;;S-1-5-21-3048853270-2157241324-869001692-3245)(A;;CC;;;S-1-5-21-3048853270-2157241324-869001692-1007)"/>
    <protectedRange sqref="AF190:AF192 G190:H192 B190:D192 S190:U192 W190:AA192 AC190:AD192 J190:P192 AI190:XFD192" name="maria_59" securityDescriptor="O:WDG:WDD:(A;;CC;;;S-1-5-21-3048853270-2157241324-869001692-3245)(A;;CC;;;S-1-5-21-3048853270-2157241324-869001692-1007)"/>
    <protectedRange sqref="AH190:AH192" name="maria_1_1_1_1" securityDescriptor="O:WDG:WDD:(A;;CC;;;S-1-5-21-3048853270-2157241324-869001692-3245)(A;;CC;;;S-1-5-21-3048853270-2157241324-869001692-1007)"/>
    <protectedRange sqref="AE190:AE192" name="maria_17_5" securityDescriptor="O:WDG:WDD:(A;;CC;;;S-1-5-21-3048853270-2157241324-869001692-3245)(A;;CC;;;S-1-5-21-3048853270-2157241324-869001692-1007)"/>
    <protectedRange sqref="AB190:AB192" name="maria_26_2" securityDescriptor="O:WDG:WDD:(A;;CC;;;S-1-5-21-3048853270-2157241324-869001692-3245)(A;;CC;;;S-1-5-21-3048853270-2157241324-869001692-1007)"/>
    <protectedRange sqref="V190:V192" name="maria_1_1_22_1" securityDescriptor="O:WDG:WDD:(A;;CC;;;S-1-5-21-3048853270-2157241324-869001692-3245)(A;;CC;;;S-1-5-21-3048853270-2157241324-869001692-1007)"/>
    <protectedRange sqref="F190:F192 Q190:R192" name="maria_56_1" securityDescriptor="O:WDG:WDD:(A;;CC;;;S-1-5-21-3048853270-2157241324-869001692-3245)(A;;CC;;;S-1-5-21-3048853270-2157241324-869001692-1007)"/>
    <protectedRange sqref="E190:E192" name="maria_5_1_1" securityDescriptor="O:WDG:WDD:(A;;CC;;;S-1-5-21-3048853270-2157241324-869001692-3245)(A;;CC;;;S-1-5-21-3048853270-2157241324-869001692-1007)"/>
    <protectedRange sqref="W91" name="maria_61" securityDescriptor="O:WDG:WDD:(A;;CC;;;S-1-5-21-3048853270-2157241324-869001692-3245)(A;;CC;;;S-1-5-21-3048853270-2157241324-869001692-1007)"/>
    <protectedRange algorithmName="SHA-512" hashValue="lGxgJO7OrK4RnR9Q5GyLdphtXSoKHWuU/DeqTwJZs4H1lZxtBvfwyidbkva9W10WZdVConxSMgW/uAS6mxdKPg==" saltValue="rUT2GzIQhp6pti72S74yRQ==" spinCount="100000" sqref="C52" name="Aurelian" securityDescriptor="O:WDG:WDD:(A;;CC;;;S-1-5-21-3048853270-2157241324-869001692-3245)"/>
    <protectedRange algorithmName="SHA-512" hashValue="lGxgJO7OrK4RnR9Q5GyLdphtXSoKHWuU/DeqTwJZs4H1lZxtBvfwyidbkva9W10WZdVConxSMgW/uAS6mxdKPg==" saltValue="rUT2GzIQhp6pti72S74yRQ==" spinCount="100000" sqref="C53:C54" name="Aurelian_1" securityDescriptor="O:WDG:WDD:(A;;CC;;;S-1-5-21-3048853270-2157241324-869001692-3245)"/>
    <protectedRange algorithmName="SHA-512" hashValue="lGxgJO7OrK4RnR9Q5GyLdphtXSoKHWuU/DeqTwJZs4H1lZxtBvfwyidbkva9W10WZdVConxSMgW/uAS6mxdKPg==" saltValue="rUT2GzIQhp6pti72S74yRQ==" spinCount="100000" sqref="C55" name="Aurelian_2" securityDescriptor="O:WDG:WDD:(A;;CC;;;S-1-5-21-3048853270-2157241324-869001692-3245)"/>
    <protectedRange algorithmName="SHA-512" hashValue="lGxgJO7OrK4RnR9Q5GyLdphtXSoKHWuU/DeqTwJZs4H1lZxtBvfwyidbkva9W10WZdVConxSMgW/uAS6mxdKPg==" saltValue="rUT2GzIQhp6pti72S74yRQ==" spinCount="100000" sqref="G52" name="Aurelian_3" securityDescriptor="O:WDG:WDD:(A;;CC;;;S-1-5-21-3048853270-2157241324-869001692-3245)"/>
    <protectedRange algorithmName="SHA-512" hashValue="lGxgJO7OrK4RnR9Q5GyLdphtXSoKHWuU/DeqTwJZs4H1lZxtBvfwyidbkva9W10WZdVConxSMgW/uAS6mxdKPg==" saltValue="rUT2GzIQhp6pti72S74yRQ==" spinCount="100000" sqref="G53:G54" name="Aurelian_4" securityDescriptor="O:WDG:WDD:(A;;CC;;;S-1-5-21-3048853270-2157241324-869001692-3245)"/>
    <protectedRange algorithmName="SHA-512" hashValue="lGxgJO7OrK4RnR9Q5GyLdphtXSoKHWuU/DeqTwJZs4H1lZxtBvfwyidbkva9W10WZdVConxSMgW/uAS6mxdKPg==" saltValue="rUT2GzIQhp6pti72S74yRQ==" spinCount="100000" sqref="G55" name="Aurelian_5" securityDescriptor="O:WDG:WDD:(A;;CC;;;S-1-5-21-3048853270-2157241324-869001692-3245)"/>
    <protectedRange algorithmName="SHA-512" hashValue="lGxgJO7OrK4RnR9Q5GyLdphtXSoKHWuU/DeqTwJZs4H1lZxtBvfwyidbkva9W10WZdVConxSMgW/uAS6mxdKPg==" saltValue="rUT2GzIQhp6pti72S74yRQ==" spinCount="100000" sqref="H52" name="Aurelian_6" securityDescriptor="O:WDG:WDD:(A;;CC;;;S-1-5-21-3048853270-2157241324-869001692-3245)"/>
    <protectedRange algorithmName="SHA-512" hashValue="lGxgJO7OrK4RnR9Q5GyLdphtXSoKHWuU/DeqTwJZs4H1lZxtBvfwyidbkva9W10WZdVConxSMgW/uAS6mxdKPg==" saltValue="rUT2GzIQhp6pti72S74yRQ==" spinCount="100000" sqref="H53:H54" name="Aurelian_7" securityDescriptor="O:WDG:WDD:(A;;CC;;;S-1-5-21-3048853270-2157241324-869001692-3245)"/>
    <protectedRange algorithmName="SHA-512" hashValue="lGxgJO7OrK4RnR9Q5GyLdphtXSoKHWuU/DeqTwJZs4H1lZxtBvfwyidbkva9W10WZdVConxSMgW/uAS6mxdKPg==" saltValue="rUT2GzIQhp6pti72S74yRQ==" spinCount="100000" sqref="H55" name="Aurelian_8" securityDescriptor="O:WDG:WDD:(A;;CC;;;S-1-5-21-3048853270-2157241324-869001692-3245)"/>
  </protectedRanges>
  <autoFilter ref="A1:AK384" xr:uid="{8B41DF6E-FA13-4076-9E78-477C6C24A1D3}">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sortState ref="A4:AK96">
    <sortCondition descending="1" ref="E5:E40"/>
    <sortCondition ref="C5:C40"/>
  </sortState>
  <customSheetViews>
    <customSheetView guid="{5AAA4DFE-88B1-4674-95ED-5FCD7A50BC22}" scale="70" showPageBreaks="1" fitToPage="1" printArea="1" filter="1" showAutoFilter="1" topLeftCell="R1">
      <pane ySplit="350" topLeftCell="A352" activePane="bottomLeft" state="frozen"/>
      <selection pane="bottomLeft" activeCell="AH437" sqref="AH437"/>
      <pageMargins left="0.70866141732283472" right="0.70866141732283472" top="0.74803149606299213" bottom="0.74803149606299213" header="0.31496062992125984" footer="0.31496062992125984"/>
      <pageSetup paperSize="8" scale="22" fitToHeight="0" orientation="landscape" horizontalDpi="4294967294" verticalDpi="4294967294" r:id="rId1"/>
      <headerFooter>
        <oddHeader>&amp;CLISTA PROIECTELOR CONTRACTATE - PROGRAMUL OPERATIONAl CAPACITATE ADMINISTRATIVĂ</oddHeader>
        <oddFooter>Page &amp;P of &amp;N</oddFooter>
      </headerFooter>
      <autoFilter ref="A1:AL436" xr:uid="{00000000-0000-0000-0000-000000000000}">
        <filterColumn colId="2">
          <filters>
            <filter val="165"/>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C408A2F1-296F-4EAD-B15B-336D73846FDD}" scale="106" showPageBreaks="1" fitToPage="1" printArea="1" showAutoFilter="1" topLeftCell="AA328">
      <selection activeCell="AI328" sqref="AI328"/>
      <pageMargins left="0.70866141732283472" right="0.70866141732283472" top="0.74803149606299213" bottom="0.74803149606299213" header="0.31496062992125984" footer="0.31496062992125984"/>
      <pageSetup paperSize="8" scale="22" fitToHeight="0" orientation="landscape" horizontalDpi="4294967294" verticalDpi="4294967294" r:id="rId2"/>
      <headerFooter>
        <oddHeader>&amp;CLISTA PROIECTELOR CONTRACTATE - PROGRAMUL OPERATIONAl CAPACITATE ADMINISTRATIVĂ</oddHeader>
        <oddFooter>Page &amp;P of &amp;N</oddFooter>
      </headerFooter>
      <autoFilter ref="A1:AL79"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0781B6C2-B440-4971-9809-BD16245A70FD}" scale="85" showPageBreaks="1" fitToPage="1" printArea="1" filter="1" showAutoFilter="1">
      <selection activeCell="L30" sqref="L30"/>
      <pageMargins left="0.70866141732283472" right="0.70866141732283472" top="0.74803149606299213" bottom="0.74803149606299213" header="0.31496062992125984" footer="0.31496062992125984"/>
      <pageSetup paperSize="8" scale="22" fitToHeight="0" orientation="landscape" horizontalDpi="4294967294" verticalDpi="4294967294" r:id="rId3"/>
      <headerFooter>
        <oddHeader>&amp;CLISTA PROIECTELOR CONTRACTATE - PROGRAMUL OPERATIONAl CAPACITATE ADMINISTRATIVĂ</oddHeader>
        <oddFooter>Page &amp;P of &amp;N</oddFooter>
      </headerFooter>
      <autoFilter ref="A1:AL429" xr:uid="{00000000-0000-0000-0000-000000000000}">
        <filterColumn colId="2">
          <filters>
            <filter val="461"/>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F10298D-3F59-43F1-9A86-8C1CCA3B5D93}" scale="60" showPageBreaks="1" fitToPage="1" printArea="1" showAutoFilter="1" topLeftCell="A4">
      <pane ySplit="3" topLeftCell="A84" activePane="bottomLeft" state="frozen"/>
      <selection pane="bottomLeft" activeCell="E85" sqref="E85"/>
      <pageMargins left="0.70866141732283472" right="0.70866141732283472" top="0.74803149606299213" bottom="0.74803149606299213" header="0.31496062992125984" footer="0.31496062992125984"/>
      <pageSetup paperSize="8" scale="22" fitToHeight="0" orientation="landscape" r:id="rId4"/>
      <headerFooter>
        <oddHeader>&amp;CLISTA PROIECTELOR CONTRACTATE - PROGRAMUL OPERATIONAl CAPACITATE ADMINISTRATIVĂ</oddHeader>
        <oddFooter>Page &amp;P of &amp;N</oddFooter>
      </headerFooter>
      <autoFilter ref="A6:AL456" xr:uid="{00000000-0000-0000-0000-000000000000}"/>
    </customSheetView>
    <customSheetView guid="{9980B309-0131-4577-BF29-212714399FDF}" scale="70" showPageBreaks="1" fitToPage="1" printArea="1" showAutoFilter="1">
      <pane ySplit="3" topLeftCell="A12" activePane="bottomLeft"/>
      <selection pane="bottomLeft" activeCell="G42" sqref="G42"/>
      <pageMargins left="0.70866141732283472" right="0.70866141732283472" top="0.74803149606299213" bottom="0.74803149606299213" header="0.31496062992125984" footer="0.31496062992125984"/>
      <pageSetup paperSize="8" scale="23" fitToHeight="0" orientation="landscape" horizontalDpi="4294967294" verticalDpi="4294967294" r:id="rId5"/>
      <headerFooter>
        <oddHeader>&amp;CLISTA PROIECTELOR CONTRACTATE - PROGRAMUL OPERATIONAl CAPACITATE ADMINISTRATIVĂ</oddHeader>
        <oddFooter>Page &amp;P of &amp;N</oddFooter>
      </headerFooter>
      <autoFilter ref="A1:AL42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A64E7D7-BA48-4965-B650-778AE412FE0C}" scale="70" showPageBreaks="1" fitToPage="1" printArea="1" filter="1" showAutoFilter="1">
      <selection activeCell="T381" sqref="T381"/>
      <pageMargins left="0.70866141732283472" right="0.70866141732283472" top="0.74803149606299213" bottom="0.74803149606299213" header="0.31496062992125984" footer="0.31496062992125984"/>
      <pageSetup paperSize="8" scale="21" fitToHeight="0" orientation="landscape" horizontalDpi="4294967294" verticalDpi="4294967294" r:id="rId6"/>
      <headerFooter>
        <oddHeader>&amp;CLISTA PROIECTELOR CONTRACTATE - PROGRAMUL OPERATIONAl CAPACITATE ADMINISTRATIVĂ</oddHeader>
        <oddFooter>Page &amp;P of &amp;N</oddFooter>
      </headerFooter>
      <autoFilter ref="A1:DG416" xr:uid="{00000000-0000-0000-0000-000000000000}">
        <filterColumn colId="2">
          <filters>
            <filter val="28"/>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01F9774-8BE7-424D-87C2-1026F3FA2E93}" scale="70" showPageBreaks="1" fitToPage="1" printArea="1" filter="1" showAutoFilter="1" topLeftCell="P1">
      <selection activeCell="V109" sqref="V109"/>
      <pageMargins left="0.70866141732283472" right="0.70866141732283472" top="0.74803149606299213" bottom="0.74803149606299213" header="0.31496062992125984" footer="0.31496062992125984"/>
      <pageSetup paperSize="8" scale="21" fitToHeight="0" orientation="landscape" horizontalDpi="4294967294" verticalDpi="4294967294" r:id="rId7"/>
      <headerFooter>
        <oddHeader>&amp;CLISTA PROIECTELOR CONTRACTATE - PROGRAMUL OPERATIONAl CAPACITATE ADMINISTRATIVĂ</oddHeader>
        <oddFooter>Page &amp;P of &amp;N</oddFooter>
      </headerFooter>
      <autoFilter ref="C1:C449" xr:uid="{00000000-0000-0000-0000-000000000000}">
        <filterColumn colId="0">
          <filters>
            <filter val="6"/>
            <filter val="407"/>
          </filters>
        </filterColumn>
      </autoFilter>
    </customSheetView>
    <customSheetView guid="{747340EB-2B31-46D2-ACDE-4FA91E2B50F6}" scale="70" showPageBreaks="1" fitToPage="1" printArea="1" topLeftCell="A316">
      <selection activeCell="C317" sqref="C1:C1048576"/>
      <pageMargins left="0.70866141732283472" right="0.70866141732283472" top="0.74803149606299213" bottom="0.74803149606299213" header="0.31496062992125984" footer="0.31496062992125984"/>
      <pageSetup paperSize="8" scale="15" fitToHeight="0" orientation="portrait" horizontalDpi="4294967294" verticalDpi="4294967294" r:id="rId8"/>
      <headerFooter>
        <oddHeader>&amp;CLISTA PROIECTELOR CONTRACTATE - PROGRAMUL OPERATIONAl CAPACITATE ADMINISTRATIVĂ</oddHeader>
        <oddFooter>Page &amp;P of &amp;N</oddFooter>
      </headerFooter>
    </customSheetView>
    <customSheetView guid="{EB0F2E6A-FA33-479E-9A47-8E3494FBB4DE}" scale="70" fitToPage="1" showAutoFilter="1" topLeftCell="N298">
      <selection activeCell="S316" sqref="S316"/>
      <pageMargins left="0.70866141732283472" right="0.70866141732283472" top="0.74803149606299213" bottom="0.74803149606299213" header="0.31496062992125984" footer="0.31496062992125984"/>
      <pageSetup paperSize="8" scale="21" fitToHeight="0" orientation="landscape" horizontalDpi="4294967294" verticalDpi="4294967294" r:id="rId9"/>
      <headerFooter>
        <oddHeader>&amp;CLISTA PROIECTELOR CONTRACTATE - PROGRAMUL OPERATIONAl CAPACITATE ADMINISTRATIVĂ</oddHeader>
        <oddFooter>Page &amp;P of &amp;N</oddFooter>
      </headerFooter>
      <autoFilter ref="A6:AL323" xr:uid="{00000000-0000-0000-0000-000000000000}"/>
    </customSheetView>
    <customSheetView guid="{65B035E3-87FA-46C5-996E-864F2C8D0EBC}" scale="55" showPageBreaks="1" fitToPage="1" printArea="1" showAutoFilter="1" hiddenColumns="1">
      <pane ySplit="6" topLeftCell="A7" activePane="bottomLeft" state="frozen"/>
      <selection pane="bottomLeft" activeCell="AP23" sqref="AP23"/>
      <pageMargins left="0.70866141732283472" right="0.70866141732283472" top="0.74803149606299213" bottom="0.74803149606299213" header="0.31496062992125984" footer="0.31496062992125984"/>
      <pageSetup paperSize="8" scale="34" fitToHeight="0" orientation="landscape" r:id="rId10"/>
      <headerFooter>
        <oddHeader>&amp;CLISTA PROIECTELOR CONTRACTATE - PROGRAMUL OPERATIONAl CAPACITATE ADMINISTRATIVĂ</oddHeader>
        <oddFooter>Page &amp;P of &amp;N</oddFooter>
      </headerFooter>
      <autoFilter ref="A6:DF305" xr:uid="{00000000-0000-0000-0000-000000000000}"/>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11"/>
      <headerFooter>
        <oddHeader>&amp;CLISTA PROIECTELOR CONTRACTATE - PROGRAMUL OPERATIONAl CAPACITATE ADMINISTRATIVĂ</oddHeader>
        <oddFooter>Page &amp;P of &amp;N</oddFooter>
      </headerFooter>
      <autoFilter ref="A4:AH68" xr:uid="{00000000-0000-0000-0000-000000000000}"/>
    </customSheetView>
    <customSheetView guid="{3AFE79CE-CE75-447D-8C73-1AE63A224CBA}" scale="80" showPageBreaks="1" fitToPage="1" printArea="1" showAutoFilter="1" topLeftCell="T1">
      <pane ySplit="3" topLeftCell="A326" activePane="bottomLeft" state="frozen"/>
      <selection pane="bottomLeft" activeCell="AE326" sqref="AE326"/>
      <pageMargins left="0.70866141732283472" right="0.70866141732283472" top="0.74803149606299213" bottom="0.74803149606299213" header="0.31496062992125984" footer="0.31496062992125984"/>
      <pageSetup paperSize="8" scale="21" fitToHeight="0" orientation="landscape" horizontalDpi="4294967294" verticalDpi="4294967294" r:id="rId12"/>
      <headerFooter>
        <oddHeader>&amp;CLISTA PROIECTELOR CONTRACTATE - PROGRAMUL OPERATIONAl CAPACITATE ADMINISTRATIVĂ</oddHeader>
        <oddFooter>Page &amp;P of &amp;N</oddFooter>
      </headerFooter>
      <autoFilter ref="A6:AL349" xr:uid="{00000000-0000-0000-0000-000000000000}"/>
    </customSheetView>
    <customSheetView guid="{9EA5E3FA-46F1-4729-828C-4A08518018C1}" scale="70" showPageBreaks="1" fitToPage="1" printArea="1" showAutoFilter="1">
      <pane xSplit="7" ySplit="3" topLeftCell="Z72" activePane="bottomRight" state="frozen"/>
      <selection pane="bottomRight" activeCell="AM72" sqref="AM72"/>
      <pageMargins left="0.70866141732283472" right="0.70866141732283472" top="0.74803149606299213" bottom="0.74803149606299213" header="0.31496062992125984" footer="0.31496062992125984"/>
      <pageSetup paperSize="8" scale="21" fitToHeight="0" orientation="landscape" horizontalDpi="4294967294" verticalDpi="4294967294" r:id="rId13"/>
      <headerFooter>
        <oddHeader>&amp;CLISTA PROIECTELOR CONTRACTATE - PROGRAMUL OPERATIONAl CAPACITATE ADMINISTRATIVĂ</oddHeader>
        <oddFooter>Page &amp;P of &amp;N</oddFooter>
      </headerFooter>
      <autoFilter ref="A1:AK40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DB51BB9F-5710-40B0-80E7-39B059BFD11D}" scale="70" fitToPage="1" printArea="1" showAutoFilter="1">
      <selection activeCell="B1" sqref="B1:B1048576"/>
      <pageMargins left="0.70866141732283472" right="0.70866141732283472" top="0.74803149606299213" bottom="0.74803149606299213" header="0.31496062992125984" footer="0.31496062992125984"/>
      <pageSetup paperSize="8" scale="22" fitToHeight="0" orientation="landscape" horizontalDpi="4294967294" verticalDpi="4294967294" r:id="rId14"/>
      <headerFooter>
        <oddHeader>&amp;CLISTA PROIECTELOR CONTRACTATE - PROGRAMUL OPERATIONAl CAPACITATE ADMINISTRATIVĂ</oddHeader>
        <oddFooter>Page &amp;P of &amp;N</oddFooter>
      </headerFooter>
      <autoFilter ref="A1:DG422"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2C296388-EDB5-4F1F-B0F4-90EC07CCD947}" scale="73" showPageBreaks="1" fitToPage="1" printArea="1" filter="1" showAutoFilter="1" topLeftCell="X1">
      <pane ySplit="284" topLeftCell="A286" activePane="bottomLeft" state="frozen"/>
      <selection pane="bottomLeft" activeCell="AQ286" sqref="AQ286"/>
      <pageMargins left="0.70866141732283472" right="0.70866141732283472" top="0.74803149606299213" bottom="0.74803149606299213" header="0.31496062992125984" footer="0.31496062992125984"/>
      <pageSetup paperSize="8" scale="21" fitToHeight="0" orientation="landscape" horizontalDpi="4294967294" verticalDpi="4294967294" r:id="rId15"/>
      <headerFooter>
        <oddHeader>&amp;CLISTA PROIECTELOR CONTRACTATE - PROGRAMUL OPERATIONAl CAPACITATE ADMINISTRATIVĂ</oddHeader>
        <oddFooter>Page &amp;P of &amp;N</oddFooter>
      </headerFooter>
      <autoFilter ref="A1:DG494" xr:uid="{00000000-0000-0000-0000-000000000000}">
        <filterColumn colId="2">
          <filters>
            <filter val="435"/>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EA37434-2D22-478B-B49F-C3E8CD4AC2E1}" scale="60" showPageBreaks="1" fitToPage="1" printArea="1" showAutoFilter="1">
      <pane xSplit="9" ySplit="8" topLeftCell="AG14" activePane="bottomRight" state="frozen"/>
      <selection pane="bottomRight" activeCell="A14" sqref="A14:XFD14"/>
      <pageMargins left="0.70866141732283472" right="0.70866141732283472" top="0.74803149606299213" bottom="0.74803149606299213" header="0.31496062992125984" footer="0.31496062992125984"/>
      <pageSetup paperSize="8" scale="23" fitToHeight="0" orientation="landscape" r:id="rId16"/>
      <headerFooter>
        <oddHeader>&amp;CLISTA PROIECTELOR CONTRACTATE - PROGRAMUL OPERATIONAl CAPACITATE ADMINISTRATIVĂ</oddHeader>
        <oddFooter>Page &amp;P of &amp;N</oddFooter>
      </headerFooter>
      <autoFilter ref="A6:DG422" xr:uid="{00000000-0000-0000-0000-000000000000}"/>
    </customSheetView>
    <customSheetView guid="{905D93EA-5662-45AB-8995-A9908B3E5D52}" scale="70" showPageBreaks="1" fitToPage="1" printArea="1" showAutoFilter="1">
      <selection activeCell="D464" sqref="D464"/>
      <pageMargins left="0.70866141732283472" right="0.70866141732283472" top="0.74803149606299213" bottom="0.74803149606299213" header="0.31496062992125984" footer="0.31496062992125984"/>
      <pageSetup paperSize="8" scale="23" fitToHeight="0" orientation="landscape" r:id="rId17"/>
      <headerFooter>
        <oddHeader>&amp;CLISTA PROIECTELOR CONTRACTATE - PROGRAMUL OPERATIONAl CAPACITATE ADMINISTRATIVĂ</oddHeader>
        <oddFooter>Page &amp;P of &amp;N</oddFooter>
      </headerFooter>
      <autoFilter ref="B1:B463" xr:uid="{00000000-0000-0000-0000-000000000000}"/>
    </customSheetView>
    <customSheetView guid="{84FB199A-D56E-4FDD-AC4A-70CE86CD87BC}" scale="80" showPageBreaks="1" fitToPage="1" printArea="1">
      <pane xSplit="1.8918918918918919" ySplit="0.5368421052631579" topLeftCell="Y392" activePane="bottomRight"/>
      <selection pane="bottomRight" activeCell="AI393" sqref="AI393"/>
      <pageMargins left="0.70866141732283472" right="0.70866141732283472" top="0.74803149606299213" bottom="0.74803149606299213" header="0.31496062992125984" footer="0.31496062992125984"/>
      <pageSetup paperSize="8" scale="22" fitToHeight="0" orientation="landscape" r:id="rId18"/>
      <headerFooter>
        <oddHeader>&amp;CLISTA PROIECTELOR CONTRACTATE - PROGRAMUL OPERATIONAl CAPACITATE ADMINISTRATIVĂ</oddHeader>
        <oddFooter>Page &amp;P of &amp;N</oddFooter>
      </headerFooter>
    </customSheetView>
    <customSheetView guid="{FE50EAC0-52A5-4C33-B973-65E93D03D3EA}" scale="73" showPageBreaks="1" fitToPage="1" printArea="1" showAutoFilter="1" topLeftCell="I426">
      <selection activeCell="T428" sqref="T428"/>
      <pageMargins left="0.70866141732283472" right="0.70866141732283472" top="0.74803149606299213" bottom="0.74803149606299213" header="0.31496062992125984" footer="0.31496062992125984"/>
      <pageSetup paperSize="8" scale="22" fitToHeight="0" orientation="landscape" horizontalDpi="4294967294" verticalDpi="4294967294" r:id="rId19"/>
      <headerFooter>
        <oddHeader>&amp;CLISTA PROIECTELOR CONTRACTATE - PROGRAMUL OPERATIONAl CAPACITATE ADMINISTRATIVĂ</oddHeader>
        <oddFooter>Page &amp;P of &amp;N</oddFooter>
      </headerFooter>
      <autoFilter ref="A1:AL431"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A5B1481C-EF26-486A-984F-85CDDC2FD94F}" scale="70" showPageBreaks="1" fitToPage="1" printArea="1" showAutoFilter="1" topLeftCell="I1">
      <pane ySplit="5" topLeftCell="A358" activePane="bottomLeft" state="frozen"/>
      <selection pane="bottomLeft" activeCell="V358" sqref="V358"/>
      <pageMargins left="0.70866141732283472" right="0.70866141732283472" top="0.74803149606299213" bottom="0.74803149606299213" header="0.31496062992125984" footer="0.31496062992125984"/>
      <pageSetup paperSize="8" scale="22" fitToHeight="0" orientation="landscape" horizontalDpi="4294967294" verticalDpi="4294967294" r:id="rId20"/>
      <headerFooter>
        <oddHeader>&amp;CLISTA PROIECTELOR CONTRACTATE - PROGRAMUL OPERATIONAl CAPACITATE ADMINISTRATIVĂ</oddHeader>
        <oddFooter>Page &amp;P of &amp;N</oddFooter>
      </headerFooter>
      <autoFilter ref="A6:DG432" xr:uid="{00000000-0000-0000-0000-000000000000}"/>
    </customSheetView>
    <customSheetView guid="{7C1B4D6D-D666-48DD-AB17-E00791B6F0B6}" scale="70" showPageBreaks="1" fitToPage="1" printArea="1" showAutoFilter="1">
      <pane ySplit="6" topLeftCell="A141" activePane="bottomLeft" state="frozen"/>
      <selection pane="bottomLeft" activeCell="J141" sqref="J141"/>
      <pageMargins left="0.70866141732283472" right="0.70866141732283472" top="0.74803149606299213" bottom="0.74803149606299213" header="0.31496062992125984" footer="0.31496062992125984"/>
      <pageSetup paperSize="8" scale="22" fitToHeight="0" orientation="landscape" r:id="rId21"/>
      <headerFooter>
        <oddHeader>&amp;CLISTA PROIECTELOR CONTRACTATE - PROGRAMUL OPERATIONAl CAPACITATE ADMINISTRATIVĂ</oddHeader>
        <oddFooter>Page &amp;P of &amp;N</oddFooter>
      </headerFooter>
      <autoFilter ref="A6:DG433" xr:uid="{00000000-0000-0000-0000-000000000000}"/>
    </customSheetView>
    <customSheetView guid="{65C35D6D-934F-4431-BA92-90255FC17BA4}" scale="70" showPageBreaks="1" fitToPage="1" printArea="1" showAutoFilter="1" topLeftCell="U1">
      <pane ySplit="1" topLeftCell="A149" activePane="bottomLeft" state="frozen"/>
      <selection pane="bottomLeft" activeCell="AE149" sqref="AE149"/>
      <pageMargins left="0.70866141732283472" right="0.70866141732283472" top="0.74803149606299213" bottom="0.74803149606299213" header="0.31496062992125984" footer="0.31496062992125984"/>
      <pageSetup paperSize="8" scale="22" fitToHeight="0" orientation="landscape" horizontalDpi="4294967294" verticalDpi="4294967294" r:id="rId22"/>
      <headerFooter>
        <oddHeader>&amp;CLISTA PROIECTELOR CONTRACTATE - PROGRAMUL OPERATIONAl CAPACITATE ADMINISTRATIVĂ</oddHeader>
        <oddFooter>Page &amp;P of &amp;N</oddFooter>
      </headerFooter>
      <autoFilter ref="A1:AL78"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53ED3D47-B2C0-43A1-9A1E-F030D529F74C}" scale="70" showPageBreaks="1" fitToPage="1" printArea="1" showAutoFilter="1" topLeftCell="S64">
      <selection activeCell="J65" sqref="J65"/>
      <pageMargins left="0.70866141732283472" right="0.70866141732283472" top="0.74803149606299213" bottom="0.74803149606299213" header="0.31496062992125984" footer="0.31496062992125984"/>
      <pageSetup paperSize="8" scale="22" fitToHeight="0" orientation="landscape" horizontalDpi="4294967294" verticalDpi="4294967294" r:id="rId23"/>
      <headerFooter>
        <oddHeader>&amp;CLISTA PROIECTELOR CONTRACTATE - PROGRAMUL OPERATIONAl CAPACITATE ADMINISTRATIVĂ</oddHeader>
        <oddFooter>Page &amp;P of &amp;N</oddFooter>
      </headerFooter>
      <autoFilter ref="A6:AL467" xr:uid="{00000000-0000-0000-0000-000000000000}"/>
    </customSheetView>
    <customSheetView guid="{A87F3E0E-3A8E-4B82-8170-33752259B7DB}" scale="80" showPageBreaks="1" fitToPage="1" printArea="1" showAutoFilter="1">
      <pane xSplit="5" ySplit="2" topLeftCell="F3" activePane="bottomRight" state="frozen"/>
      <selection pane="bottomRight" activeCell="AK467" sqref="AK467:AK468"/>
      <pageMargins left="0.70866141732283472" right="0.70866141732283472" top="0.74803149606299213" bottom="0.74803149606299213" header="0.31496062992125984" footer="0.31496062992125984"/>
      <pageSetup paperSize="8" scale="15" fitToHeight="0" orientation="portrait" horizontalDpi="4294967294" verticalDpi="4294967294" r:id="rId24"/>
      <headerFooter>
        <oddHeader>&amp;CLISTA PROIECTELOR CONTRACTATE - PROGRAMUL OPERATIONAl CAPACITATE ADMINISTRATIVĂ</oddHeader>
        <oddFooter>Page &amp;P of &amp;N</oddFooter>
      </headerFooter>
      <autoFilter ref="A6:AL467" xr:uid="{00000000-0000-0000-0000-000000000000}"/>
    </customSheetView>
    <customSheetView guid="{36624B2D-80F9-4F79-AC4A-B3547C36F23F}" scale="70" showPageBreaks="1" fitToPage="1" printArea="1" showAutoFilter="1">
      <selection activeCell="B1" sqref="B1:B3"/>
      <pageMargins left="0.70866141732283472" right="0.70866141732283472" top="0.74803149606299213" bottom="0.74803149606299213" header="0.31496062992125984" footer="0.31496062992125984"/>
      <pageSetup paperSize="8" scale="22" fitToHeight="0" orientation="landscape" horizontalDpi="4294967294" verticalDpi="4294967294" r:id="rId25"/>
      <headerFooter>
        <oddHeader>&amp;CLISTA PROIECTELOR CONTRACTATE - PROGRAMUL OPERATIONAl CAPACITATE ADMINISTRATIVĂ</oddHeader>
        <oddFooter>Page &amp;P of &amp;N</oddFooter>
      </headerFooter>
      <autoFilter ref="A1:AL436"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s>
  <mergeCells count="30">
    <mergeCell ref="AJ1:AK1"/>
    <mergeCell ref="AJ2:AJ3"/>
    <mergeCell ref="AK2:AK3"/>
    <mergeCell ref="AB2:AB3"/>
    <mergeCell ref="AG1:AG3"/>
    <mergeCell ref="AH1:AH3"/>
    <mergeCell ref="AI1:AI3"/>
    <mergeCell ref="AF2:AF3"/>
    <mergeCell ref="AE1:AE3"/>
    <mergeCell ref="Y2:Y3"/>
    <mergeCell ref="P1:P3"/>
    <mergeCell ref="Q1:Q3"/>
    <mergeCell ref="R1:R3"/>
    <mergeCell ref="S1:AB1"/>
    <mergeCell ref="S2:X2"/>
    <mergeCell ref="A1:A3"/>
    <mergeCell ref="G1:G3"/>
    <mergeCell ref="H1:H3"/>
    <mergeCell ref="N1:N3"/>
    <mergeCell ref="O1:O3"/>
    <mergeCell ref="C1:C3"/>
    <mergeCell ref="D1:D3"/>
    <mergeCell ref="F1:F3"/>
    <mergeCell ref="E1:E3"/>
    <mergeCell ref="J1:J3"/>
    <mergeCell ref="K1:K3"/>
    <mergeCell ref="L1:L3"/>
    <mergeCell ref="M1:M3"/>
    <mergeCell ref="I1:I3"/>
    <mergeCell ref="B1:B3"/>
  </mergeCells>
  <phoneticPr fontId="60" type="noConversion"/>
  <pageMargins left="0.70866141732283472" right="0.70866141732283472" top="0.74803149606299213" bottom="0.74803149606299213" header="0.31496062992125984" footer="0.31496062992125984"/>
  <pageSetup paperSize="8" scale="22" fitToHeight="0" orientation="landscape" horizontalDpi="4294967294" verticalDpi="4294967294" r:id="rId26"/>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Sheet1!_Hlk1048507</vt:lpstr>
      <vt:lpstr>Sheet1!_Hlk516490095</vt:lpstr>
      <vt:lpstr>Sheet1!_Hlk526934001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elisabeta.trifan</dc:creator>
  <cp:lastModifiedBy>mircea.pavel</cp:lastModifiedBy>
  <dcterms:created xsi:type="dcterms:W3CDTF">2019-05-03T10:06:35Z</dcterms:created>
  <dcterms:modified xsi:type="dcterms:W3CDTF">2019-07-05T07:44:24Z</dcterms:modified>
</cp:coreProperties>
</file>