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Claudia\2019\Lista contracte\2014 - 2020\2022\3. martie\eu\"/>
    </mc:Choice>
  </mc:AlternateContent>
  <xr:revisionPtr revIDLastSave="0" documentId="13_ncr:1_{D3E3102C-7387-4126-9517-4740E9BD87F6}" xr6:coauthVersionLast="47" xr6:coauthVersionMax="47" xr10:uidLastSave="{00000000-0000-0000-0000-000000000000}"/>
  <bookViews>
    <workbookView showSheetTabs="0" xWindow="-120" yWindow="-120" windowWidth="29040" windowHeight="15840" tabRatio="601" xr2:uid="{00000000-000D-0000-FFFF-FFFF00000000}"/>
  </bookViews>
  <sheets>
    <sheet name="Sheet1" sheetId="1" r:id="rId1"/>
  </sheets>
  <externalReferences>
    <externalReference r:id="rId2"/>
  </externalReferences>
  <definedNames>
    <definedName name="_xlnm._FilterDatabase" localSheetId="0" hidden="1">Sheet1!$A$16:$CQ$30</definedName>
    <definedName name="_xlnm.Print_Area" localSheetId="0">Sheet1!$D:$Y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313" i="1" l="1"/>
  <c r="Q313" i="1"/>
  <c r="R313" i="1"/>
  <c r="S313" i="1"/>
  <c r="T313" i="1"/>
  <c r="A312" i="1"/>
  <c r="W10" i="1"/>
  <c r="X260" i="1"/>
  <c r="X265" i="1"/>
  <c r="X230" i="1" l="1"/>
  <c r="Y299" i="1"/>
  <c r="X299" i="1"/>
  <c r="Y290" i="1"/>
  <c r="X290" i="1"/>
  <c r="Y288" i="1"/>
  <c r="X288" i="1"/>
  <c r="Y287" i="1"/>
  <c r="X287" i="1"/>
  <c r="X282" i="1"/>
  <c r="X276" i="1"/>
  <c r="X269" i="1"/>
  <c r="X271" i="1"/>
  <c r="X248" i="1"/>
  <c r="X246" i="1"/>
  <c r="X55" i="1"/>
  <c r="X181" i="1"/>
  <c r="X210" i="1"/>
  <c r="X209" i="1"/>
  <c r="Y207" i="1"/>
  <c r="X207" i="1"/>
  <c r="X208" i="1"/>
  <c r="X268" i="1"/>
  <c r="Y308" i="1"/>
  <c r="X308" i="1"/>
  <c r="Y304" i="1"/>
  <c r="X304" i="1"/>
  <c r="Y303" i="1"/>
  <c r="X303" i="1"/>
  <c r="Y309" i="1"/>
  <c r="X309" i="1"/>
  <c r="Y307" i="1"/>
  <c r="X307" i="1"/>
  <c r="Y298" i="1"/>
  <c r="X298" i="1"/>
  <c r="Y294" i="1"/>
  <c r="X294" i="1"/>
  <c r="X293" i="1"/>
  <c r="X285" i="1"/>
  <c r="X270" i="1"/>
  <c r="X251" i="1"/>
  <c r="Y236" i="1"/>
  <c r="X236" i="1"/>
  <c r="X262" i="1" l="1"/>
  <c r="X264" i="1"/>
  <c r="X261" i="1"/>
  <c r="X218" i="1"/>
  <c r="X306" i="1" l="1"/>
  <c r="X280" i="1" l="1"/>
  <c r="X231" i="1"/>
  <c r="Y292" i="1"/>
  <c r="X292" i="1"/>
  <c r="Y289" i="1"/>
  <c r="X289" i="1"/>
  <c r="X283" i="1"/>
  <c r="X274" i="1"/>
  <c r="X277" i="1"/>
  <c r="X194" i="1"/>
  <c r="Y305" i="1"/>
  <c r="X305" i="1"/>
  <c r="Y306" i="1"/>
  <c r="Y300" i="1"/>
  <c r="X300" i="1"/>
  <c r="Y295" i="1"/>
  <c r="X295" i="1"/>
  <c r="Y293" i="1"/>
  <c r="X272" i="1"/>
  <c r="X250" i="1"/>
  <c r="X273" i="1" l="1"/>
  <c r="X249" i="1"/>
  <c r="X232" i="1"/>
  <c r="X211" i="1"/>
  <c r="X180" i="1"/>
  <c r="Y199" i="1"/>
  <c r="X199" i="1"/>
  <c r="X201" i="1"/>
  <c r="X192" i="1"/>
  <c r="Y301" i="1"/>
  <c r="X301" i="1"/>
  <c r="Y291" i="1" l="1"/>
  <c r="X291" i="1"/>
  <c r="X255" i="1"/>
  <c r="X220" i="1"/>
  <c r="Y296" i="1"/>
  <c r="X296" i="1"/>
  <c r="Y186" i="1" l="1"/>
  <c r="X186" i="1"/>
  <c r="X243" i="1" l="1"/>
  <c r="U309" i="1" l="1"/>
  <c r="U310" i="1" l="1"/>
  <c r="U311" i="1"/>
  <c r="X242" i="1" l="1"/>
  <c r="Y272" i="1"/>
  <c r="U307" i="1" l="1"/>
  <c r="U308" i="1"/>
  <c r="X182" i="1" l="1"/>
  <c r="X257" i="1"/>
  <c r="X229" i="1"/>
  <c r="U306" i="1" l="1"/>
  <c r="X286" i="1" l="1"/>
  <c r="X191" i="1"/>
  <c r="X203" i="1"/>
  <c r="U303" i="1" l="1"/>
  <c r="U304" i="1"/>
  <c r="U305" i="1"/>
  <c r="X284" i="1" l="1"/>
  <c r="U301" i="1" l="1"/>
  <c r="U302" i="1"/>
  <c r="X198" i="1" l="1"/>
  <c r="X202" i="1"/>
  <c r="X275" i="1" l="1"/>
  <c r="X226" i="1" l="1"/>
  <c r="X235" i="1"/>
  <c r="X266" i="1"/>
  <c r="X183" i="1"/>
  <c r="Y221" i="1" l="1"/>
  <c r="X221" i="1"/>
  <c r="X233" i="1"/>
  <c r="X228" i="1" l="1"/>
  <c r="U300" i="1" l="1"/>
  <c r="P261" i="1"/>
  <c r="P267" i="1"/>
  <c r="X219" i="1" l="1"/>
  <c r="U299" i="1" l="1"/>
  <c r="U297" i="1"/>
  <c r="U298" i="1"/>
  <c r="X227" i="1" l="1"/>
  <c r="P209" i="1" l="1"/>
  <c r="U296" i="1"/>
  <c r="U295" i="1"/>
  <c r="U294" i="1"/>
  <c r="U293" i="1"/>
  <c r="U292" i="1" l="1"/>
  <c r="X179" i="1" l="1"/>
  <c r="U158" i="1" l="1"/>
  <c r="U291" i="1" l="1"/>
  <c r="X225" i="1" l="1"/>
  <c r="X239" i="1"/>
  <c r="T227" i="1" l="1"/>
  <c r="R227" i="1"/>
  <c r="P227" i="1"/>
  <c r="P238" i="1" l="1"/>
  <c r="R224" i="1"/>
  <c r="P224" i="1"/>
  <c r="R51" i="1"/>
  <c r="P51" i="1"/>
  <c r="R54" i="1"/>
  <c r="P54" i="1"/>
  <c r="R182" i="1"/>
  <c r="P182" i="1"/>
  <c r="P233" i="1"/>
  <c r="U290" i="1" l="1"/>
  <c r="R258" i="1" l="1"/>
  <c r="P258" i="1"/>
  <c r="R190" i="1"/>
  <c r="P190" i="1"/>
  <c r="U289" i="1" l="1"/>
  <c r="U242" i="1" l="1"/>
  <c r="Q159" i="1"/>
  <c r="R159" i="1"/>
  <c r="S159" i="1"/>
  <c r="T159" i="1"/>
  <c r="U159" i="1"/>
  <c r="X159" i="1"/>
  <c r="Y159" i="1"/>
  <c r="P159" i="1"/>
  <c r="U241" i="1" l="1"/>
  <c r="U244" i="1"/>
  <c r="R201" i="1"/>
  <c r="P201" i="1"/>
  <c r="U277" i="1"/>
  <c r="P210" i="1"/>
  <c r="U210" i="1" s="1"/>
  <c r="U288" i="1"/>
  <c r="U287" i="1"/>
  <c r="U286" i="1"/>
  <c r="U285" i="1"/>
  <c r="U201" i="1" l="1"/>
  <c r="U199" i="1"/>
  <c r="U221" i="1"/>
  <c r="X258" i="1"/>
  <c r="X256" i="1"/>
  <c r="Y161" i="1"/>
  <c r="Y163" i="1" s="1"/>
  <c r="X161" i="1"/>
  <c r="X163" i="1" s="1"/>
  <c r="X24" i="1"/>
  <c r="X25" i="1" s="1"/>
  <c r="X187" i="1"/>
  <c r="X188" i="1"/>
  <c r="X189" i="1"/>
  <c r="X215" i="1"/>
  <c r="X216" i="1"/>
  <c r="X224" i="1"/>
  <c r="X238" i="1"/>
  <c r="X240" i="1"/>
  <c r="X241" i="1"/>
  <c r="X244" i="1"/>
  <c r="X245" i="1"/>
  <c r="X247" i="1"/>
  <c r="X252" i="1"/>
  <c r="X253" i="1"/>
  <c r="X22" i="1"/>
  <c r="X18" i="1"/>
  <c r="X19" i="1" s="1"/>
  <c r="X30" i="1"/>
  <c r="X32" i="1" s="1"/>
  <c r="X36" i="1"/>
  <c r="X40" i="1"/>
  <c r="X44" i="1"/>
  <c r="X48" i="1"/>
  <c r="X51" i="1"/>
  <c r="X54" i="1"/>
  <c r="X81" i="1"/>
  <c r="X84" i="1"/>
  <c r="X87" i="1"/>
  <c r="X91" i="1"/>
  <c r="X78" i="1"/>
  <c r="X95" i="1"/>
  <c r="X108" i="1"/>
  <c r="X113" i="1"/>
  <c r="X127" i="1"/>
  <c r="X128" i="1" s="1"/>
  <c r="X148" i="1"/>
  <c r="X168" i="1"/>
  <c r="U180" i="1"/>
  <c r="P184" i="1"/>
  <c r="P188" i="1"/>
  <c r="U192" i="1"/>
  <c r="P202" i="1"/>
  <c r="U202" i="1" s="1"/>
  <c r="P203" i="1"/>
  <c r="U203" i="1" s="1"/>
  <c r="P215" i="1"/>
  <c r="P236" i="1"/>
  <c r="P237" i="1"/>
  <c r="P239" i="1"/>
  <c r="P240" i="1"/>
  <c r="U240" i="1" s="1"/>
  <c r="P247" i="1"/>
  <c r="P252" i="1"/>
  <c r="P253" i="1"/>
  <c r="P256" i="1"/>
  <c r="U261" i="1"/>
  <c r="R256" i="1"/>
  <c r="U283" i="1"/>
  <c r="U284" i="1"/>
  <c r="Y238" i="1"/>
  <c r="Y244" i="1"/>
  <c r="Y241" i="1"/>
  <c r="U282" i="1"/>
  <c r="U54" i="1"/>
  <c r="T239" i="1"/>
  <c r="R239" i="1"/>
  <c r="P56" i="1"/>
  <c r="U281" i="1"/>
  <c r="U280" i="1"/>
  <c r="N280" i="1"/>
  <c r="N281" i="1" s="1"/>
  <c r="N282" i="1" s="1"/>
  <c r="N283" i="1" s="1"/>
  <c r="N284" i="1" s="1"/>
  <c r="R188" i="1"/>
  <c r="R237" i="1"/>
  <c r="Q252" i="1"/>
  <c r="Q253" i="1"/>
  <c r="Q247" i="1"/>
  <c r="S236" i="1"/>
  <c r="S312" i="1" s="1"/>
  <c r="Q236" i="1"/>
  <c r="U279" i="1"/>
  <c r="Y253" i="1"/>
  <c r="Y252" i="1"/>
  <c r="V278" i="1"/>
  <c r="U278" i="1"/>
  <c r="Y240" i="1"/>
  <c r="Y247" i="1"/>
  <c r="Y24" i="1"/>
  <c r="Y25" i="1" s="1"/>
  <c r="R215" i="1"/>
  <c r="T246" i="1"/>
  <c r="U276" i="1"/>
  <c r="Q56" i="1"/>
  <c r="R56" i="1"/>
  <c r="S56" i="1"/>
  <c r="T56" i="1"/>
  <c r="Y56" i="1"/>
  <c r="Q25" i="1"/>
  <c r="R25" i="1"/>
  <c r="S25" i="1"/>
  <c r="T25" i="1"/>
  <c r="P25" i="1"/>
  <c r="Q19" i="1"/>
  <c r="R19" i="1"/>
  <c r="S19" i="1"/>
  <c r="T19" i="1"/>
  <c r="P19" i="1"/>
  <c r="U275" i="1"/>
  <c r="U274" i="1"/>
  <c r="U273" i="1"/>
  <c r="U272" i="1"/>
  <c r="U271" i="1"/>
  <c r="O271" i="1"/>
  <c r="O272" i="1" s="1"/>
  <c r="O275" i="1"/>
  <c r="O276" i="1" s="1"/>
  <c r="U270" i="1"/>
  <c r="U269" i="1"/>
  <c r="O269" i="1"/>
  <c r="V267" i="1"/>
  <c r="V268" i="1" s="1"/>
  <c r="V269" i="1" s="1"/>
  <c r="U267" i="1"/>
  <c r="U266" i="1"/>
  <c r="U265" i="1"/>
  <c r="U264" i="1"/>
  <c r="U263" i="1"/>
  <c r="Y18" i="1"/>
  <c r="Y19" i="1" s="1"/>
  <c r="Y30" i="1"/>
  <c r="Y32" i="1" s="1"/>
  <c r="Y127" i="1"/>
  <c r="Y128" i="1" s="1"/>
  <c r="U260" i="1"/>
  <c r="U262" i="1"/>
  <c r="U259" i="1"/>
  <c r="U258" i="1"/>
  <c r="U257" i="1"/>
  <c r="U255" i="1"/>
  <c r="U254" i="1"/>
  <c r="U251" i="1"/>
  <c r="Y22" i="1"/>
  <c r="U249" i="1"/>
  <c r="U250" i="1"/>
  <c r="U243" i="1"/>
  <c r="U238" i="1"/>
  <c r="U235" i="1"/>
  <c r="U234" i="1"/>
  <c r="U233" i="1"/>
  <c r="U232" i="1"/>
  <c r="U231" i="1"/>
  <c r="U230" i="1"/>
  <c r="U229" i="1"/>
  <c r="U228" i="1"/>
  <c r="U227" i="1"/>
  <c r="U185" i="1"/>
  <c r="U55" i="1"/>
  <c r="U183" i="1"/>
  <c r="U28" i="1"/>
  <c r="Y84" i="1"/>
  <c r="Q84" i="1"/>
  <c r="R84" i="1"/>
  <c r="S84" i="1"/>
  <c r="T84" i="1"/>
  <c r="U84" i="1"/>
  <c r="P84" i="1"/>
  <c r="Q128" i="1"/>
  <c r="R128" i="1"/>
  <c r="S128" i="1"/>
  <c r="T128" i="1"/>
  <c r="Q163" i="1"/>
  <c r="R163" i="1"/>
  <c r="S163" i="1"/>
  <c r="T163" i="1"/>
  <c r="Y78" i="1"/>
  <c r="Q78" i="1"/>
  <c r="R78" i="1"/>
  <c r="S78" i="1"/>
  <c r="T78" i="1"/>
  <c r="U22" i="1"/>
  <c r="U223" i="1"/>
  <c r="U224" i="1"/>
  <c r="U225" i="1"/>
  <c r="U226" i="1"/>
  <c r="U220" i="1"/>
  <c r="U222" i="1"/>
  <c r="U217" i="1"/>
  <c r="U218" i="1"/>
  <c r="U219" i="1"/>
  <c r="U214" i="1"/>
  <c r="U216" i="1"/>
  <c r="U211" i="1"/>
  <c r="U212" i="1"/>
  <c r="U213" i="1"/>
  <c r="U209" i="1"/>
  <c r="U207" i="1"/>
  <c r="U208" i="1"/>
  <c r="U204" i="1"/>
  <c r="U205" i="1"/>
  <c r="U206" i="1"/>
  <c r="U200" i="1"/>
  <c r="U197" i="1"/>
  <c r="U198" i="1"/>
  <c r="U195" i="1"/>
  <c r="U196" i="1"/>
  <c r="U193" i="1"/>
  <c r="U194" i="1"/>
  <c r="U190" i="1"/>
  <c r="U191" i="1"/>
  <c r="U189" i="1"/>
  <c r="U187" i="1"/>
  <c r="U186" i="1"/>
  <c r="U161" i="1"/>
  <c r="U163" i="1" s="1"/>
  <c r="U127" i="1"/>
  <c r="U128" i="1" s="1"/>
  <c r="U77" i="1"/>
  <c r="U78" i="1" s="1"/>
  <c r="U182" i="1"/>
  <c r="U53" i="1"/>
  <c r="U52" i="1"/>
  <c r="U50" i="1"/>
  <c r="U46" i="1"/>
  <c r="U48" i="1" s="1"/>
  <c r="U30" i="1"/>
  <c r="U32" i="1" s="1"/>
  <c r="U24" i="1"/>
  <c r="U25" i="1" s="1"/>
  <c r="U179" i="1"/>
  <c r="U18" i="1"/>
  <c r="U19" i="1" s="1"/>
  <c r="P32" i="1"/>
  <c r="P22" i="1"/>
  <c r="P128" i="1"/>
  <c r="P163" i="1"/>
  <c r="P78" i="1"/>
  <c r="Y113" i="1"/>
  <c r="Q113" i="1"/>
  <c r="R113" i="1"/>
  <c r="S113" i="1"/>
  <c r="T113" i="1"/>
  <c r="U113" i="1"/>
  <c r="P113" i="1"/>
  <c r="Y108" i="1"/>
  <c r="Q108" i="1"/>
  <c r="R108" i="1"/>
  <c r="S108" i="1"/>
  <c r="T108" i="1"/>
  <c r="U108" i="1"/>
  <c r="P108" i="1"/>
  <c r="Y40" i="1"/>
  <c r="Q40" i="1"/>
  <c r="R40" i="1"/>
  <c r="S40" i="1"/>
  <c r="T40" i="1"/>
  <c r="U40" i="1"/>
  <c r="P40" i="1"/>
  <c r="Y168" i="1"/>
  <c r="Q168" i="1"/>
  <c r="R168" i="1"/>
  <c r="S168" i="1"/>
  <c r="T168" i="1"/>
  <c r="U168" i="1"/>
  <c r="P168" i="1"/>
  <c r="Y148" i="1"/>
  <c r="Q148" i="1"/>
  <c r="R148" i="1"/>
  <c r="S148" i="1"/>
  <c r="T148" i="1"/>
  <c r="U148" i="1"/>
  <c r="P148" i="1"/>
  <c r="Y95" i="1"/>
  <c r="Q95" i="1"/>
  <c r="R95" i="1"/>
  <c r="S95" i="1"/>
  <c r="T95" i="1"/>
  <c r="U95" i="1"/>
  <c r="P95" i="1"/>
  <c r="Y91" i="1"/>
  <c r="Q91" i="1"/>
  <c r="R91" i="1"/>
  <c r="S91" i="1"/>
  <c r="T91" i="1"/>
  <c r="U91" i="1"/>
  <c r="P91" i="1"/>
  <c r="Y87" i="1"/>
  <c r="Q87" i="1"/>
  <c r="R87" i="1"/>
  <c r="S87" i="1"/>
  <c r="T87" i="1"/>
  <c r="U87" i="1"/>
  <c r="P87" i="1"/>
  <c r="Y81" i="1"/>
  <c r="U81" i="1"/>
  <c r="T81" i="1"/>
  <c r="S81" i="1"/>
  <c r="R81" i="1"/>
  <c r="Q81" i="1"/>
  <c r="P81" i="1"/>
  <c r="Y48" i="1"/>
  <c r="T48" i="1"/>
  <c r="S48" i="1"/>
  <c r="R48" i="1"/>
  <c r="Q48" i="1"/>
  <c r="P48" i="1"/>
  <c r="Y44" i="1"/>
  <c r="U44" i="1"/>
  <c r="T44" i="1"/>
  <c r="S44" i="1"/>
  <c r="R44" i="1"/>
  <c r="Q44" i="1"/>
  <c r="P44" i="1"/>
  <c r="Y36" i="1"/>
  <c r="U36" i="1"/>
  <c r="T36" i="1"/>
  <c r="S36" i="1"/>
  <c r="R36" i="1"/>
  <c r="Q36" i="1"/>
  <c r="P36" i="1"/>
  <c r="T32" i="1"/>
  <c r="S32" i="1"/>
  <c r="R32" i="1"/>
  <c r="Q32" i="1"/>
  <c r="T22" i="1"/>
  <c r="S22" i="1"/>
  <c r="R22" i="1"/>
  <c r="Q22" i="1"/>
  <c r="V181" i="1"/>
  <c r="V209" i="1"/>
  <c r="N46" i="1"/>
  <c r="U181" i="1"/>
  <c r="U247" i="1" l="1"/>
  <c r="T312" i="1"/>
  <c r="R312" i="1"/>
  <c r="U236" i="1"/>
  <c r="Q312" i="1"/>
  <c r="X312" i="1"/>
  <c r="P312" i="1"/>
  <c r="P313" i="1" s="1"/>
  <c r="Y312" i="1"/>
  <c r="Y313" i="1" s="1"/>
  <c r="U256" i="1"/>
  <c r="U184" i="1"/>
  <c r="U253" i="1"/>
  <c r="U245" i="1"/>
  <c r="U237" i="1"/>
  <c r="U246" i="1"/>
  <c r="X56" i="1"/>
  <c r="U248" i="1"/>
  <c r="U239" i="1"/>
  <c r="U252" i="1"/>
  <c r="U188" i="1"/>
  <c r="U215" i="1"/>
  <c r="U268" i="1"/>
  <c r="U51" i="1"/>
  <c r="U56" i="1" s="1"/>
  <c r="V210" i="1"/>
  <c r="X313" i="1" l="1"/>
  <c r="U312" i="1"/>
  <c r="V2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Elena Hodina</author>
  </authors>
  <commentList>
    <comment ref="X188" authorId="0" shapeId="0" xr:uid="{00000000-0006-0000-0000-000001000000}">
      <text>
        <r>
          <rPr>
            <b/>
            <sz val="9"/>
            <color indexed="81"/>
            <rFont val="Tahoma"/>
            <family val="2"/>
            <charset val="238"/>
          </rPr>
          <t>Cristina Elena Hodina:</t>
        </r>
        <r>
          <rPr>
            <sz val="9"/>
            <color indexed="81"/>
            <rFont val="Tahoma"/>
            <family val="2"/>
            <charset val="238"/>
          </rPr>
          <t xml:space="preserve">
exclusiv suma de 1.067,16 lei recuperată</t>
        </r>
      </text>
    </comment>
  </commentList>
</comments>
</file>

<file path=xl/sharedStrings.xml><?xml version="1.0" encoding="utf-8"?>
<sst xmlns="http://schemas.openxmlformats.org/spreadsheetml/2006/main" count="1859" uniqueCount="831">
  <si>
    <t>Nr. crt.</t>
  </si>
  <si>
    <t>Titlu proiect</t>
  </si>
  <si>
    <t xml:space="preserve">Regiune </t>
  </si>
  <si>
    <t>Localitate</t>
  </si>
  <si>
    <t>Tip beneficiar</t>
  </si>
  <si>
    <t>Total valoare proiect</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</si>
  <si>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</si>
  <si>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</si>
  <si>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</si>
  <si>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</si>
  <si>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</si>
  <si>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</si>
  <si>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</si>
  <si>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</si>
  <si>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</si>
  <si>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</si>
  <si>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</si>
  <si>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</si>
  <si>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</si>
  <si>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</si>
  <si>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</si>
  <si>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</si>
  <si>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</si>
  <si>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</si>
  <si>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JUDEŢUL ALBA</t>
  </si>
  <si>
    <t>JUDEŢUL ARAD</t>
  </si>
  <si>
    <t>JUDEŢUL VRANCEA</t>
  </si>
  <si>
    <t>TOTAL ALBA</t>
  </si>
  <si>
    <t>TOTAL ARAD</t>
  </si>
  <si>
    <t>TOTAL VRANCEA</t>
  </si>
  <si>
    <t>PROIECTE CU ACOPERIRE NAŢIONALĂ (DACĂ ESTE CAZUL)</t>
  </si>
  <si>
    <t>JUDEŢUL ARGEȘ</t>
  </si>
  <si>
    <t>JUDEŢUL BACĂU</t>
  </si>
  <si>
    <t>JUDEŢUL BIHOR</t>
  </si>
  <si>
    <t>JUDEŢUL BISTRIȚA-NĂSĂUD</t>
  </si>
  <si>
    <t>JUDEŢUL BOTOȘANI</t>
  </si>
  <si>
    <t>JUDEŢUL BRAȘOV</t>
  </si>
  <si>
    <t>JUDEŢUL BRĂILA</t>
  </si>
  <si>
    <t>JUDEŢUL BUCUREȘTI</t>
  </si>
  <si>
    <t>JUDEŢUL BUZĂU</t>
  </si>
  <si>
    <t>JUDEŢUL CARAȘ-SEVERIN</t>
  </si>
  <si>
    <t>JUDEŢUL CLUJ</t>
  </si>
  <si>
    <t>JUDEŢUL CONSTANȚA</t>
  </si>
  <si>
    <t>JUDEŢUL COVASNA</t>
  </si>
  <si>
    <t>JUDEŢUL CĂLĂRAȘI</t>
  </si>
  <si>
    <t>JUDEŢUL DOLJ</t>
  </si>
  <si>
    <t>JUDEŢUL DÂMBOVIȚA</t>
  </si>
  <si>
    <t>JUDEŢUL GALAȚI</t>
  </si>
  <si>
    <t>JUDEŢUL GIURGIU</t>
  </si>
  <si>
    <t>JUDEŢUL GORJ</t>
  </si>
  <si>
    <t>JUDEŢUL HARGHITA</t>
  </si>
  <si>
    <t>JUDEŢUL HUNEDOARA</t>
  </si>
  <si>
    <t>JUDEŢUL IALOMIȚA</t>
  </si>
  <si>
    <t>JUDEŢUL IAȘI</t>
  </si>
  <si>
    <t>JUDEŢUL ILFOV</t>
  </si>
  <si>
    <t>JUDEŢUL MARAMUREȘ</t>
  </si>
  <si>
    <t>JUDEŢUL MEHEDINȚI</t>
  </si>
  <si>
    <t>JUDEŢUL MUREȘ</t>
  </si>
  <si>
    <t>JUDEŢUL NEAMȚ</t>
  </si>
  <si>
    <t>JUDEŢUL OLT</t>
  </si>
  <si>
    <t>JUDEŢUL PRAHOVA</t>
  </si>
  <si>
    <t>JUDEŢUL SATU MARE</t>
  </si>
  <si>
    <t>JUDEŢUL SIBIU</t>
  </si>
  <si>
    <t>JUDEŢUL SUCEAVA</t>
  </si>
  <si>
    <t>JUDEŢUL SĂLAJ</t>
  </si>
  <si>
    <t>JUDEŢUL TELEORMAN</t>
  </si>
  <si>
    <t>JUDEŢUL TIMIȘ</t>
  </si>
  <si>
    <t>JUDEŢUL TULCEA</t>
  </si>
  <si>
    <t>JUDEŢUL VASLUI</t>
  </si>
  <si>
    <t>JUDEŢUL VÂLCEA</t>
  </si>
  <si>
    <t>TOTAL VÂLCEA</t>
  </si>
  <si>
    <t>TOTAL ARGEȘ</t>
  </si>
  <si>
    <t>TOTAL BACĂU</t>
  </si>
  <si>
    <t>TOTAL BIHOR</t>
  </si>
  <si>
    <t>TOTAL BISTRIȚA-NĂSĂUD</t>
  </si>
  <si>
    <t>TOTAL BOTOȘANI</t>
  </si>
  <si>
    <t>TOTAL BRAȘOV</t>
  </si>
  <si>
    <t>TOTAL BRĂILA</t>
  </si>
  <si>
    <t>TOTAL BUCUREȘTI</t>
  </si>
  <si>
    <t>TOTAL BUZĂU</t>
  </si>
  <si>
    <t>TOTAL CARAȘ-SEVERIN</t>
  </si>
  <si>
    <t>TOTAL  CLUJ</t>
  </si>
  <si>
    <t>TOTAL CONSTANȚA</t>
  </si>
  <si>
    <t>TOTAL COVASNA</t>
  </si>
  <si>
    <t>TOTAL CĂLĂRAȘI</t>
  </si>
  <si>
    <t>TOTAL DOLJ</t>
  </si>
  <si>
    <t>TOTAL DÂMBOVIȚA</t>
  </si>
  <si>
    <t>TOTAL GALAȚI</t>
  </si>
  <si>
    <t>TOTAL GIURGIU</t>
  </si>
  <si>
    <t>TOTAL GORJ</t>
  </si>
  <si>
    <t>TOTAL HARGHITA</t>
  </si>
  <si>
    <t>TOTAL HUNEDOARA</t>
  </si>
  <si>
    <t>TOTAL IALOMIȚA</t>
  </si>
  <si>
    <t>TOTAL IAȘI</t>
  </si>
  <si>
    <t>TOTAL ILFOV</t>
  </si>
  <si>
    <t>TOTAL MARAMUREȘ</t>
  </si>
  <si>
    <t>TOTAL MEHEDINȚI</t>
  </si>
  <si>
    <t>TOTAL MUREȘ</t>
  </si>
  <si>
    <t>TOTAL NEAMȚ</t>
  </si>
  <si>
    <t>TOTAL OLT</t>
  </si>
  <si>
    <t>TOTAL PRAHOVA</t>
  </si>
  <si>
    <t>TOTAL SATU MARE</t>
  </si>
  <si>
    <t>TOTAL SIBIU</t>
  </si>
  <si>
    <t>TOTAL SUCEAVA</t>
  </si>
  <si>
    <t>TOTAL SĂLAJ</t>
  </si>
  <si>
    <t>TOTAL TELEORMAN</t>
  </si>
  <si>
    <t>TOTAL TIMIȘ</t>
  </si>
  <si>
    <t>TOTAL TULCEA</t>
  </si>
  <si>
    <t>TOTAL VASLUI</t>
  </si>
  <si>
    <t>Sprijin pentru identificarea, gestionarea şi implementarea proiectelor Ministerului Comunicaţiilor şi pentru Societatea Informaţională         
finanţate în cadrul axei 2 POC 2014 - 2020</t>
  </si>
  <si>
    <t>Scopul proiectului este de a asigura sprijin pentru MCSI în realizarea obiectivelor Strategiei Agenda Digitală pentru România 2020.
Obiectivul specific al proiectul constă în crearea unei echipe de profesionişti la nivelul MCSI care să asigure dezvoltarea și implementarea portofoliului de proiecte finanțat din POC 2014-2020.</t>
  </si>
  <si>
    <t>85% (RMPD) 
80% (RMD)</t>
  </si>
  <si>
    <t>autoritate publică centrală</t>
  </si>
  <si>
    <t>în implementare</t>
  </si>
  <si>
    <t>AP 1/ 1.1.1</t>
  </si>
  <si>
    <t>Instruire în ceea ce privește aplicarea legislației în domeniul ajutorului de stat pentru beneficiarii FESI de la nivel local</t>
  </si>
  <si>
    <t>Agenția Națională a Funcționarilor Publici</t>
  </si>
  <si>
    <t>Obiectivul general al proiectului constă în dezvoltarea capacității administrației publice de a realiza implementarea și absorbția eficace și eficientă a Fondurilor ESI, sprijinind totodată, procesul de implementare şi aplicare a legislaţiei UE în domeniul ajutorului de stat. 
Proiectul va contribui la consolidarea capacității administrative de implementare şi aplicare a legislației UE în domeniul ajutorului de stat, ca urmare a instruirii unui număr de 378 de persoane din cadrul administrației publice locale, care aplică procedurile în domeniul ajutorului de stat și care sunt potențiali beneficiari/ beneficiari FESI.
Prin formarea profesională în domeniul ajutorului de stat se vor crea premisele necesare elaborării unor măsuri de sprijin la nivel local, care să fie complementare măsurilor de ajutor de stat finanțate din fonduri ESI, asigurându-se, în același timp, respectarea legislației în domeniul ajutorului de stat.</t>
  </si>
  <si>
    <t>Comunicarea fondurilor ESI in noua perioada de programare</t>
  </si>
  <si>
    <t>Obiectivul proiectului este de a sprijini diseminarea informațiilor referitoare la instrumentele structurale 2014-2020, asigurând o diseminare coordonată la nivel naţional la nivelul UE a mesajelor generale pe aceasta temă.
Rezultatele prevăzute în cadrul proiectului sunt organizarea unui eveniment de informare și schimb de experiență și bune practici în comunicarea fondurilor ESI la nivelul UE, a unui eveniment de promovare, pentru comunicatorii români, a rolului UE și al instituțiilor care coordonează implementarea fondurilor ESI în România și organizarea unor evenimente de presă.</t>
  </si>
  <si>
    <t>AP 1/1.2.1</t>
  </si>
  <si>
    <t>AP1/1.1.1</t>
  </si>
  <si>
    <t>Ministerul Afacerilor Interne</t>
  </si>
  <si>
    <t>Proiectul vizează creșterea ratei de contractare a proiectelor depuse de MAI în marja POC 2014-2020 și POIM 2014-2020 prin creșterea capacității resursei umane din MAI de a accesa și implementa proiecte finanțate din fonduri ESI prin pregătirea aplicată în domenii specifice accesării și implementării proiectelor. Prin acest proiect, MAI, în calitate de beneficiar, va pregăti 480 de persoane implicate în accesarea și gestionarea fondurilor ESI.</t>
  </si>
  <si>
    <t>AP 1/1.1.1</t>
  </si>
  <si>
    <t>Asistență tehnică pentru asigurarea funcționării mecanismului ITI din perspectiva SIDD (DD) și a structurii ADI-ITI Delta Dunării la nivel executiv și partenerial</t>
  </si>
  <si>
    <t>Asociația pentru Dezvoltare Intercomunitară – Instrumentul Teritorial Integrat Delta Dunării</t>
  </si>
  <si>
    <t>Obiectivul general al proiectului constă în asigurarea coordonării, pregătirii, actualizării, implementării și monitorizării SIDD(DD), a Planului de acțiune și a mecanismului pentru implementarea ITI Delta Dunării, în vederea îmbunătățirii calității vieții populației și susținerii unei dezvoltări și creșteri economice durabile, inteligente, favorabile incluziunii în zona Deltei Dunării.
Obiectivele specifice ale proiectului sunt:
- susținerea implementării și monitorizării SIDD(DD) într-un cadru larg partenerial pentru asigurarea dezvoltării teritoriale integrate economic şi social a zonei Deltei Dunării, prin susținerea iniţierii, promovării și derulării unor proiecte comune în interesul comunităților locale, precum și a unor proiecte individuale de dezvoltare integrată a zonei;
- susținerea beneficiarilor eligibili pentru accesarea și utilizarea corespunzătoare a fondurilor europene structurale și de investiții (FESI) alocate în cadrul Programelor Operaţionale 2014-2020 (în cadrul cărora atât administraţiile publice locale, inclusiv în parteneriat cu alți factori interesați ca şi solicitanţi ai finanţărilor nerambursabile, cât și beneficiarii din sectorul privat sunt declarați eligibili);
- promovarea mecanismului ITI și a rezultatelor implementării lui de către ADI ITI Delta Dunării, la nivel local/național și european.</t>
  </si>
  <si>
    <t>Tulcea</t>
  </si>
  <si>
    <t>Babadag, Isaccea, Măcin și Sulina</t>
  </si>
  <si>
    <t>asociație de dezvoltare intercomunitară</t>
  </si>
  <si>
    <t>Instruire orizontală pentru potențialii beneficiari și beneficiarii FESI, precum și instruire specifică pentru beneficiarii POAT</t>
  </si>
  <si>
    <t>Obiectivul  general al proiectului  este reprezentat  de consolidarea capacității beneficiarilor  implicați în gestionarea  FESI, precum și dezvoltarea capacității potențialilor beneficiari  și beneficiarilor  POAT de a implementa  proiecte și gestiona fonduri europene nerambursabile.
Obiectivele specifice sunt: 
- consolidarea capacității potențialilor beneficiari și beneficiarilor implicați în gestionarea FESI prin  formarea orizontală în domeniul  achizițiilor  publice - noul pachet legislativ/noul sistem de verificare și tematici precum: prevenirea neregulilor  și fraudei, conflictul de interese și incompatibilități;
- dezvoltarea capacității potențialilor beneficiari și beneficiarilor POAT prin  formarea  specifică în domeniul  elaborării  cererilor  de finanțare și al elaborării  cererilor  de rambursare aferente POAT.</t>
  </si>
  <si>
    <t>AP1/1.2.1</t>
  </si>
  <si>
    <t>Sprijin pentru realizarea evenimentelor din Planul de Comunicare pentru IS 2014-2020</t>
  </si>
  <si>
    <t>Obiectivele proiectului vizează organizarea evenimentelor anuale aferente FESI pentru POIM, POC și POAT, contribuind la transparența și credibilitatea fondurilor ESI și politicii de coeziune a UE, pe de-o parte, și promovarea valorilor europene, a beneficiilor integrării și a transformărilor petrecute în societatea românească după momentul aderării României la UE, pe de altă parte.</t>
  </si>
  <si>
    <t>Asigurarea de servicii de asistență tehnică din partea experților Băncii Europene de Investiții pentru gestionarea Programului Operațional Infrastructură Mare (POIM) 2014 - 2020 la nivelul beneficiarilor din sectoarele de transport, mediu și prevenirea riscurilor</t>
  </si>
  <si>
    <t xml:space="preserve">Proiectul își propune, ca obiectiv general, întărirea capacității beneficiarilor din sectoarele de transport, mediu și prevenirea riscurilor în procesul de pregătire, implementare și management al portofoliului de proiecte POIM, inclusiv sprijin în îndeplinirea condiționalităților ex-ante.
</t>
  </si>
  <si>
    <t>Campanii de Comunicare pentru promovarea fondurilor ESI 2014-2020</t>
  </si>
  <si>
    <t xml:space="preserve">Obiectivul general al proiectului este de creștere a nivelului de conștientizare a publicului larg cu privire Ia contribuția Uniunii Europene Ia dezvoltarea României prin implementarea programelor operaționale finanțate din Fondurile ESI 2014- 2020 care aduc beneficii Ia nivelul întregii societăți.
Obiectivul specific al proiectului este acela de a promova și transmite informații referitoare Ia Fondurile ESI 2014 - 2020, asigurând o diseminare coordonată Ia nivel național a mesajelor pe această temă și monitorizarea felului în care acestea sunt receptate Ia nivelul publicului larg și a mass-media.
</t>
  </si>
  <si>
    <t>Centrul Național de Informare pentru FESI 2014-2020</t>
  </si>
  <si>
    <t>Obiectivul general al proiectului este diseminarea eficientă în rândul publicului larg și a segmentelor de public țintă, la nivel național, a informațiilor referitoare la fondurile ESI, naționale și extracomunitare, la modalitățile de accesare și beneficiile acestora pentru întreaga societate, contribuind la creșterea nivelului de conștientizare cu privire la rolul și contribuția UE la co-finanțarea proiectelor (inclusiv prioritățile politice ale UE și obiectivele politicii de coeziune).</t>
  </si>
  <si>
    <t>AP 2/2.1.2</t>
  </si>
  <si>
    <t>Implementarea Planului de Evaluare a Programului Operațional Asistență Tehnică 2014-2020</t>
  </si>
  <si>
    <t>Obiectivul general al proiectului este de a facilita un management informat al POAT 2014-2020 și adoptarea deciziilor pe bază de dovezi.
Obiectivul specific al proiectului este de a implementa Planul de Evaluare a POAT 2014-2020.
Proiectul va pune la dispoziţia factorilor de decizie şi de formulare a politicilor, precum şi managerilor de programe, informaţii pertinente şi analize credibile privind:
- contribuția POAT la întărirea capacității beneficiarilor FESI/POAT, POIM și POC;
- contribuția POAT la diseminarea informațiilor privind FESI/POAT, POIM și POC;
- contribuția POAT la coordonarea și controlul FESI;
- contribuția POAT la gestionarea POAT, POIM și POC;
- contribuția POAT la funcționalitatea și eficiența sistemului informatic;
- contribuția POAT la eficiența și eficacitatea resurselor umane din sistemul FESI.</t>
  </si>
  <si>
    <t>AP 2/2.1.1</t>
  </si>
  <si>
    <t>Sprijin pentru evaluarea proiectelor primite în cadrul Axei prioritare 2 POC 2014-2020 (TIC)</t>
  </si>
  <si>
    <t>Ministerul Comunicațiilor și Societății Informaționale prin Organismul Intermediar pentru Promovarea Societății Informaționale</t>
  </si>
  <si>
    <t>Obiectivul  proiectului  constă  în  asigurarea  expertizei  în  domeniul  evaluării  proiectelor depuse în perioada 2015 -2018 -Axa prioritară2 POC 2014 -2020 (TIC).</t>
  </si>
  <si>
    <t>Audit tehnic al lucrărilor aferente obiectului de investiții „Reabilitarea secțiunilor de cale ferată București Nord-București Băneasa și Fetești-Constanța”</t>
  </si>
  <si>
    <t>Obiectivul specific vizează asigurarea de expertiză pentru AM POS Transport 2007-2013, necesară realizării unui audit tehnic în scopul creșterii ratei de absorbție a fondurilor nerambursabile alocate POS T 2007-2013, prin confirmarea îndeplinirii condițiilor de eligibilitate pentru rambursarea din bugetul POS T 2007-2013 a cheltuielilor aferente obiectivului de investiții “Reabilitarea secțiunilor de cale ferată București Nord – București Băneasa și Fetești – Constanța”.
Rezultatul anticipat al proiectului este un raport de audit tehnic al lucrărilor aferente obiectivului de investiţii “Reabilitarea secţiunilor de cale ferată Bucureşti Nord – Bucureşti Băneasa şi Feteşti – Constanţa”.</t>
  </si>
  <si>
    <t>Implementarea Planului de Evaluare a Programului Operațional Competitivitate 2014-2020</t>
  </si>
  <si>
    <t>Obiectivul general al proiectului este de a facilita un management informat al POC 2014-2020 și adoptarea deciziilor pe bază de dovezi.
Obiectivul specific al proiectului este de a implementa Planul de Evaluare a POC 2014-2020.
Proiectul va pune la dispoziţia factorilor de decizie şi de formulare a politicilor, precum şi managerilor de programe, informaţii pertinente şi analize credibile privind:
- intervenţiile POC privind capacitatea de CDI în domeniile de specializare inteligentă și în sănătate;
- intervenţiile POC legate de îmbunătăţirea participării organismelor şi întreprinderilor româneşti de cercetare la Orizont 2020;
- intervenţiile POC legate de investiţiile private în CDI;
- intervenţiile POC legate de transferul de cunoştinţe, tehnologie şi personal cu competenţe CDI între mediul public de cercetare şi cel privat;
- intervenţiile POC legate de accesul la infrastructura de comunicaţii în bandă largă de mare viteză;
- intervenţiile POC în sectorul TIC din perspectiva creşterii competitivităţii economice;
- intervenţiile POC în domeniul sistemelor de e-guvernare;
- intervenţiile POC în domeniul creşterii gradului de utilizare a Internetului.</t>
  </si>
  <si>
    <t>Sprijin din punct de vedere logistic în ceea ce privește desfășurarea activităților specifice Organismului Intermediar pentru Promovarea Societății Informaționale</t>
  </si>
  <si>
    <t>Obiectivul proiectului este de a asigura condiţiile logistice necesare OIPSI pentru implementarea Axei Prioritare 2 aferentă POC pentru închiderea POS CCE, precum şi o utilizare eficientă atât a FEDR cât şi a resurselor naţionale.</t>
  </si>
  <si>
    <t>Sprijin pentru efectuarea vizitelor la fața locului în vederea închiderii perioadei de programare 2007-2013 aferentă Axei Prioritare 4 din cadrul POS CCE</t>
  </si>
  <si>
    <t>Ministerul Energiei</t>
  </si>
  <si>
    <t>Obiectivul general al proiectului constă în asigurarea sprijinului necesar OI Energie pentru realizarea activităților de control și monitorizare proiecte POS CCE pentru închiderea perioadei de programare 2007-2013. 
Obiectivul specific al proiectului constă în eficientizarea activității OI Energie de efectuare a vizitelor obligatorii de control la fața locului pentru cererile de rambursare finale și a vizitelor de monitorizare privind îndeplinirea indicatorilor de rezultat pe perioada de durabilitate a proiectelor finanțate din Axa prioritară 4 a POS CCE.</t>
  </si>
  <si>
    <t>Asistență tehnică pentru susținerea capacității de evaluare</t>
  </si>
  <si>
    <t>Obiectivul general al proiectului este de a contribui la realizarea unei culturi comune de evaluare, la nivel orizontal în sistemul de gestionare FESI.
Obiectivul specific al proiectului este de asigura o capacitate adecvată a funcției de evaluare a Acordului de Parteneriat și programelor operaționale finanțate din FESI, precum și operaționalizarea și funcționarea rețelei de evaluare coordonată de Grupul de Lucru pentru Evaluarea Performanței.
Rezultate prevăzute ale proiectului sunt următoarele:
- seturi de date statistice și administrative verificate și pregătite pentru fiecare evaluare prevăzută în planurile de evaluare ale AP, POC, POCU, POAT și POIM;
- capacitate administrativă adecvată a Unității Centrale de Evaluare;
- nivel crescut de rigurozitate științifică a evaluărilor AP, POC, POCU și POIM;
- dialog crescut cu privire la evaluarea FESI;
- competențe crescute în domeniul evaluării.</t>
  </si>
  <si>
    <t>AP2/2.1.2</t>
  </si>
  <si>
    <t>Implementare Planului de Evaluare a Acordului de Parteneriat</t>
  </si>
  <si>
    <t xml:space="preserve">Obiectivul general al proiectului este de a facilita un management informat al Acordului de Parteneriat 2014-2020 şi adoptarea deciziilor pe bază de dovezi.
Obiectivul specific al proiectului este de a implementa Planul de Evaluare a Acordului de Parteneriat 2014-2020, tema D „Evaluarea mecanismelor și capacităţii de implementare a Fondurilor ESI” şi tema E „Evaluarea progresului în îndeplinirea indicatorilor din Cadrul de Performanţă”.
Rezultate prevăzute ale proiectului sunt: mecanismele și capacitatea de implementare a FESI și progresul în îndeplinirea indicatorilor din Cadrul de Performanță.
</t>
  </si>
  <si>
    <t>Sprijinirea Autorității de Certificare și Plată în vederea gestionării eficiente a Fondurilor Europene Structurale și de Investiții</t>
  </si>
  <si>
    <t>Ministerul Finanțelor Publice prin Autoritatea de Certificare și Plată</t>
  </si>
  <si>
    <t>Obiectivul general al proiectului îl constituie dezvoltarea capacității ACP în vederea gestionării eficiente a FESI, în timp ce obiectivele specifice vizează asigurarea funcționării ACP la standarde europene, asigurarea de consultanță pentru ACP, precum și asigurarea de expertiză și asistență tehnică în vederea realizării verificărilor suplimentare ocazionate de închiderea perioadei de programare 2007-2013.</t>
  </si>
  <si>
    <t>AP2/2.1.1</t>
  </si>
  <si>
    <t>Obiectivul proiectului îl constituie sprijinirea MFE pentru derularea activităților specifice, prin asigurarea cheltuielilor aferente relocărilor pe parcursul anului 2016 și închirierierea unui spațiu de arhivă pentru perioada aprilie-decembrie 2016.</t>
  </si>
  <si>
    <t>Sprijin pentru MDRAPFE inclusiv AM POC, AM/OIR POSM/DRI POIM, prin asigurarea diverselor cheltuieli cu autoturismele (I)</t>
  </si>
  <si>
    <t xml:space="preserve">Proiectul vizează asigurarea cheltuielilor necesare utilizării în condiții optime a autoturismelor eligibile din POAT, pentru buna implementare a POC și POIM și asigurarea monitorizării post-implementare a proiectelor POS CCE, POS M și POS T.
</t>
  </si>
  <si>
    <t>Sprijin acordat Organismului Intermediar POS CCE din cadrul ADR Nord-Est în perioada 01.01.2016-31.12.2018 în procesul de închidere a POS CCE 2007-2013 în Regiunea Nord-Est</t>
  </si>
  <si>
    <t>Agenția pentru Dezvoltare Regională Nord-Est</t>
  </si>
  <si>
    <t xml:space="preserve">Obiectivul general al proiectului este de a sprijini finalizarea implementării și închiderea Ia timp și în bune condiții a POS CCE 2007-2013 în Regiunea Nord-Est, prin asigurarea resurselor necesare activităților de verificare a cheltuielilor, monitorizare a implementării și durabilității investițiilor, în perioada 01.01.2016-31.12.2018. Obiectivele specifice ale proiectului vizează asigurarea  sprijinului necesar ADR Nord-Est pentru realizarea activităților specifice Acordului-Cadru de  delegare a atribuțiilor privind implementarea și închiderea POS CCE, precum și crearea premiselor pentru asigurarea, până Ia 31.12.2018 a unei tranziții facile între perioadele de programare.
</t>
  </si>
  <si>
    <t>Nord-Est</t>
  </si>
  <si>
    <t>Neamt</t>
  </si>
  <si>
    <t>Piatra Neamt</t>
  </si>
  <si>
    <t>ONG de utilitate publică</t>
  </si>
  <si>
    <t>Servicii pentru sprijinirea finalizarii procesului de desemnare in contextul finalizarii cerintelor pentru aplicatiile informatice</t>
  </si>
  <si>
    <t>Obiectivul general al proiectului este sprijinirea MFE/MDRAPFE în finalizarea procesului de desemnare în contextul finalizării aplicațiilor informatice MySMIS2014 și SMIS2014+, iar obiectivele specifice constau în susținerea procesului de transpunere a procedurilor specifice programelor operaționale în fluxuri și roluri armonizate și eficiente și în susținerea definitivării procedurilor și descrierii de sistem cu integrarea elementelor de utilizare a aplicațiilor informatice.</t>
  </si>
  <si>
    <t>Buc-Ilfov</t>
  </si>
  <si>
    <t>Bucuresti</t>
  </si>
  <si>
    <t>Sprijin pentru realizarea activităților de monitorizare proiecte, management financiar, verificare achiziții pentru perioada 2014-200, cât și pentru închiderea 2007-2013</t>
  </si>
  <si>
    <t>Obiectivul general al proiectului vizează asigurarea sprijinului necesar OIPSI pentru realizarea activităților de monitorizare proiecte, management financiar, verificare achiziții pentru Axa prioritară 2 POC 2014-2020 (TIC), cât și pentru închiderea Axei 3 POS CCE 2007-2013.
Obiectivele specifice vizează eficientizarea activității OIPSI, îmbunătățirea calității muncii OIPSI prin contractarea de servicii de expertiză tehnică și financiară de specialitate pentru proiectele finanțate din Axa prioritară 2 POC, precum și dezvoltarea capacității instituționale prin contractarea de servicii de expertiză tehnică a proiectelor aflate în durabilitate, aferente POS CCE 2007-2013.</t>
  </si>
  <si>
    <t>Sprijin acordat ADR SV Oltenia (Organism Intermediar POS CCE) în perioada 2016-2018 în procesul de închidere a POS CCE 2007-2013 la nivelul regiunii SV Oltenia</t>
  </si>
  <si>
    <t>Agenția pentru Dezvoltare Regională Sud-Vest Oltenia</t>
  </si>
  <si>
    <t>Obiectivul general al proiectului îl reprezintă acordarea de sprijin comprehensiv pentru realizarea gestionării și implementării transparente și eficiente a FESI în procesul de închidere a POS CCE 2007-2013, în perioada 2016-2018, în vederea unei tranziții facile către perioada de programare 2014-2020.
Obiectivul specific este acela de a asigura sprijinul necesar ADR SV Oltenia pentru realizarea activităților specifice Acordului-cadru de delegare a atribuțiilor privind implementarea și închiderea POS CCE 2007-2013.</t>
  </si>
  <si>
    <t>SV Oltenia</t>
  </si>
  <si>
    <t>Dolj</t>
  </si>
  <si>
    <t>Sprijin financiar pentru ADR Nord-Vest în vederea îndeplinirii activităților delegate privind implementarea POSCCE în perioada 2016-2018</t>
  </si>
  <si>
    <t>Agenția pentru Dezvoltare Regională Nord-Vest</t>
  </si>
  <si>
    <t>Obiectivul general al proiectului este de a sprijini finalizarea implementării și închiderea Ia timp și în bune condiții a POS CCE 2007-2013.
Obiectivul specific este de a asigura sprijinul necesar ADR NV pentru realizarea activităților specifice Acordului-cadru de delegare a atribuțiilor privind implementarea și închiderea POS CCE 2007-2013.</t>
  </si>
  <si>
    <t>NV</t>
  </si>
  <si>
    <t>Bihor</t>
  </si>
  <si>
    <t>Sprijin pentru eficientizarea îndeplinirii atribuțiilor OI Cercetare privind activitatea de evaluare a proiectelor primite în cadrul Axei prioritare 1 POC și pentru activitatea de verificarea administrativă</t>
  </si>
  <si>
    <t>Ministerul Cercetării și Inovării prin Organismul Intermediar pentru Cercetare</t>
  </si>
  <si>
    <t>Obiectivul general al proiectului vizează asigurarea sprijinului necesar OI Cercetare pentru realizarea eficientă a atribuțiilor delegate în vederea închiderii POS CCE 2007-2013 și implementării POC 2014-2020.
Obiectivele specifice vizează:
- asigurarea evaluării tehnico-financiare a propunerilor de proiecte depuse la competițiile POC Axa 1, de către experți cu o înaltă pregătire științifică, experiență în evaluarea proiectelor de cercetare, cu pregătire și cunoștințe de specialitate în domeniile de specializare inteligentă și sănătate și/sau cu expertiză în analiza economico-financiară;
- asigurarea verificării administrative și la fața locului a cererilor de rambursare/cererilor de plată pentru Axa 1 din POC și pentru proiectele nefinalizate la timp din Axa 2 a POS CCE 2007-2013 de către experți cu o înaltă pregătire științifică, experiență în evaluarea proiectelor de cercetare, cu pregătire și cunoștințe de specialitate în domeniile de specializare inteligentă și sănătate și/sau cu expertiză în analiza economico-financiară, atât în procesul de verificare la birou, cât și în procesul de verificare la fața locului;
- finalizarea verificării cererilor de rambursare ale Axei prioritare 2 a POS CCE 2007-2013.</t>
  </si>
  <si>
    <t>Sprijin acordat ADR Sud Muntenia / Organismul Intermediar POS CCE pentru managementul, implementarea, monitorizarea și controlul POS CCE în perioada 2016-2018</t>
  </si>
  <si>
    <t>Agenția pentru Dezvoltare Regională Sud Muntenia</t>
  </si>
  <si>
    <t xml:space="preserve">Obiectivul general al proiectului îl reprezintă acordarea de sprijin financiar, în perioada 2016-2018, pentru realizarea gestionării și implementării transparente și eficiente a FESI în procesul de închidere a perioadei de programare 2007-2013 și realizarea tranziției facile către perioada de programare 2014-2020.
Obiectivele specifice vizează:
- îndeplinirea corespunzătoare a atribuțiilor delegate de către AM POS CCE către OI POSCCE, constituit la nivelul ADR Sud Muntenia;
- gestionarea, în cadrul Axei prioritare 1, a operațiunilor 1.1.1, 1.1.2, 1.1.3 și 1.3.2 și a Axei prioritare 3 , operațiunea 3.1.1;
- contribuția la implementarea și absorbția eficace, eficientă și transparentă a fondurilor alocate prin POS CCE 2007-2013;
- întărirea capacității instituționale a ADR Sud Muntenia/OI POSCCE pentru îndeplinirea tuturor tipurilor de activități specifice desemnate prin Acordul-cadru de delegare a atribuțiilor privind implementarea POS CCE 2007-2013.
</t>
  </si>
  <si>
    <t>Sud Muntenia</t>
  </si>
  <si>
    <t>Arges</t>
  </si>
  <si>
    <t>Sprijin logistic și salarial acordat în perioada 01.01.2016-31.12.2018 pentru ADR Centru în calitate de OI POS CCE în procesul de închidere a POS CCE 2007-2013</t>
  </si>
  <si>
    <t>Agenția pentru Dezvoltare Regională Centru</t>
  </si>
  <si>
    <t>Obiectivul general al proiectului este de a sprijini procesul de închidere a POS CCE 2007-2013, prin îndeplinirea corespunzătoare și la timp a tuturor atribuțiilor delegate de către AM POS CCE către OI POSCCE înființat în cadrul ADR Centru, prin asigurarea de sprijin logistic și salarial pentru personalul implicat în proiect.</t>
  </si>
  <si>
    <t>Centru</t>
  </si>
  <si>
    <t>Alba</t>
  </si>
  <si>
    <t xml:space="preserve">Sprijinirea  ADR SE in calitate de OI POS CCE, in perioada 2016-2018, pentru monitorizarea proiectelor finantate in cadrul POSCCE 2007-2013 </t>
  </si>
  <si>
    <t>Agenția pentru Dezvoltare Regională Sud Est</t>
  </si>
  <si>
    <t>Obiectivul general al proiectului constă în asigurarea unui management și al unui control eficient al intervențiilor finanțate din Fondurile Structurale prin sprijinul acordat ADR SE, în calitate de OI POSCCE, în perioada 2016-2018.</t>
  </si>
  <si>
    <t>SE</t>
  </si>
  <si>
    <t xml:space="preserve">Brăila </t>
  </si>
  <si>
    <t>Asigurarea de servicii de asistență tehnică din partea experților BEI pentru gestionarea POIM 2014 - 2020 la nivelul AM POIM și a OI Transport și pentru închiderea POS Mediu și POS Transport 2007-2013 la nivelul AM POS Transport și AM POS Mediu</t>
  </si>
  <si>
    <t>Proiectul  își propune, ca obiectiv general, întărirea  capacității Autorității de Management POIM din cadrul MDRAPFE și OI Transport din cadrul MT în gestionarea   POlM și sprijinirea  MDRAPFE în închiderea  programelor operaționale 2007-2013 POS Mediu și POS Transport.</t>
  </si>
  <si>
    <t>Sprijin acordat Organismului Intermediar din cadrul ADR Vest în perioada 01.01.2016-31.12.2018 pentru managementul, implementarea, monitorizarea și controlul POS CCE în Regiunea Vest, conform Acordului de delegare semnat cu AM POS CCE</t>
  </si>
  <si>
    <t>Agenția pentru Dezvoltare Regională Vest</t>
  </si>
  <si>
    <t xml:space="preserve">Obiectivul general al proiectului este de a sprijini finalizarea implementării și închiderea Ia timp și în bune condiții a POS CCE 2007-2013.
Obiectivul specific al proiectului este de a asigura sprijinul necesar ADR Vest pentru realizarea activităților specifice Acordului-cadru de delegare a atribuțiilor privind implementarea și închiderea POS CCE.
</t>
  </si>
  <si>
    <t>VEST</t>
  </si>
  <si>
    <t>AP 2/ 2.1.1</t>
  </si>
  <si>
    <t>Sprjiin pentru MFE/MDRAPFE în coordonarea FESI și gestionarea POC, POIM și POAT 2014-2020 prin asigurarea cheltuielilor cu deplasările</t>
  </si>
  <si>
    <t xml:space="preserve">Obiectivul  general îl constituie sprijinirea funcționării  MFE/MDRAPFE, în calitate de autoritate pentru coordonarea FESI și de AM pentru POAT, POC, POS CCE, POS T, POS M, AM și OI pentru POIM, prin asigurarea cheltuielilor cu deplasările personalu/ui MDRAPFE, eligibil din POAT.
Obiective specifice: 1. Asigurarea cheltuielilor cu deplasările personalului MFE/ MDRAPFE pentru buna desfășurare a activităților legate de coordonarea  FESI/IS și implementarea POC, POIM și  POAT, precum și pentru închiderea POS CCE/ POAT/ POS Transport și POS Mediu.
</t>
  </si>
  <si>
    <t>AP 2/ 2.1.2</t>
  </si>
  <si>
    <t>Implementarea Planului de Evaluare a pentru POIM 2014-2020</t>
  </si>
  <si>
    <t xml:space="preserve">Obiectivul general al proiectului este de a facilita un management informat al Programul Operațional lnfrastructură Mare (POIM) 2014-2020 și adoptarea deciziilor pe bază de dovezi.
Obiectivul specific al proiectului este de a implementa Planul de Evaluare pentru Programul Operațional lnfrastructură Mare (POIM) 2014-2020.
</t>
  </si>
  <si>
    <t>Sprijin pentru MDRAPFE/MFE, inclusiv AM POAT, AM POC, AM/OIR POIM, prin asigurarea suportului logistic necesar desfășurării activității zilnice (I)</t>
  </si>
  <si>
    <t xml:space="preserve">Sprijin pentru MDRAPFE în coordonarea FESI și gestionarea POC, POIM și POAT 2014-2020 prin asigurarea suportului logistic (organizare evenimente, servicii  poștale și de curierat, echipamente IT, etc.) necesar desfășurării activității zilnice în condiții optime.
</t>
  </si>
  <si>
    <t>Pitești</t>
  </si>
  <si>
    <t>Buc Ilfov</t>
  </si>
  <si>
    <t>Sprijin pentru MFE și MDRAPFE în coordonarea FESI și gestionarea POC, POIM și POAT 2014-2020 prin asigurarea cheltuielilor cu serviciile informatice și de comunicații, achiziții licențe, soft-uri, etc., altele decât cele pentru SMIS 2014+</t>
  </si>
  <si>
    <t>Obiectivul general al proiectului il constituie sprijinirea MFE/MDRAPFE in coordanarea FESI si gestionarea POC, POIM si POAT 2014-2020 si inchiderea POST, POSM, POSCCE, POAT 2007-2013.
Obiectivul specific al proiectului il constituie asigurarea cheltuielilor pentru achizitia de softuri altele decat cele pentru SMIS 2014+, inclusiv cele financiar-contabile, licente, certificate digitale, servicii de asistenta tehnica necesare bunei desfasurari a activitatii de mentenanta aferenta.</t>
  </si>
  <si>
    <t>Sprijin pentru efectuarea vizitelorde monitorizare post-implementare a proiectelor finantate din Axa Prioritara 4 a POSCCE II</t>
  </si>
  <si>
    <t>Ministerul Energiei prin Organismul Intermediar pentru Energie</t>
  </si>
  <si>
    <t>Obiectivul  general al proiectului il constituie asigurarea inchiderii  eficiente  a Axei prioritare 4 POS CCE 2007-2013 in vederea reducerii  riscului de  dezangajare  a fondurilor ca urmare a neindeplinirii obiectivelor/indicatorilor de rezultat asumati de beneficiari prin contractele de finantare.
Obiectivul specific este obtinerea de sprijin  pentru OI Energie pentru efectuarea vizitelor de monitorizare post implementare, in vederea colectarii informatiilor reale la fata locului, pentru  proiectele finantate din Axa Prioritara 4 POS CCE.</t>
  </si>
  <si>
    <t>AP 3/3.1.1</t>
  </si>
  <si>
    <t>Formarea profesională a personalului autorităților competente pentru protecția mediului privind evaluarea impactului asupra mediului și evaluarea de mediu pentru perioada 2014-2020</t>
  </si>
  <si>
    <t>Ministerul Mediului</t>
  </si>
  <si>
    <t>Proiectul va contribui în mod direct la îndeplinirea condiționalității generale ex-ante referitoare la EIA și SEA prevăzută în anexa XI a Regulamentului UE nr. 1303/2013 de stabilire a unor dispoziții comune privind Fondurile ESI și în cadrul Acordului de Parteneriat aprobat de Comisia Europeană pentru perioada de  programare 2014-2020, respectiv la aplicarea adecvată a legislației Uniunii privind protecția mediului referitoare la EIA și SEA. De  asemenea, în vederea  accesării și implementării proiectelor din cadrul programelor operaționale cu finanțare din fonduri europene la nivelul României pentru perioada de programare 2014-2020, este necesară asigurarea aplicării unitare și eficiente a legislației Uniunii în domeniul protecției mediului cu privire la EIA și SEA. În acest sens, rezultatele proiectului vor sprijini procesul de derulare al procedurilor EIA și SEA precum și emiterea actelor de reglementare aferente proiectelor care se finanțează din fonduri europene. 
Proiectul va consta în 13 sesiuni de instruire a personalului din cadrul  autorităților pentru protecția mediului  (care  nu  a  fost  instruit  în prima  etapa  a acestui proiect, derulat în 2015), al autorităților de management ale POIM, POR, PNDR, POPAM, POC precum și ale organismelor intermediare eferente.</t>
  </si>
  <si>
    <t>Sprijin pentru finanţarea cheltuielilor de personal efectuate în perioada decembrie 2015 – decembrie 2017, 
pentru personalul OIPSI implicat în gestionarea FESI</t>
  </si>
  <si>
    <t xml:space="preserve">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al proiectului constă în sprijinirea sistemului de remunerare a personalului din cadrul OI PSI cu atribuţii în coordonarea FESI. </t>
  </si>
  <si>
    <t>AP 3/3.1.2</t>
  </si>
  <si>
    <t>Sprijin pentru finanţarea cheltuielilor de personal efectuate în perioada decembrie 2015-decembrie 2017
pentru  personalul Ministerului Fondurilor Europene implicat în coordonarea, gestionarea şi controlul FESI</t>
  </si>
  <si>
    <t xml:space="preserve">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al proiectului constă în sprijinirea sistemului de remunerare a personalului din cadrul MFE cu atribuţii în coordonarea FESI şi gestionarea POAT, POIM şi POC.
</t>
  </si>
  <si>
    <t>AP3/3.1.1</t>
  </si>
  <si>
    <t>Perfecționarea pregătirii profesionale a personalului Autorității de Audit care își desfășoară activitatea în domeniul auditului Fondurilor ESI</t>
  </si>
  <si>
    <t>Curtea de Conturi a României - Autoritatea de Audit</t>
  </si>
  <si>
    <t>Obiectivul proiectului constă în pregătirea și perfecționarea continuă a personalului Autorității de Audit implicat  în  auditarea  Fondurilor  ESI,  în  vederea dobândirii unor cunoștințe aprofundate pentru îndeplinirea atribuțiilor ce decurg din punerea în aplicare a prevederilor regulamentelor comunitare și a legislației naționale aferente. În urma derulării proiectului vor fi obținute performanțe profesionale îmbunătățite urmare experienței și informațiilor acumulate de către participanții la sesiunile de formare pe parcursul implementării proiectului.
În cadrul proiectului se estimează realizarea a 1.680 de zile-om instruire prin intermediul a 50 de sesiuni de instruire și 6 vizite de studiu realizate în instituții similare Autorității de Audit și/sau în cadrul unor instituții din Uniunea Europeană cu atribuții în domeniul FESI.</t>
  </si>
  <si>
    <t>Formarea continuă a personalului Autorității de Certificare și Plată în vederea gestionării eficiente a Fondurilor Europene Structurale și de Investiții (FESI)</t>
  </si>
  <si>
    <t xml:space="preserve">Obiectivul proiectului constă în instruirea personalului ACP din cadrul MFP, implicat în gestionarea financiară a instrumentelor structurale, în vederea dobândirii unor cunoștințe aprofundate pentru îndeplinirea atribuțiilor ce decurg din punerea în aplicare a prevederilor regulamentelor comunitare și a legislației naționale.  Totodată proiectul are în vedere instruirea personalului suport din cadrul Direcției Generale Economice implicat în gestionarea proiectelor finanțate din POAT 2014-2020, în care ACP este beneficiar. Îndeplinirea obiectivului proiectului contribuie la atingerea scopului axei prioritare 3 a 
POAT„Creșterea eficienței și eficacității resurselor umane implicate în sistemul de coordonare, gestionare  și control al FESI în România”. 
</t>
  </si>
  <si>
    <t>AP3/3.1.2</t>
  </si>
  <si>
    <t>Obiectivul general al proiectului vizează dezvoltarea unei politici îmbunătățite  a managementului resurselor umane care să asigure stabilitatea, calificarea și motivarea adecvată a personalului cu atribuții în coordonarea, gestionarea și controlul FESI. Obiectivul specific este sprijinirea sistemului de remunerare a personalului cu atribuții în coordonarea, gestionarea și controlul FESI din cadrul ANCSI.</t>
  </si>
  <si>
    <t>Sprijin pentru finanțarea parțială a cheltuielilor de personal efectuate, în perioada aprilie 2015 - decembrie 2017 de Ministerul Finanțelor Publice, pentru personalul Autorității de Certificare și Plată și cel al Direcției Generale de Inspecție Economico-Financiară Serviciul de Inspecție Fonduri Europene implicat în sistemul de coordonare, gestionare și control al FESI</t>
  </si>
  <si>
    <t>Ministerul Finanțelor Publice</t>
  </si>
  <si>
    <t>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vizează sprijinirea sistemului de remunerare a personalului cu atribuții în coordonarea, gestionarea și controlul FESI din cadrul MFP - ACP și Direcția Generală de Inspecție Economico-Financiară - Serviciul Inspecție Fonduri Europene.</t>
  </si>
  <si>
    <t xml:space="preserve">Bucuresti </t>
  </si>
  <si>
    <t>Sprijin pentru finanțarea cheltuielilor de personal efectuate în perioada februarie 2016 - noiembrie 2017 pentru personalul Serviciului de Telecomunicații Speciale implicat în dezvoltarea și mentenanța Sistemului Informatic Unitar SMIS 2014+ și a aplicației conexe MySMIS2014, precum și în administrarea resurselor tehnologice aferente acestora</t>
  </si>
  <si>
    <t xml:space="preserve"> Serviciul de Telecomunicații Speciale</t>
  </si>
  <si>
    <t>Obiectivul general al proiectului constă în dezvoltarea unei politici îmbunătăţite a managementului resurselor umane, care să asigure stabilitatea, calificarea şi motivarea adecvată a personalului propriu cu atribuţii în coordonarea, gestionarea şi controlul FESI.
Ca obiectiv specific, proiectul urmărește sprijinirea sistemului de remunerare și motivare a personalului din cadrul structurii STS care este responsabilă cu dezvoltarea și mentenanța sistemului informatic unitar SMIS2014+ și a aplicației conexe MySMIS2014, precum și cu administrarea produselor tehnologice aferente acestora, denumită în continuare Structura pentru dezvoltarea și mentenanța SMIS2014+ și MySMIS2014, prin asigurarea resurselor financiare necesare pentru plata parțială a cheltuielilor de personal aferente structurii respective.</t>
  </si>
  <si>
    <t>București</t>
  </si>
  <si>
    <t>Instruire pentru structurile din cadrul sistemului de coordonare, gestionare și control al FESI în România, pe tematici prioritare pentru dezvoltarea capacității manageriale pentru sistemul de coordonare, gestionare și control al FESI</t>
  </si>
  <si>
    <t>Obiectivul general al proiectului vizează dezvoltarea capacității manageriale a structurilor cu rol de coordonare, gestionare și control al FESI.
Obiectivele specifice reprezintă furnizarea unor module de formare pe tematici prioritare pentru un grup țintă de aprox. 1000 de persoane din cadrul structurilor cu rol de coordonare, gestionare și control al FESI, pe de-o parte, și întărirea cooperării interinstituționale în domeniul managementului fraudelor și neregulilor în contractele finanțate din FESI și aplicarea corecțiilor financiare pentru un grup de aproximativ 45 de persoane din cadrul structurilor cu rol de cooronare, gestionare și control al FESI.</t>
  </si>
  <si>
    <t>Sprijin pentru finanțarea cheltuielilor de personal pentru personalul Curții de Conturi - Autoritatea de Audit implicat în coordonarea, gestionarea și controlul FESI</t>
  </si>
  <si>
    <t>Obiectivul general al proiectului constă în dezvoltarea unei politici îmbunătățite a managementului resurselor umane, care să asigure stabilitatea, calificarea și motivarea adecvată a personalului cu atribuții în gestionarea, coordonarea și controlul FESI.
Obiectivul specific constă în sprijinirea sistemului de remunerare a personalului cu atribuții în coordonarea, gestionarea și controlul FESI din cadrul Curții de Conturi - Autoritatea de Audit.</t>
  </si>
  <si>
    <t>Alba Iulia</t>
  </si>
  <si>
    <t>Sesiuni de instruire pentru personalul OI Cercetare</t>
  </si>
  <si>
    <t>Obiectivul general al proiectului vizează dezvoltarea unei politici îmbunătățite  a managementului resurselor umane care să asigure stabilitatea, calificarea și motivarea adecvată a personalului implicat în implementarea Axei prioritare 1 aferentă POC. 
Obiectivul specific vizează întărirea capacității instituționale a OI Cercetare prin organizarea de activități de instruire profesională a personalului, în conformitate cu specificul postului și cu nevoile prioritare identificate la nivelul OI Cercetare, în scopul sprijinirii activităților de evaluare/monitorizare/control/achiziții publice la nivelul Axei prioritare 1 POC.</t>
  </si>
  <si>
    <t>Formare continuă a personalului MDRAPFE în vederea gestionării eficiente a FESI</t>
  </si>
  <si>
    <t>Obiectivul general al proiectului constă în întărirea capacității resursei umane implicate în coordonarea, gestionarea și controlul FESI. 
Obiectivul specific al proiectului constă în instruirea personalului MDRAPFE implicat în coordonarea FESI și gestionarea POAT, POIM și POC, în vederea dobândirii cunoștințelor necesare pentru îndeplinirea atribuțiilor ce decurg din punerea în aplicare a prevederilor regulamentelor comunitare și a legislației naționale.</t>
  </si>
  <si>
    <t>Dezvoltarea continuă a competențelor personalului din cadrul OIPSI</t>
  </si>
  <si>
    <t xml:space="preserve">Proiectul vizează creșterea eficienței și eficacității resurselor umane implicate în sistemul de coordonare, gestionare și control al FESI în România, respectiv întărirea capacității instituționale a OI PSI prin organizarea și/sau participarea la activități/cursuri de instruire profesională a personalului.
</t>
  </si>
  <si>
    <t>Sprijin pentru finanțarea cheltuielilor de personal pentru personalul OI Transport implicat în managementul POIM în perioada 2016-2017</t>
  </si>
  <si>
    <t>Ministerul Transporturilor</t>
  </si>
  <si>
    <t xml:space="preserve">Rezultatele așteptate în urma implementării proiectului vizează rambursarea cheltuielilor de tip salarial pentru 83 de posturi aferente OI Transport, contribuind astfel la îndeplinirea obiectivului specific privind sprijinirea sistemului de remunerare a personalului cu atribuții în gestionarea POIM din cadrul OI Transport.
Sprijinirea sistemuluide remunerare a personalului va conduce Ia atingerea obiectivului general, respectiv îmbunătățirea managementului resurselor umane  care asigură stabilitatea, calificarea și motivarea adecvată a personalului cu atribuții în gestionarea, coordonarea și controlul FESI pentru perioada de programare  2014-2020.
</t>
  </si>
  <si>
    <t>Continuarea sprijinului pentru finanțarea cheltuielilor de personal pentru personalul Curții de Conturi - Autoritatea de Audit implicat în coordonarea, gestionarea și controlul FESI</t>
  </si>
  <si>
    <t>Obiectivul general consta în dezvoltarea unei politici îmbunătățite a managementului resurselor umane care să asigure stabilitatea, calificarea și motivarea adecvată a personalului cu atribuții în gestionarea, coordonarea și controlul FESI.
Obiectivul specific constă în sprijinirea sistemului de remunerare a personalului cu atribuții în coordonarea, gestionarea și controlul FESI din cadrul Curții de Conturi – Autoritatea de Audit.</t>
  </si>
  <si>
    <t>Continuarea sprijinului pentru finanțarea cheltuielilor de personal pentru personalul OIPSI implicat în gestionarea POC si inchiderea POSCCE</t>
  </si>
  <si>
    <t>Obiectivul general al proiectului il constituie dezvoltarea unei politici imbunatatite a managementului resurselor umane, care sa asigure stabilitatea, calificarea si motivarea adecvata a personalului care lucreaza in cadrul MCSI cu atributii in gestionarea POC si inchiderea POS CCE.
Obiectivul specific al proiectului este sprijinirea sistemului de remunerare a personalului din cadrul OIPSI, cu atributii in gestionarea POC si inchiderea POS CCE.</t>
  </si>
  <si>
    <t>Sprijin pentru finanțarea cheltuielilor de personal pentru personalul SRI implicat în reralizarea activităților necesare operaționalizării și mentenanței sistemului integrat de management SMIS2014+/MySMIS2014 de gestiune a fondurilor europene</t>
  </si>
  <si>
    <t>Serviciul Român de Informații prin UM 0296 București</t>
  </si>
  <si>
    <t>Sprijinirea sistemului de remunerare a personalului din cadrul SRI cu atribuții în realizarea activităților necesare operaționalizării modulelor aferente sistemului SMIS2014+/MySMIS2014, inclusiv asigurarea mentenanței acestora.</t>
  </si>
  <si>
    <t>Continuarea sprijinului pentru finanțarea cheltuielilor de personal pentru personalul autorității publice centrale, având calitatea de coordonator al implementării și gestionării FESI, precum și de Autoritate de Management pentru POAT, POC și POIM și pentru personalul structurilor suport implicat în coordonarea, gestionarea și controlul FESI (II)</t>
  </si>
  <si>
    <t>Sprijinirea sistemului de remunerare a personalului din cadrul MDRAPFE cu atribuții în coordonarea FESI și gestionarea POAT, POIM și POC, din cadrul MDRAPFE, in perioada decembrie 2017 - martie 2018.</t>
  </si>
  <si>
    <t>Sprijin pentru MFE, inclusiv AM POAT, AM POC, AM/OIR POIM, prin asigurarea necesarului de consumabile si servicii necesare functionarii echipamentelor IT (I)</t>
  </si>
  <si>
    <t>Obiectivul proiectului este acela de a asigura necesarul de produse de papetărie, consumabile și servicii necesare funcționării echipamentelor IT, pentru desfășurarea activității zilnice în condiții optimea MFE, în calitate de coordonator FESI (inclusiv structuri suport) și de autoritate de gestionare a POC, POIM, POAT 2014-2020, POS T, POS M, POS CCE și POAT 2007-2013.</t>
  </si>
  <si>
    <t>Sprijinirea funcționării Autorității de Audit la standarde europene</t>
  </si>
  <si>
    <t xml:space="preserve">Obiectivul proiectului constă în dezvoltarea capacității instituționale a Autorității de Audit, prin sprijinirea funcționării acesteia (acoperirea cheltuielilor de funcționare, asigurarea cheltuielilor de deplasare, achiziția de mijloace fixe, obiecte de inventar și materiale consumabile, organizarea de întâlniri și evenimente etc.), în vederea asigurării unui cadru adecvat pentru gestionarea și controlul fondurilor ESI în România.
În urma derulării proiectului vor fi asigurate: 
- condiții logistice corespunzătoare pentru funcționarea Autorității de Audit;
- participarea personalului AA Ia activități  în scopul auditului fondurilor ESI; 
- stabilirea unei abordări unitare a activității de audit al fondurilor ESI și desfășurarea activității de audit al Fondurilor ESI Ia cele mai înalte standarde și întărirea cooperării cu instituții din țară și din străinătate, cu atribuții în domeniul Fondurilor ESI, inclusiv în vederea formulării unor puncte de vedere privind aspectele ridicate de CE;
- asigurarea unui nivel corespunzător de eficiență și calitate Ia nivelul activităților desfășurate de AA.
</t>
  </si>
  <si>
    <t>85%(RMPD)
80%(RMD)</t>
  </si>
  <si>
    <t>Continuarea sprijinului pentru finantarea cheltuielilor de personal pentru personalul autoritatii publice centrale, având calitatea de coordonator al implementarii si gestionarii FESI, precum si de Autoritate de Management pentru POAT, POC si POIM, si pentru personalul structurilor suport implicat in oordonarea, gestionarea si controlul FESI (III)</t>
  </si>
  <si>
    <t>Sprijinirea sistemului de remunerare a personalului din cadrul MFE cu atribuții în coordonarea FESI și gestionarea POAT, POIM și POC, din cadrul MFE, in perioada aprilie 2018 - decembrie 2020.</t>
  </si>
  <si>
    <t>Dezvoltarea competențelor personalului Direcției Generale Organismul Intermediar pentru Transport (DGOIT) implicat în gestionarea Programului Operațional Infrastructură Mare (POIM)</t>
  </si>
  <si>
    <t>Ministerul Transporturilor - Direcția Generală Organismul Intermediar pentru Transport</t>
  </si>
  <si>
    <t>Obiectivul general al proiectului vizează întărirea capacității administrative a structurilor implicate în gestionarea POIM. Obiectivul specific al proiectului are în vedere pregătirea și perfecțuionarea continuă a personalului DG OI Transport implicat în gestionarea POIM, învederea dobândirii unor cunoștințe aprofundate pentru îndeplinirea atribuțiilor ce decurg din Acordul privind delegarea funcțiilor aferente gestionării Axelor prioritare de transport din POIM.</t>
  </si>
  <si>
    <t>Asigurarea condițiilor logistice și a cheltuielilor de deplasare necesare Organismului Intermediar pentru Transport pentru gestionarea Programulu operațional Infrastructură Mare (POIM)</t>
  </si>
  <si>
    <t>Obiectivul general al proiectului vizează asigurarea condițiilor necesare pentru coordonarea și controlul obiectivelor de investiții aferente sectorului transport finanțat prin POIM 2014-2020. Obiectivele specifice ale proiectului:                                      -sprijin pentru derularea activităților OIT prin asigurarea suportului logistic (autoturisme, imprimante A3, consumabile aferente și consumabile de birou);                                                                     -sprijin pentru derularea activităților OIT prin asigurarea cheltuielilor de deplasare.</t>
  </si>
  <si>
    <t>Sprijin logistic pentru activitatea OI Cercetare</t>
  </si>
  <si>
    <t>AP1/1.1.2</t>
  </si>
  <si>
    <t>Sprijin pentru implementarea proiectelor de comunicare ale MFE in calitate de beneficiar POAT</t>
  </si>
  <si>
    <t>Obiectivul general al proiectului vizează întărirea capacității SCIS din cadrul Direcției Comunicare din MFE pentru gestionarea portofoliului de proiecte în domeniul informării și comunicării IS.</t>
  </si>
  <si>
    <t>Obiectivul general al proiectului constă în asigurarea capacității instituționale a OI Cercetare, prin sprijinirea funcționării sale, în vederea asigurării unui cadru adecvat pentru gestionarea și controlul FESI în România. Asigurarea sprijinului necesar OI Cercetare pentru realizarea eficientă a atribuțiilor delegate în vederea închiderii POS CCE și implementării POC.</t>
  </si>
  <si>
    <t>Optimizarea capacității resursei umane din MAI pentru dezvoltarea și implementarea de proiecte finanțate din FESI</t>
  </si>
  <si>
    <t>MT - OI pentru Transport</t>
  </si>
  <si>
    <t>Continuarea sprijinului pentru finanțarea cheltuielilor de personal pentru personalul OI Transport implicat în managementul POIM</t>
  </si>
  <si>
    <t>Sprijinirea sistemului de remunerare a personalului cu atribuții în gestionarea POIM din cadrul OI Transport, in perioada octombrie 2017 - noiembrie 2020</t>
  </si>
  <si>
    <t>Finalizat</t>
  </si>
  <si>
    <t>Sprijin pentru evaluarea proiectelor depuse in cadrul Axei Prioritare 2 POC – Acţiunile 2.1.1 și 2.2.1</t>
  </si>
  <si>
    <t xml:space="preserve">Obiectivul general al proiectului vizează asigurarea expertizei în domeniul evaluării pentru proiectele depuse în cadrull Axei Prioritare 2-POC -Acțiunile 2.1.1 și 2.2.1, în perioada 2018-2019. Obiectivul specific are în vedere îmbunătățirea calității procesdului de evaluare tehnico-economică a cererilor de finanțare depuse în cadrul Axei Prioritare 2 POC -Acțiunile 2.1.1 și 2.2.1, în perioada 2018-2019, prin asigurarea unei evaluări calificate și obiective a proiectelor. </t>
  </si>
  <si>
    <t xml:space="preserve">Continuarea sprijinului pentru finanțarea parțială a cheltuielilor de personal pentru personalul Serviciului de Telecomunicatii Speciale implicat în dezvoltarea si mentenanta sistemului informatic unitar SMIS2014+ si a aplicatiei conexe MySMIS2014, precum si in administrarea produselor tehnologice aferente acestora </t>
  </si>
  <si>
    <t>STS</t>
  </si>
  <si>
    <t>Obiectivul general constă în dezvoltarea unei politici de RU care să asigure stabilitatea, calificarea și motivarea adecvată a personalului propriu cu atribuții în coordonarea, gestionarea și controlul fondurilor ESI</t>
  </si>
  <si>
    <r>
      <rPr>
        <b/>
        <sz val="11"/>
        <rFont val="Calibri"/>
        <family val="2"/>
        <charset val="238"/>
        <scheme val="minor"/>
      </rPr>
      <t>NOTĂ!</t>
    </r>
    <r>
      <rPr>
        <sz val="11"/>
        <rFont val="Calibri"/>
        <family val="2"/>
        <charset val="238"/>
        <scheme val="minor"/>
      </rPr>
      <t xml:space="preserve"> Programul Operațional Asistență Tehnică 2014 – 2020 este un program destinat întregului sistem de coordonare, gestionare și control al fondurilor ESI și al potențialilor beneficiari și beneficiarilor acestor fonduri, răspunzând prin natura sa orizontală nevoilor de la nivelul întregului teritoriu al țării. 
Astfel, deși locația principalilor beneficiari ai acestui PO (structurile de coordonare, gestionare și control al FESI) se situează în regiunea București-Ilfov, intervențiile finanțate din POAT, prin impactul pe care îl au asupra implementării tuturor PO, acoperă toate regiunile României. În acest sens, bugetul proiectelor POAT 2014-2020, indiferent de locația de implementare, este împărțit pe regiuni mai dezvoltate și regiuni mai puțin dezvoltate în baza unei pro-rate stabilită conform Programului Operațional Asistență Tehnică. 
Bugetul proiectelor care au mai multe locații de implementare nu se regăsește defalcat pe județe întrucât, în cererile de finanțare aprobate, nu este reflectat în acest mod.</t>
    </r>
  </si>
  <si>
    <t>AP 1/ 1.1.2</t>
  </si>
  <si>
    <t>Organizarea de evenimente de lucu privind implementare POIM</t>
  </si>
  <si>
    <t>Acordarea de asistenta CNAIR SA si CN CFR SA pentru indeplinirea conditionalitatilor ex-ante aferente POIM privind consolidarea capacitatii administrative – Criteriile 7.1. si 7.2. “Masuri care sa asigure capacitatea unor organisme intermediare si beneficiari de a asigura fluxul de proiecte pentru sectorul rutier si sectorul feroviar“ 2. Acordarea de asistenta tehnica pentru indeplinirea actiunilor aferente beneficiarilor POIM (ANAR, CNAIR) din cadrul Strategiei naţionale in domeniul achizitiilor publice, aprobate prin HG nr. 901/2015 3. Acordarea de sprijin Beneficiarilor din sectoarele de transport, mediu si prevenirea riscurilor in activitatile specifice de pregatire si gestionare a portofoliului de proiecte finantate prin POIM.</t>
  </si>
  <si>
    <t>in implementare</t>
  </si>
  <si>
    <t>AP2/2.2.1</t>
  </si>
  <si>
    <t>Sprijin privind dezvoltarea/optimizarea unor module specifice sistemului informatic integrat SMIS2014+/MySMIS2014</t>
  </si>
  <si>
    <t>Asigurarea serviciilor de comunicatii
necesare utilizarii aplicatiilor informatice
din gestiunea MFE</t>
  </si>
  <si>
    <t xml:space="preserve">
Obiectivul general al proiectului il reprezinta asigurarea accesului permanent în sistem al tuturor utilizatorilor aplicatiilor 2014 (MySMIS2014, SMIS2014+, SMIS-CSNR2,
Art4SMIS2014, etc.)
Obiectivele specifice ale proiectului
1. Asigurarea serviciilor de comunicatii necesare accesarii aplicatiilor 2014 de catre institutiile implicate in gestionarea FESI pentru
perioada de programare 2014-2020</t>
  </si>
  <si>
    <t>RMD/ RMPD</t>
  </si>
  <si>
    <t>Sprijin pentru DGPEC în gestionarea POC
2014-2020 si închiderea POSCCE 2007-2013</t>
  </si>
  <si>
    <t>Obiectivul general al proiectului in reprezinta asigurarea sprijinului de specialitate necesar eficientizarii gestionarii proiectelor finantate în cadrul POC si închiderii POSCCE, proiectul
contribuind la implementarea si absorbtia eficace, eficienta si transparenta a fondurilor alocate.
Obiectivele specifice ale proiectului
1. Asigurarea expertizei necesare în vederea evaluarii proiectelor aferente Axei 1 POC, sprijinirii AM în implementarea POC 2014-
2020 si pregatirea perioadei post 2020.
2. Elaborarea Raportului Final de Implementare POSCCE 2007-2013</t>
  </si>
  <si>
    <t>AP3/ 3.1.2</t>
  </si>
  <si>
    <t>Continuarea sprijinului pentru finanțarea parțială a cheltuielilor de personal efectuate de MFP, pentru personalul ACP si DGIEF, SIFE  implicat în sistemul de coordonare, gestionare si control FESI (II)</t>
  </si>
  <si>
    <t>Ministerul Finantelor Publice</t>
  </si>
  <si>
    <t>Sprijinirea sistemului de remunerare a personalului cu atribuții în coordonarea, gestionarea și controlul FESI din cadrul MFP-ACP și Direcția Generală de Inspecție Economico-Financiară/Serviciul Inspecție Fonduri Europene</t>
  </si>
  <si>
    <t>2.1.032</t>
  </si>
  <si>
    <t>3.1.059</t>
  </si>
  <si>
    <t>2.1.049</t>
  </si>
  <si>
    <t>2.1.037</t>
  </si>
  <si>
    <t>2.1.052</t>
  </si>
  <si>
    <t>2.1.048</t>
  </si>
  <si>
    <t>2.1.033</t>
  </si>
  <si>
    <t>2.1.026</t>
  </si>
  <si>
    <t>2.1.042</t>
  </si>
  <si>
    <t>2.1.044</t>
  </si>
  <si>
    <t>3.1.055</t>
  </si>
  <si>
    <t>3.1.039</t>
  </si>
  <si>
    <t>3.1.051</t>
  </si>
  <si>
    <t>1.1.043</t>
  </si>
  <si>
    <t>3.1.062</t>
  </si>
  <si>
    <t>2.1.061</t>
  </si>
  <si>
    <t>2.1.046</t>
  </si>
  <si>
    <t>1.1.079</t>
  </si>
  <si>
    <t>2.1.036</t>
  </si>
  <si>
    <t>2.1.029</t>
  </si>
  <si>
    <t>1.1.025</t>
  </si>
  <si>
    <t>1.1.002</t>
  </si>
  <si>
    <t>1.1.005</t>
  </si>
  <si>
    <t>1.2.001</t>
  </si>
  <si>
    <t>1.1.004</t>
  </si>
  <si>
    <t>1.1.031</t>
  </si>
  <si>
    <t>1.2.056</t>
  </si>
  <si>
    <t>1.2.057</t>
  </si>
  <si>
    <t>1.2.060</t>
  </si>
  <si>
    <t>2.1.009</t>
  </si>
  <si>
    <t>3.1.047</t>
  </si>
  <si>
    <t>2.1.013</t>
  </si>
  <si>
    <t>2.1.021</t>
  </si>
  <si>
    <t>2.1.008</t>
  </si>
  <si>
    <t>2.1.012</t>
  </si>
  <si>
    <t>2.1.023</t>
  </si>
  <si>
    <t>2.1.007</t>
  </si>
  <si>
    <t>2.1.030</t>
  </si>
  <si>
    <t>2.1.020</t>
  </si>
  <si>
    <t>2.1.041</t>
  </si>
  <si>
    <t>2.1.045</t>
  </si>
  <si>
    <t>2.1.040</t>
  </si>
  <si>
    <t>2.1.017</t>
  </si>
  <si>
    <t>2.1.014</t>
  </si>
  <si>
    <t>2.1.034</t>
  </si>
  <si>
    <t>2.1.035</t>
  </si>
  <si>
    <t>2.1.063</t>
  </si>
  <si>
    <t>3.1.011</t>
  </si>
  <si>
    <t>3.1.022</t>
  </si>
  <si>
    <t>3.1.024</t>
  </si>
  <si>
    <t>3.1.015</t>
  </si>
  <si>
    <t>3.1.006</t>
  </si>
  <si>
    <t>3.1.027</t>
  </si>
  <si>
    <t>3.1.054</t>
  </si>
  <si>
    <t>3.1.018</t>
  </si>
  <si>
    <t>3.1.074</t>
  </si>
  <si>
    <t>3.1.068</t>
  </si>
  <si>
    <t>3.1.072</t>
  </si>
  <si>
    <t>3.1.075</t>
  </si>
  <si>
    <t>3.1.028</t>
  </si>
  <si>
    <t>2.1.069</t>
  </si>
  <si>
    <t>3.1.078</t>
  </si>
  <si>
    <t>3.1.071</t>
  </si>
  <si>
    <t>3.1.080</t>
  </si>
  <si>
    <t>1.1.082</t>
  </si>
  <si>
    <t>2.2.086</t>
  </si>
  <si>
    <t>2.2.070</t>
  </si>
  <si>
    <t>2.1.087</t>
  </si>
  <si>
    <t>3.1.076</t>
  </si>
  <si>
    <t>1.1.085</t>
  </si>
  <si>
    <t>Asigurarea de servicii de asistenta tehnica din partea expertilor Bancii Europene pentru Reconstructie si Dezvoltare la nivelul beneficiarilor din sectorul de apa si apa uzata pentru managementul strategic al portofoliului de proiecte finantat în cadrul Programului Operational Infrastructura Mare</t>
  </si>
  <si>
    <t>Obiectivele proiectului sunt:
1.Contribuirea la implementarea cu succes a proiectelor in derulare in sectoarele de transport si de mediu în România (adica a se asigura
ca proiectele sunt implementate in conformitate cu programele si cerintele convenite).
2. Maximizarea absorbtiei fondurilor UE inainte de sfarsitul perioadei de programare 2007-2013.
3.Construirea capacitatilor si abilitatilor de implementare pentru perioada de programare 2014-2020 in cadrul MFE si Beneficiarilor Finali.</t>
  </si>
  <si>
    <t>3.1.084</t>
  </si>
  <si>
    <t>Continuarea sprijinului pentru finanţarea cheltuielilor de personal pentru personalul Serviciului Român de Informații implicat în realizarea activităţilor necesare operaţionalizării și mentenanței sistemului integrat de management SMIS 2014+/MySMIS 2014 de gestiune a fondurilor europene</t>
  </si>
  <si>
    <t>SRI prin Institutul pentru tehnologii avansate</t>
  </si>
  <si>
    <t>TOTAL CONTRACTE/DECIZII DE FINANȚARE POAT 2014-2020*</t>
  </si>
  <si>
    <t>Reziliat</t>
  </si>
  <si>
    <t>1.1.081</t>
  </si>
  <si>
    <t>Asistenta tehnica pentru sustinerea
actiunilor ce contribuie la realizarea
obiectivelor strategice din cadrul Strategiei
Integrate de Dezvoltare Durabila a Deltei
Dunarii (SIDD DD)</t>
  </si>
  <si>
    <t>ADI ITI DD</t>
  </si>
  <si>
    <t>Obiectivul general al proiectului vizează susținerea acțiunilor care contribuie la realizarea obiectivelor pe sectoare prioritare ale SIDD DD, în vederea dezvoltării durabile a teritoriului ITI DD.</t>
  </si>
  <si>
    <t>2.1.103</t>
  </si>
  <si>
    <t>Reuniunea partenerilor antifraudă din Statele Membre</t>
  </si>
  <si>
    <t>DLAF</t>
  </si>
  <si>
    <t>Obiectivul general al proiectului vizează întărirea capacității DLAF în domeniul protecției intereselor financiare ale UE în România.</t>
  </si>
  <si>
    <t>2.1.090</t>
  </si>
  <si>
    <t>Sprijin logistic şi salarial acordat ADR SV Oltenia în calitate de OI POS CCE în procesul de închidere a
POS CCE 2007-2013</t>
  </si>
  <si>
    <t>Agenția pentru Dezvoltare Regională a Regiunii de Dezvoltare Sud-Vest Oltenia</t>
  </si>
  <si>
    <t>Obiectivul general al proiectului vizeaza acordarea de sprijin comprehensiv pentru realizarea gestionării și implementării transparente și eficiente a IS în procesul de închidere a POS CCE 2007-2013</t>
  </si>
  <si>
    <t>2.1.095</t>
  </si>
  <si>
    <t>Sprijin logistic si salarial pentru ADR Nord-
Est în calitate de OI POS CCE în procesul de
închidere a POS CCE 2007-2013 (II)</t>
  </si>
  <si>
    <t>Agenția pentru Dezvoltare Regională a Regiunii de Dezvoltare Nord Est</t>
  </si>
  <si>
    <t>Obiectivul principal al proiectului este realizarea activitatilor ce decurg din din atributiile delegate prin acordul cadru de implementare a Programului Operational Regional 2007-2013.
Obiectivele specifice sunt crearea premizelor pentru asigurarea unui grad ridicat de absorbtie a fondurilor prin POR in Regiunea Nord-Est și planificarea corecta a resurselor financiare alocate axei prioritare AT pentru a acoperi nevoile de asistenta identificate, pe toata perioada implementarii POR.</t>
  </si>
  <si>
    <t>3.1.073</t>
  </si>
  <si>
    <t>Continuarea sprijinului pentru finanțarea cheltuielilor de personal pentru personalul Organismului Intermediar pentru Cercetare, implicat în gestionarea FESI (II)</t>
  </si>
  <si>
    <t>OI Cercetare</t>
  </si>
  <si>
    <t>Obiectivul general al proiectului vizează dezvoltarea unei politici îmbunătăţite a managementului resurselor umane, care să asigure stabilitatea, calificarea şi motivarea adecvată a personalului cu atribuţii în gestionarea FESI.
Obiectivul specific al proiectului este sprijinirea sistemului de remunerare a personalului din cadrul Organismului Intermediar pentru Cercetare implicat în gestionarea FESI.</t>
  </si>
  <si>
    <t>2.1.096</t>
  </si>
  <si>
    <t>Agenția pentru Dezvoltare Regională a Regiunii de Dezvoltare Centru</t>
  </si>
  <si>
    <t>Sprijin logistic și salarial pentru ADR CENTRU în calitate de OI POS CCE în procesul de închidere a POS CCE 2007 - 2013 (II)</t>
  </si>
  <si>
    <t>Obiectivul general al proiectului este de a sprijini procesul de închidere a POS CCE 2007-2013, prin îndeplinirea corespunzătoare și la timp a tuturor atribuțiilor delegate de către AM POS CCE către OI pentru POS CCE înființat în cadrul ADR Centru, prin asigurarea de sprijin logistic și salarial pentru personalul implicat în proiect.</t>
  </si>
  <si>
    <t>2.1.083</t>
  </si>
  <si>
    <t>2.1.067</t>
  </si>
  <si>
    <t>2.1.101</t>
  </si>
  <si>
    <t>3.1.104</t>
  </si>
  <si>
    <t>Servicii suport de natura legala pentru buna gestionare a activitatilor din OI Cercetare</t>
  </si>
  <si>
    <t>Sprijin pentru MDRAPFE, inclusiv AM POAT, AM POC, AM POIM, prin asigurarea necesarului de consumabile și servicii necesare funcționării echipamentelor IT (II)</t>
  </si>
  <si>
    <t>Sprijin financiar pentru ADR Nord-Vest in vederea indeplinirii activitatilor delegate privind implementarea POSCCE - 2019</t>
  </si>
  <si>
    <t>Formare continua a personalului Autoritatii de Certificare si Plata pentru imbunatatirea performantelor la locul de munca, in vederea gestionarii eficiente a Fondurilor Europene Structurale si de Investitii</t>
  </si>
  <si>
    <t>Agenția pentru Dezvoltare Regională a Regiunii de Dezvoltare Nord-Vest</t>
  </si>
  <si>
    <t>ACP</t>
  </si>
  <si>
    <t>MCI - OI Cercetare</t>
  </si>
  <si>
    <t>Obiectivul general al proiectului vizează asigurarea sprijinului necesar OI Cercetare în închiderea Axei prioritare 2 din POS CCE și gestionarea Axei prioritare 1 a POC.</t>
  </si>
  <si>
    <t>Obiectivul general al proiectului vizează continuarea sprijinirii funcționării MFE în calitate de autoritate pentru coordonarea FESI și de AM pentru POAT, POC și POIM 2014-2020, inclusiv pentru închiderea POS T, POS M, POS CCE și POAT 2007-2013.</t>
  </si>
  <si>
    <t>Obiectivul general al proiectului vizează acordarea de sprijin pentru realizarea gestionării și implementării transparente și eficiente a IS, în procesul de închidere a POS CCE 2007-2013.</t>
  </si>
  <si>
    <t>Obiectivul general al proiectului constă în continuarea dezvoltării capacității administrative a ACP din cadrul MFP și îmbunătățirea calității activității la locul de muncă a personalului ACP implicat în gestionarea financiară a FESI.</t>
  </si>
  <si>
    <t>2.1.066</t>
  </si>
  <si>
    <t xml:space="preserve">2.1.091
</t>
  </si>
  <si>
    <t xml:space="preserve">2.1.092
</t>
  </si>
  <si>
    <t>2.1.093</t>
  </si>
  <si>
    <t>1.1.094</t>
  </si>
  <si>
    <t>Sprijin pentru MFE si MDRAPFE, inclusiv AM POAT, AM POC, AM/OIR POIM, prin asigurarea
cheltuielilor cu chiria si a cheltuielilor conexe</t>
  </si>
  <si>
    <t>Sprijin logistic si salarial pentru ADR VEST in calitate de OI POS CCE in procesul de inchidere a POS CCE 2007-2013</t>
  </si>
  <si>
    <t>Sprijin pentru cresterea capacitatii
administrative a Organismului Intermediar
pentru Cercetare</t>
  </si>
  <si>
    <t>Sprijin pentru OI Cercetare in derularea
proiectelor finantate din POAT 2014-2020</t>
  </si>
  <si>
    <t>Sprijin logistic pentru OI Cercetare (II)</t>
  </si>
  <si>
    <t>Agenția pentru Dezvoltare Regională a Regiunii de Dezvoltare Vest</t>
  </si>
  <si>
    <t>Obiectivul general al proiectului este sprijinirea funcționării MFE în calitate de autoritate pentru coordonarea FESI și de AM pentru POAT, POC și POIM, inclusiv pentru închiderea POS T, POS M, POS CCE și POAT 2007-2013.
Obiectivul specific vizează asigurarea cheltuielilor aferente închirierii sediului și a cheltuielilor conexe necesare pentru derularea activităților structurilor din cadrul MFE cu rol de coordonare a FESI, precum și a celor implicate în gestionarea POAT, POIM și POC 2014-2020 și a POS T, POS M, POS CCE și POAT 2007-2013 și a structurilor suport.</t>
  </si>
  <si>
    <t>Obiectivul general al proiectului este acordarea de sprijin pentru realizarea gestionării și implementării transparente și eficiente a IS în procesul de închidere a POS CCE.</t>
  </si>
  <si>
    <t>Obiectivul general al proiectului constă în asigurarea capacității instituționale a OI Cercetare, prin sprijinirea funcționării sale, în vederea îndeplinirii corespunzătoare a atribuțiilor delegate ale OI Cercetare.</t>
  </si>
  <si>
    <t>Obiectivul general vizează asigurarea capacității OI C pentru gestionarea eficientă a atribuțiilor delegate de AM POC/POS CCE.
Obiectivul specific vizează eficientizarea procesului de programare, monitorizare și verificare CR, verificare achiziții ale CF din cadrul AP 1 a POC și a durabilității AP 2 a POS CCE.</t>
  </si>
  <si>
    <t>Obiectivul general al proiectului constă în asigurarea capacității OI Cercetare pentru închiderea POS CCE - AP2 și gestionarea POC - AP 1.
Obiectivul specific vizează operaționalizarea și funcționarea la nivelul OI Cercetare a unei Unități de Implementare a portofoliului de proiecte de AT finanțate din POAT 2014-2020, în vederea unei implementări eficiente a acestor proiecte.</t>
  </si>
  <si>
    <t>RO</t>
  </si>
  <si>
    <t>1.1.110</t>
  </si>
  <si>
    <t>2.1.111</t>
  </si>
  <si>
    <t>2.1.099</t>
  </si>
  <si>
    <t>2.1.109</t>
  </si>
  <si>
    <t>1.2.077</t>
  </si>
  <si>
    <t>1.2.097</t>
  </si>
  <si>
    <t>2.1.065</t>
  </si>
  <si>
    <t>2.2.089</t>
  </si>
  <si>
    <t>2.2.088</t>
  </si>
  <si>
    <t>2.1.102</t>
  </si>
  <si>
    <t>3.1.107</t>
  </si>
  <si>
    <t>3.1.108</t>
  </si>
  <si>
    <t>AP 2/2.2.1</t>
  </si>
  <si>
    <t>Întărirea capacității Ministerului Sănătății de a pregăti și implementa proiectele Spitalelor Clinice Regionale de Urgență: Craiova, Iași, Cluj</t>
  </si>
  <si>
    <t>Sprijin logistic și salarial pentru ADR SE, în calitate de OI POS CCE, în procesul de închidere a POS CCE 2007-2013 (II)</t>
  </si>
  <si>
    <t>Sprijin logistic și salarial pentru ADR Sud Muntenia în calitate de OI POS CCE în procesul de închidere a POS CCE 2007 - 2013 (II)</t>
  </si>
  <si>
    <t>Implementarea Planului de Evaluare a Acordului de Parteneriat – faza 2</t>
  </si>
  <si>
    <t>Fondurile europene pe înțelesul tuturor</t>
  </si>
  <si>
    <t>Valori europene in Ro la 100 ani de la Marea Unire</t>
  </si>
  <si>
    <t>Suplimentarea echipamentelor de stocare de la nivelul infrastructurii nodului Central SMIS, necesare
deservirii sistemelor informatice sustinute (MySMIS2014/SMIS2014+/etc.)</t>
  </si>
  <si>
    <t>Evaluarea initiala a mecanismelor Directiei Coordonare SMIS si IT în vederea realizarii premiselor
dezvoltarii si implementarii Sistemului de Management al Securitatii Informatiei prin intermediul
alinierii la standardele ISO 27001, ISO 27002, precum si la cadrul de referinta COBIT</t>
  </si>
  <si>
    <t>Continuarea sprijinului pentru MFE prin asigurarea cheltuielilor cu chiria si a cheltuielilor conexe</t>
  </si>
  <si>
    <t>Instruire în domeniul prelucrării datelor cu caracter personal pentru structurile din cadrul sistemului de coordonare, gestionare și control al FESI în România</t>
  </si>
  <si>
    <t>Sprijin pentru Autoritatea de Audit pentru derularea de activități de formare</t>
  </si>
  <si>
    <t>Ministerul Sănătății</t>
  </si>
  <si>
    <t>ADR SE</t>
  </si>
  <si>
    <t>Agenția pentru Dezvoltare Regională a Regiunii de Dezvoltare Sud Muntenia</t>
  </si>
  <si>
    <t>ANFP</t>
  </si>
  <si>
    <t>Autoritatea de Audit</t>
  </si>
  <si>
    <t>Obiectivul general al proiectului este întărirea capacității MS, în calitate de beneficiar de proiecte finanțate din FESI, de a pregăti și implementa proiectele Spitalelor regionale de urgență: Craiova, Iași și Cluj.</t>
  </si>
  <si>
    <t>Obiectivul general al proiectului constă în acordarea de sprijin pentru gestionarea și implementarea transparentă și eificientă a IS în procesul de închidere a POS CCE 2007-2013.</t>
  </si>
  <si>
    <t xml:space="preserve">Obiectivul general al proiectului este de a facilita un management informat al Acordului de Parteneriat 2014-2020 şi adoptarea deciziilor pe bază de dovezi.
</t>
  </si>
  <si>
    <t>Obiectivul general constă în promovarea și transmiterea de informații referitoare la oportunitățile de finanțare din FESI, asigurând o diseminare coordonată la nivel național și regional a mesajelor pe această temă.</t>
  </si>
  <si>
    <t>Obiectivul general al proiectului este de a evidenția importanța proiectului european pentru România modernă în ultima sută de ani, cu accent pe efectele integrării în UE și beneficiile aduse de finanțările europene.</t>
  </si>
  <si>
    <t>Obiectivul general vizează continuarea sprijinirii funcționării MFE în calitate de autoritate pentru coordonarea FESI și de AM pentru POAT, POC și POIM, inclusiv pentru închiderea POS T, POS M, POS CCE și POAT 2007-2013 (cheltuieli aferente relocării și închirierii unui spațiu de arhivă provizoriu, necesare pentru desfășurarea în condiții optime a activității zilnice).</t>
  </si>
  <si>
    <t>Obiectivul general al proiectului vizează dezvoltarea și menținerea unui sistem informatic funcțional și eficient pentru FSC, precum și întărirea capacității utilizatorilor săi.</t>
  </si>
  <si>
    <t>Obiectivul general al proiectului vizează sprijinirea DCSMISIT în vederea realizării premiselor pentru dezvoltarea și implementarea Sistemului de Management al Securității Informației prin alinierea la standardele ISO 27001, 27002, precum și la cadrul de referință COBIT 5, la nivelul DCSMISIT.</t>
  </si>
  <si>
    <t>Obiectivul general al proiectului vizează asigurarea funcționării MFE în calitate de autoritate pentru coordonarea FESI și de AM pentru POAT și POIM, inclusiv pentru închiderea POS Transport, POS Mediu și POAT 2007-2013 (spațiul și cheltuielile conexe necesare pentru desfășurarea activităților curente ale MFE).</t>
  </si>
  <si>
    <t>Obiectivul general vizează dezvoltarea capacității manageriale a structurilor cu rol de coordonare, gestionare și control al FESI, prin asigurarea înțelegerii modalității de aplicare a reglementărilor în materie de prelucrare și protecție a datelor cu caracter personal în derularea activităților specifice.</t>
  </si>
  <si>
    <t>obiectivul general vizează asigurarea unui nivel adecvat de eficiență și calitate la nivelul activităților de audit ce decurg din punerea în aplicare a prevederilor regulamentelor europene și a legislației naționale adecvate.</t>
  </si>
  <si>
    <t>2.1.113</t>
  </si>
  <si>
    <t>3.1.105</t>
  </si>
  <si>
    <t>Sprijin pentru MFE în organizarea reuniunilor cu privire la Politica de coeziune în anul 2019</t>
  </si>
  <si>
    <t>Sprijin pentru finanțarea cheltuielilor salariale ale personalului OI Energie implicat în închiderea POS CCE 2007-2013 - Axa prioritară nr. 4</t>
  </si>
  <si>
    <t>Ministerul Energiei - OI pentru Energie</t>
  </si>
  <si>
    <t>Obiectivul general al proiectului îl reprezintă dezvoltarea unei politici îmbunătăţite a managementului resurselor umane, care să asigure stabilitatea, calificarea şi motivarea adecvată a personalului cu atribuţii în gestionarea coordonarea, gestionarea şi controlul Fondurilor europene structurale şi de investiţii (FESI).</t>
  </si>
  <si>
    <t>2.1.016</t>
  </si>
  <si>
    <t>1.2.098</t>
  </si>
  <si>
    <t>AP1/1.2.2</t>
  </si>
  <si>
    <t>Sprijin pentru implementarea principiului parteneriatului în coordonarea și gestionarea fondurilor europene privind coeziunea</t>
  </si>
  <si>
    <t>2.1.064</t>
  </si>
  <si>
    <t>Sprijin pentru Ministerul Dezvoltării Regionale, Administrației Publice și Fondurilor Europene, inclusiv AM POC, AM/OIR POS M/DRI POIM, prin asigurarea diverselor cheltuieli cu autoturismele (II)</t>
  </si>
  <si>
    <t>Creşterea capacităţii MFE de a gestiona portofoliul de proiecte prin care se asigură sprijinul orizontal logistic si al achizițiilor publice necesar coordonării FESI şi gestionării POAT, POIM şi POC</t>
  </si>
  <si>
    <t xml:space="preserve">
Obiectivul general al  proiectului consta in sprijinirea MFE în realizarea funcţiilor de coordonare FESI şi gestionare POAT, POIM şi POC
Obiectivul specific al proiectului este reprezentat de asigurarea necesarului de personal pe activităţile de elaborare CF (proiecte orizontale şi specifice POAT), achiziţii publice, management contracte/acorduri-cadru si suport logistic pentru a asigura gestionarea portofoliului de proiecte ale MFE aferente structurilor eligibile din POAT.</t>
  </si>
  <si>
    <t>Ce înseamnă Coeziunea UE</t>
  </si>
  <si>
    <t>Obiectivul general al proiectului este diseminarea eficientă către publicul ţintă a informaţiilor referitoare la politica de coeziune şi a impactului acesteia asupra dezvoltării României.
Obiectivul specific al proiectului il reprezinta promovarea impactului politicii de coeziune asupra României, cu sprijinul diferitelor canale media şi al evenimentelor specifice</t>
  </si>
  <si>
    <t>1.1.112</t>
  </si>
  <si>
    <t>1.2.100</t>
  </si>
  <si>
    <t xml:space="preserve">Sprijin pentru DCEI din cadrul MFE prin asigurarea de servicii de traducere autorizată si interpretariat  în vederea realizării responsabilităților ce revin Ministerului Fondurilor Europene, în calitate de instituție centrală responsabilă de politica de coeziune  </t>
  </si>
  <si>
    <t>2.1.115</t>
  </si>
  <si>
    <t>1.1.114</t>
  </si>
  <si>
    <t>finalizat</t>
  </si>
  <si>
    <t>Instruire orizontală în domeniul prelucrării datelor cu caracter personal, pentru beneficiarii FESI</t>
  </si>
  <si>
    <t>2.1.106</t>
  </si>
  <si>
    <t>Asigurarea sprijinului logistic, inclusiv cheltuieli de funcționare, necesare desfășurării activității OIE pentru închiderea Axei Prioritare 4 din cadrul POS CCE 2007- 2013</t>
  </si>
  <si>
    <t>OI Energie</t>
  </si>
  <si>
    <t>Obiectivul general il constituie acordarea de sprijin pentru realizarea gestionării şi implementării transparente şi eficiente a Instrumentelor Structurale în procesul de
închidere a Axei Prioritare 4 din cadrul POS CCE 2007-2013.
Obiectivul specific ale proiectului consta in imbunătăţirea cadrului şi condiţiilor optime pentru desfăşurarea activităţii OIE necesare închiderii cu succes a Axei Prioritare 4 din
cadrul POS CCE 2007-2013 prin asigurarea resurselor financiare necesare pentru plata chiriei şi utilităţilor, spaţiului de arhivă,
funcţionării autoturismelor şi pentru achiziţionarea de rechizite şi consumabile necesare desfăşurării activităţilor OIE.</t>
  </si>
  <si>
    <t>1.1.121</t>
  </si>
  <si>
    <t>2.1.118</t>
  </si>
  <si>
    <t>Sprijin pentru eficientizarea gestionării şi implementării FESI la nivelul autorităţilor publice locale de la nivelul oraşelor, municipiilor şi judeţelor din România</t>
  </si>
  <si>
    <t>Asistenţa Tehnica pentru identificarea orientarilor strategice privind investiţiile naţionale sprijinite prin fonduri europene si elaborarea documentelor de programare aferente perioadei 2021-2027</t>
  </si>
  <si>
    <t>ROREG</t>
  </si>
  <si>
    <t>Obiectivul general  consta in acordarea de sprijin pentru cresterea eficientei gestionarii si implementarii FESI prin dezvoltarea activitatilor de cooperare intra si inter-regionala la nivelul judetelor, oraselor si municipiilor din România.
Obiectivul specific al proiectului este reprezentat de imbunatatirea mecanismelor si capacitatii de gestionare a FESI la nivelul beneficiarilor FESI de la nivelul autoritatilor administratiei publice locale din zona urbana si de la nivel judetean.</t>
  </si>
  <si>
    <t xml:space="preserve">
Obiectivul proiectului il reprezinta dezvoltarea si mentinerea unui sistem informatic functional si eficient pentru FSC
Obiectivele specifice ale proiectului
1. Asigurarea capacitatii administrative a Directiei Coordonare SMIS si IT din cadrul MFE în vederea analizarii, optimizarii,
îmbunatatirii si dezvoltarii sistemului informatic integrat SMIS2014+/MySMIS2014
2. Sistemul integrat SMIS2014+/MySMIS2014 documentat (diagrame, verificare si actualizare a documentaţiei codului sursa,
realizarea arhitecturii bazei de date, realizare/actualizare de manuale ale sistemului, etc.)</t>
  </si>
  <si>
    <t>Obiectivele proiectului
Dezvoltarea unei politici de management al resurselor umane care sa asigure motivarea, calificarea si retenţia personalului SRI cu atribuţii
în coordonarea, gestionarea si controlul fondurilor europene structurale si de investiţii.
Obiectivele specifice ale proiectului
1. Sprijinirea sistemului de remunerare a personalului structurii SRI cu responsabilitaţi de dezvoltare si mentenanţa a sistemului
informatic unitar SMIS2014+ si a aplicaţiei conexe MySMIS2014, precum si de administrare a produselor tehnologice aferente
acestora.
Ca obiectiv specific, proiectul urmareste sprijinirea sistemului de remunerare si motivare a personalului din cadrul structurii SRI
care este responsabila cu dezvoltarea si mentenanţa sistemului informatic MySMIS2014, precum si cu administrarea produselor
tehnologice aferente acestora, denumita în continuare Structura destinata activitatilor specifice pentru dezvoltarea si mentenanţa
sistemelor informatice de gestionare a fondurilor europene, prin asigurarea resurselor financiare necesare pentru plata parţiala a
cheltuielilor de personal aferente structurii respective.
Prin obiectivele propuse, atât cel general, cât si cel specific, proiectul contribuie în mod direct la atingerea obiectivului specific al
Axei prioritare 3 - Cresterea eficienţei si eficacitaţii resurselor umane implicate în sistemul de coordonare, gestionare si control al
FESI în România din cadrul POAT 2014-2020 în sensul asigurarii stabilitaţii si motivarii adecvate a personalului</t>
  </si>
  <si>
    <t xml:space="preserve">
Obiectivul general al proiectului presupune îndeplinirea de catre MFE a responsabilitaţilor care îi revin în calitate de coordonator al implementarii si gestionarii
instrumentelor fondurilor europene structurale si de investiţii.
Obiectivele specifice ale proiectului:
1. Asigura sprijinul MFE în ceea ce priveste organizarea de reuniuni informale si evenimente privind pregatirea si gestionareapoliticii de coeziune.</t>
  </si>
  <si>
    <t>Obiectivul general: Sprijinirea funcţionarii MDRAPFE/MFE, în calitate de Autoritate de Management pentru POC, POS CCE, POS T, POSM,
AM si OI pentru POIM, prin asigurarea cheltuielilor necesare utilizarii în conditii optime a autoturismelor eligibile din POAT.</t>
  </si>
  <si>
    <t>Obiectivul general: este reprezentat de consolidarea capacitaţii beneficiarilor implicaţi în gestionarea FESI de a implementa proiecte si
gestiona fonduri europene nerambursabile.
Obiectivul specific este reprezentat de consolidarea capacitaţii beneficiarilor implicaţi în gestionarea fondurilor ESI atât prin
formarea orizontala în domeniul prelucrarii datelor cu caracter personal, cât si prin formarea specializata si certificarea în
domeniul prelucrarii datelor cu caracter personal.</t>
  </si>
  <si>
    <t xml:space="preserve">
Obiective proiect
Elaborarea Orientarilor Strategice privind investiţiile naţionale sprijinite prin fonduri europene care contribuie la dezvoltarea echilibrata si
competitiva a României si crearea de locuri de munca si elaborarea de programe operaţionale care sa contribuie în mod eficient la
implementarea orientarilor strategice.
Obiectivele specifice ale proiectului
1. Identificarea orientarilor strategice de investiţii care pot fi susţinute prin fondurile europene
2. Elaborarea documentelor programatice aferente perioadei 2021-2027
3. Dezvoltarea capacitaţii Direcţiei de Analiza si Programare de a identifica direcţiile strategice de investiţii si de a elabora
programele operaţionale finanţate din Fondurile europene 2021-2027
4. Informarea corecta a factorilor interesaţi privind investiţiile finanţate din Fonduri Europene</t>
  </si>
  <si>
    <t>2.1.120</t>
  </si>
  <si>
    <t>2.1.116</t>
  </si>
  <si>
    <t>Sprijinirea AM POAT in vederea gestionarii eficiente a Programului Operational Asistenta Tehnica 2014-2020</t>
  </si>
  <si>
    <t>Obiectivul general al proiectului il reprezinta asigurarea unui proces de implementare eficienta si eficace a FESI.
 Obiectivul specific al proiectului consta în acordarea de sprijin AM POAT în vederea gestionarii eficiente a POAT 2014-2020, prin
cooptarea de personal în afara organigramei, asigurarea de servicii de consultanţa, asigurarea suportului IT&amp;C, achiziţia de
materiale promoţionale pentru colaboratorii AM POAT, desfasurarea unor vizite de lucru de catre personalul AM POAT,
asigurarea necesarului de obiecte de inventar în vederea desfasurarii în condiţii optime a activitaţii AM POAT.</t>
  </si>
  <si>
    <t>Obiectivul general al proiectului il reprezinta sprijinirea funcţionării MFE, în calitate de Autoritate de Management pentru POC, POS CCE, POS T, POS-M, AM si OI pentru POIM, prin asigurarea cheltuielilor necesare utilizării în conditii optime a autoturismelor eligibile din POAT. Obiectivele specifice ale proiectului sunt urmatoarele: Asigurarea cheltuielilor cu poliţele CASCO pentru autoturismele eligibile din POAT, pentru buna implementare a POC şi POIM şi Asigurarea monitorizării in implementare a proiectelor finanţate prin acestea, dar si pentru asigurarea monitorizării postimplementare a proiectelor POS CCE si POS-M si POS-T.</t>
  </si>
  <si>
    <t>Sprijin pentru finanţarea cheltuielilor de personal efectuate în perioada decembrie 2015-decembrie 2017, pentru personalul Ministerul Cercetarii si Inovarii, implicat în gestionarea FESI</t>
  </si>
  <si>
    <t>2.1.119</t>
  </si>
  <si>
    <t>121/122</t>
  </si>
  <si>
    <t>2.1.117</t>
  </si>
  <si>
    <t>Sprijin pentru funcționarea Autorității de Audit la standarde europene</t>
  </si>
  <si>
    <t>AA</t>
  </si>
  <si>
    <t>Obiectivul general al proiectului constă în asigurarea unui nivel adecvat de eficienţă şi calitate la nivelul activităţilor de audit desfăşurate de Autoritatea de Audit în domeniul auditului fondurilor ESI, în vederea asigurării cadrului şi instrumentelor adecvate pentru implementarea şi monitorizarea eficientă a fondurilor ESI în România.</t>
  </si>
  <si>
    <t>2.1.122</t>
  </si>
  <si>
    <t>Sprijin pentru eficientizarea îndeplinirii atribuțiilor OI Cercetare în implementarea Axei prioritare 1 POC</t>
  </si>
  <si>
    <t>Obiectivul general al acestui proiect este asigurarea sprijinului necesar OI Cercetare pentru realizarea atribuţiilor delegate privind implementarea POC. Obiectivul specifice al proiectului  este asigurarea sprijinului necesar OI Cercetare pentru eficientizarea verificărilor efectuate asupra proiectelor POC aflate în implementare în perioada 2020-2023, prin contractarea serviciilor de consultanţă ştiinţifică şi tehnică (suport pentru monitorizarea proiectelor, efectuarea vizitelor de monitorizare/la faţa locului/control, emiterea de puncte de vedere de specialitate).</t>
  </si>
  <si>
    <t>AP2/2.2.2</t>
  </si>
  <si>
    <t>2.2.123</t>
  </si>
  <si>
    <t>Transfer de cunoştinţe, instruire şi suport pentru utilizatori în vederea facilitării serviciilor oferite acestora în utilizarea aplicaţiilor SMIS 2014+ şi MySMIS2014</t>
  </si>
  <si>
    <t>Obiectivul general constă în asigurarea sprijinului necesar dedicat utilizatorilor, prin organizarea unor sesiuni de instruire şi transfer de cunoştinţe cu privire la operarea aplicaţiilor sistemului SMIS2014+/MySMIS2014 
Obiectivele specifice ale proiectului 1. Transfer de cunoştinţe şi know-how prin familiarizarea personalului din cadrul Directiei SMIS si IT – MFE, dar si din cadrul altor Structuri de Gestionare si Control FESI, care asigură dezvoltarea, îmbunătăţirea şi mentenanţa sistemului SMIS2014+/MySMIS2014, cu cele mai bune practici în domeniu la nivel UE;  2. Îmbunătăţirea capacităţii beneficiarilor FESI în ceea ce priveşte utilizarea sistemului informatic integrat SMIS2014+/MySMIS2014 (FrontOffice);  3. Îmbunătăţirea capacităţii structurilor de gestionare si control FESI (AM, OI, etc.) în ceea ce priveşte utilizarea sistemului informatic integrat SMIS2014+/MySMIS2014 (BackOffice)</t>
  </si>
  <si>
    <t>2.2.124</t>
  </si>
  <si>
    <t>Modernizarea infrastructurii informatice și a mecanismelor de funcționare aferente ce deservesc sistemul informatic integrat SMIS2014+/MySMIS2014 și aplicațiile sale conexe în vederea asigurării funcționării eficiente, continue și securizate a acestuia</t>
  </si>
  <si>
    <t>Obiectivul general este optimizarea si dezvoltarea infrastructurii critice a sistemului informatic integrat SMIS2014+/MySMIS2014 in vederea asigurarii functionarii eficiente, continue si securizate catre utilizatorii acestuia.
Obiectivul specific este implementarea masurilor necesare de modernizare a infrastructurii critice a sistemului informatic integrat SMIS2014+/MySMIS2014.</t>
  </si>
  <si>
    <t>2.1.125</t>
  </si>
  <si>
    <t>Sprijin pentru realizarea si implementarea unui instrument teritorial Integrat (ITI) în Valea Jiului în
perioada de programare 2021-2027</t>
  </si>
  <si>
    <t>Obiectivul general al proiectului:Asigurarea unui sprijin comprehensiv în procesul de creare a cadrului necesar dezvoltării şi implementării unui instrument de investitii teritoriale integrate (ITI) in Valea Jiului în perioada de programare 2021-2027. 
Obiectivele specifice ale proiectului: 1. Implicarea actorilor interesati  in procesul de identificare a priorităţilor de investiţii si a proiectelor pentru dezvoltarea zonei Valea Jiului şi pentru conştientizarea tuturor actorilor implicaţi asupra necesităţii utilizării instrumentului ITI prin organizarea de grupuri de lucru, focus grupuri si seminarii tematice.   2. sprijin pentru adoptarea deciziilor de aprobare a Strategiei si pentru înfiinţarea unui sistem de guvernanţă pentru implementarea strategiei prin organizarea reuniunilor Comitetului Director şi ale Grupului de Lucru Tehnice aferente Iniţiativei Valea Jiului care sprijină dezvoltarea şi implementarea ITI.     3. Informarea corecta a factorilor interesaţi şi asigurarea sprijinului larg al locuitorilor din valea Jiului pentru procesul de restructurare, prin organizarea de reuniuni/ conferinţe pentru prezentarea ITI şi a Strategiei Văii Jiului</t>
  </si>
  <si>
    <t>2.1.127</t>
  </si>
  <si>
    <t>Sprijinirea AM POIM în procesul de pregătire şi evaluare a proiectelor depuse în cadrul POIM 2014 – 2020 OS 3.2.Creşterea nivelului de colectare şi epurare a apelor uzate urbane, precum şi a gradului de asigurare a alimentării cu apă potabilă a populaţiei si OS 9.1.Creşterea capacităţii de gestionare a crizei sanitare COVID-19</t>
  </si>
  <si>
    <t>2.1.126</t>
  </si>
  <si>
    <t>2.1.131</t>
  </si>
  <si>
    <t>Continuarea asigurării de servicii de
asistenţă tehnică din partea experţilor BEI
pentru gestionarea POIM 2014 - 2020 la
nivelul AM POIM şi a OI Transport</t>
  </si>
  <si>
    <t>Obiectivul general: Elaborarea de materiale de comunicare cu un conţinut şi de o calitate corespunzătoare pentru distribuirea prin canale
diferite de comunicare audio-video, inclusiv prin intermediul new media şi promovarea activităţii MFE.
Obiectivele specifice ale proiectului
1. OS 1: Achiziţionarea de echipamente necesare pentru crearea de producţii foto şi/sau video de calitate
2. OS 2: Sprijinirea derulării întâlnirilor între reprezentanţii MFE şi diferite categorii de public, precum şi îmbunătăţirea activităţii de
comunicare a MFE</t>
  </si>
  <si>
    <t xml:space="preserve">Obiectiv proiect:Întărirea capacităţii AM POIM si OI Transport in gestionarea POIM 2014-2020 si pregatirea perioadei de programare 2021-2027, inclusiv
sprijin în îndeplinirea conditiilor favorizante în sectoarele acoperite în prezent de POIM, precum şi îmbunătăţirea sistemelor de
management şi control
Obiectivele specifice ale proiectului
1. Maximizarea absorbtiei fondurilor UE inainte de sfarsitul perioadei de programare 2014-2020
2. Intarirea capacitatilor si abilitatilor de implementare pentru perioadele de programare 2014-2020 si 2021-2027 in cadrul MFE si OI
Transport
</t>
  </si>
  <si>
    <t>Crt. No.</t>
  </si>
  <si>
    <t>Priority Axis/Investment priority</t>
  </si>
  <si>
    <t>Project title</t>
  </si>
  <si>
    <t>Beneficiary name</t>
  </si>
  <si>
    <t>Project summary</t>
  </si>
  <si>
    <t>Start date</t>
  </si>
  <si>
    <t>End date</t>
  </si>
  <si>
    <t>Union co-financing rate</t>
  </si>
  <si>
    <t>Region</t>
  </si>
  <si>
    <t>County</t>
  </si>
  <si>
    <t>Locality</t>
  </si>
  <si>
    <t>Beneficiary type</t>
  </si>
  <si>
    <t>Area of intervention</t>
  </si>
  <si>
    <t>Eligible value of the project (LEI)</t>
  </si>
  <si>
    <t>Total value of the project</t>
  </si>
  <si>
    <t>Project status</t>
  </si>
  <si>
    <t>Aditional act  no.</t>
  </si>
  <si>
    <t>Beneficiary payments (lei)</t>
  </si>
  <si>
    <t>Project code</t>
  </si>
  <si>
    <t>Financing</t>
  </si>
  <si>
    <t>Beneficiary private contribution</t>
  </si>
  <si>
    <t>Private contribution</t>
  </si>
  <si>
    <t>Non eligible expenditure</t>
  </si>
  <si>
    <t>Eu Funds</t>
  </si>
  <si>
    <t>National contribution</t>
  </si>
  <si>
    <t>EU Funds</t>
  </si>
  <si>
    <t>National budget</t>
  </si>
  <si>
    <t>Cod SMIS</t>
  </si>
  <si>
    <t>Cod proiect</t>
  </si>
  <si>
    <t>118951</t>
  </si>
  <si>
    <t>119507</t>
  </si>
  <si>
    <t>119558</t>
  </si>
  <si>
    <t>118338</t>
  </si>
  <si>
    <t>118695</t>
  </si>
  <si>
    <t>116345</t>
  </si>
  <si>
    <t>119998</t>
  </si>
  <si>
    <t>117749</t>
  </si>
  <si>
    <t>119310</t>
  </si>
  <si>
    <t>119301</t>
  </si>
  <si>
    <t>119136</t>
  </si>
  <si>
    <t>118641</t>
  </si>
  <si>
    <t>118647</t>
  </si>
  <si>
    <t>119453</t>
  </si>
  <si>
    <t>117924</t>
  </si>
  <si>
    <t>117723</t>
  </si>
  <si>
    <t>117516</t>
  </si>
  <si>
    <t>119470</t>
  </si>
  <si>
    <t>118855</t>
  </si>
  <si>
    <t>117345</t>
  </si>
  <si>
    <t>117351</t>
  </si>
  <si>
    <t>116754</t>
  </si>
  <si>
    <t>116821</t>
  </si>
  <si>
    <t>119291</t>
  </si>
  <si>
    <t>117818</t>
  </si>
  <si>
    <t>118997</t>
  </si>
  <si>
    <t>117961</t>
  </si>
  <si>
    <t>119813</t>
  </si>
  <si>
    <t>119743</t>
  </si>
  <si>
    <t>119979</t>
  </si>
  <si>
    <t>119819</t>
  </si>
  <si>
    <t>118455</t>
  </si>
  <si>
    <t>119913</t>
  </si>
  <si>
    <t>123044</t>
  </si>
  <si>
    <t>120044</t>
  </si>
  <si>
    <t>124208</t>
  </si>
  <si>
    <t>124355</t>
  </si>
  <si>
    <t>126444</t>
  </si>
  <si>
    <t>120084</t>
  </si>
  <si>
    <t>126748</t>
  </si>
  <si>
    <t>119695</t>
  </si>
  <si>
    <t>126403</t>
  </si>
  <si>
    <t>125713</t>
  </si>
  <si>
    <t>124560</t>
  </si>
  <si>
    <t>127966</t>
  </si>
  <si>
    <t>126822</t>
  </si>
  <si>
    <t>119810</t>
  </si>
  <si>
    <t>128031</t>
  </si>
  <si>
    <t>127818</t>
  </si>
  <si>
    <t>122800</t>
  </si>
  <si>
    <t>119760</t>
  </si>
  <si>
    <t>128343</t>
  </si>
  <si>
    <t>128054</t>
  </si>
  <si>
    <t>119877</t>
  </si>
  <si>
    <t>128063</t>
  </si>
  <si>
    <t>128088</t>
  </si>
  <si>
    <t>128087</t>
  </si>
  <si>
    <t>128089</t>
  </si>
  <si>
    <t>126095</t>
  </si>
  <si>
    <t>126789</t>
  </si>
  <si>
    <t>128081</t>
  </si>
  <si>
    <t>128322</t>
  </si>
  <si>
    <t>120207</t>
  </si>
  <si>
    <t>128240</t>
  </si>
  <si>
    <t>120046</t>
  </si>
  <si>
    <t>126427</t>
  </si>
  <si>
    <t>126425</t>
  </si>
  <si>
    <t>126065</t>
  </si>
  <si>
    <t>128212</t>
  </si>
  <si>
    <t>128296</t>
  </si>
  <si>
    <t>129407</t>
  </si>
  <si>
    <t>128108</t>
  </si>
  <si>
    <t>127727</t>
  </si>
  <si>
    <t>120086</t>
  </si>
  <si>
    <t>129611</t>
  </si>
  <si>
    <t>128273</t>
  </si>
  <si>
    <t>129543</t>
  </si>
  <si>
    <t>129690</t>
  </si>
  <si>
    <t>128139</t>
  </si>
  <si>
    <t>132349</t>
  </si>
  <si>
    <t>131380</t>
  </si>
  <si>
    <t>132215</t>
  </si>
  <si>
    <t>133043</t>
  </si>
  <si>
    <t>132163</t>
  </si>
  <si>
    <t>131621</t>
  </si>
  <si>
    <t>134234</t>
  </si>
  <si>
    <t>133103</t>
  </si>
  <si>
    <t>131022</t>
  </si>
  <si>
    <t>135426</t>
  </si>
  <si>
    <t>140293</t>
  </si>
  <si>
    <t>135730</t>
  </si>
  <si>
    <t>140627</t>
  </si>
  <si>
    <t>Timișoara</t>
  </si>
  <si>
    <t>1.1.136</t>
  </si>
  <si>
    <t>Asistenta pentru AM POIM în procesul de pregătire a proiectelor pentru asigurarea respectării prevederilor directivei 92/43/CEE privind conservarea habitatelor naturale și a speciilor de floră și faună sălbatice și a directivei 79/409/CEE privind conservarea păsărilor sălbatice</t>
  </si>
  <si>
    <t>Obiectivul general al proiectului/Scopul proiectului : Sprijinirea AM POIM şi a beneficiarilor în ceea ce priveşte evaluarea impactului potenţial al proiectelor asupra siturilor NATURA 2000 cu accent asupra obiectivelor de conservare generale şi specifice. Obiectivele specifice ale proiectului 1. Parametrizarea obiectivelor de conservare specifice la nivel de sit Natura 2000 existente in planurile de management aprobate pentru a putea asigura o evaluare adecvată aferentă proiectelor propuse la finanţare din POIM pentru asigurarea respectării prevederilor directivelor 92/43/CEE şi 79/409/CEE 2. Parametrizarea obiectivelor de conservare specifice la nivel de sit Natura 2000 premergătoare pentru ariile naturale protejate care nu au plan de management şi parametrizarea unitară a indicatorilor care definesc măsurile minime de conservare şi obiectivele de conservare specifice premergătoare, pentru a putea asigura o evaluare adecvată afer</t>
  </si>
  <si>
    <t>1.1.132</t>
  </si>
  <si>
    <t>Continuarea asigurării de servicii de asistență tehnică din partea experților Băncii Europene de Investiții pentru gestionarea Programului Operațional Infrastructură Mare (POIM) 2014 - 2020 la nivelul beneficiarilor POIM</t>
  </si>
  <si>
    <t>Obiectivul general al proiectului/Scopul proiectului: Întărirea capacităţii administrative a Beneficiarilor POIM în procesul de pregătire, implementare şi management al portofoliului de proiecte POIM si pregatirii pentru perioada urmatoare de programare, inclusiv sprijin în îndeplinirea conditiilor favorizante în sectoarele finanţat prin POIM
 Obiectivele specifice ale proiectului :1. Intarirea capacitatilor si abilitatilor de implementare ale beneficiarilor POIM pentru perioada de programare 2014-2020 2. Maximizarea absorbtiei fondurilor UE inainte de sfarsitul perioadei de programare 2014-2020</t>
  </si>
  <si>
    <t>2.1.128</t>
  </si>
  <si>
    <t>Sprijin pentru ADR Sud Muntenia în pregătirea Programului Operational Regional 2021-2027</t>
  </si>
  <si>
    <t>ADR SM</t>
  </si>
  <si>
    <t xml:space="preserve"> Obiectivul general al proiectului este sprijinirea Agenţiei pentru Dezvoltare Regională Sud Muntenia în realizarea rolului de Autoritate de Management pentru Programul Operaţional Regional în perioada 2021-2027. Obiectivele specifice ale proiectului 1. Obiectivul specific al proiectului este operaţionalizarea rolului Agenţiei pentru Dezvoltare Regională Sud Muntenia în calitate de Autoritate de Management pentru POR 2021-2027.</t>
  </si>
  <si>
    <t>2.1.129</t>
  </si>
  <si>
    <t>Sprijin pentru ADR Nord-Est în pregătirea POR 2021- 2027</t>
  </si>
  <si>
    <t>ADR NE</t>
  </si>
  <si>
    <t xml:space="preserve"> Obiectivul general al proiectului este sprijinirea Agenţiei pentru Dezvoltare Regională Nord-Est în realizarea rolului de Autoritate de Management pentru Programul Operaţional Regional Nord-Est perioada 2021-2027. Obiectivele specifice ale proiectului 1. Obiectivul specific al proiectului este operaţionalizarea rolului Agenţiei pentru Dezvoltare Regională Nord-Est de Autoritate de Management pentru POR Nord-Est 2021-2027</t>
  </si>
  <si>
    <t>140564</t>
  </si>
  <si>
    <t>2.1.130</t>
  </si>
  <si>
    <t>Sprijin pentru ADR Sud - Vest Oltenia în pregătirea POR 2021 - 2027</t>
  </si>
  <si>
    <t>ADR SV Oltenia</t>
  </si>
  <si>
    <t>Obiectivul general al proiectului este sprijinirea Agentiei pentru Dezvoltare Regionala Sud-Vest Oltenia in realizarea rolului de Autoritate de Management pentru Programul Operational Regional Sud-Vest Oltenia perioada 2021-2027. Obiectivul specific al proiectului este operationalizarea rolului Agentiei pentru Dezvoltare Regionala Sud-Vest Oltenia de Autoritate de Management pentru POR Sud-Vest Oltenia 2021-2027</t>
  </si>
  <si>
    <t>Sprijin pentru ADR Centru în pregătirea POR 2021-2027</t>
  </si>
  <si>
    <t>ADR Centru</t>
  </si>
  <si>
    <t>2.1.133</t>
  </si>
  <si>
    <t>Obiectivul general al proiectului este sprijinirea Agenţiei pentru Dezvoltare Regională Centru în realizarea rolului de Autoritate de Management pentru Programul Operaţional Regional pentru Regiunea Centru aferent perioadei 2021-2027.  Obiectivul specific al proiectului este operaţionalizarea rolului Agenţiei pentru Dezvoltare Regională Centru de Autoritate de Management pentru POR Regiunea Centru 2021-2027.</t>
  </si>
  <si>
    <t>2.1.135</t>
  </si>
  <si>
    <t>Sprijin pentru ADRSE in pregatirea POR
2021-2027</t>
  </si>
  <si>
    <t xml:space="preserve">Obiectivul general al proiectului este sprijinirea ADR Sud-Est în realizarea rolului de Autoritate de Management pentru Programul Operaţional Regional Sud-Est perioada 2021-2027.Obiectivul specific al proiectului este operaţionalizarea rolului ADR Sud-Est de Autoritate de Management pentru POR SE 2021-2027
</t>
  </si>
  <si>
    <t>141900</t>
  </si>
  <si>
    <t>2.1.138</t>
  </si>
  <si>
    <t>Sprijin pentru ADR Vest in pregatirea POR 2021-2027</t>
  </si>
  <si>
    <t>ADR Vest</t>
  </si>
  <si>
    <t>Obiectivul general al proiectului vizează acordarea de sprijin Agenţiei pentru Dezvoltare Regională a Regiunii Vest pentru pregătirea în vederea îndeplinirii atribuţiilor ce vor decurge din calitatea de viitoare de Autoritate de Management pentru Programul Operaţional Regional Vest perioada 2021-2027.
Obiectivul specific al proiectului este operaţionalizarea rolului Agenţiei pentru Dezvoltare Regională a Regiunii Vest de Autoritate de Management pentru POR Vest 2021-2027</t>
  </si>
  <si>
    <t>141141</t>
  </si>
  <si>
    <t>1.1.137</t>
  </si>
  <si>
    <t>ADR Sud Muntenia</t>
  </si>
  <si>
    <t>Obiectivul general al proiectulUI: Pregătirea de proiecte mature pentru perioada de programare 2021-2027 la nivelul regiunii Sud Muntenia. Obiectivul specific: Asigurarea capacităţii la nivel regional de a pregăti documentaţii tehnico-economice la nivelul regiunii Sud Muntenia pentru proiectele aferente perioadei de programare 2021-2027 în domeniul specializării inteligente</t>
  </si>
  <si>
    <t>Sprijin la nivelul regiunii Sud Muntenia
pentru pregatirea de proiecte finantate din
perioada de programare 2021-2027 pe
domeniul specializare inteligenta</t>
  </si>
  <si>
    <t>141193</t>
  </si>
  <si>
    <t>1.1.140</t>
  </si>
  <si>
    <t>Sprijin la nivelul Regiunii Centru pentru pregătirea de proiecte finanţate din perioada de programare 2021-2027 pe domeniul specializare inteligentă</t>
  </si>
  <si>
    <t xml:space="preserve">Obiectivul general al proiectului îl constituie pregătirea de proiecte mature pentru perioada de programare 2021-2027, la nivelul Regiunii Centru, în domeniul specializării inteligente. Obiectivul specific al proiectului este asigurarea capacităţii la nivel regional de a pregăti documentaţii tehnico-economice la nivelul Regiunii Centru pentru proiectele aferente perioadei de programare 2021-2027 în domeniul specializării inteligente.
</t>
  </si>
  <si>
    <t>141146</t>
  </si>
  <si>
    <t>1.1.141</t>
  </si>
  <si>
    <t>Sprijin la nivelul regiunii Nord-Est pentru
pregatirea de proiecte finatate din
perioada de programare 2021-2027 pe
domeniul specializare inteligenta</t>
  </si>
  <si>
    <t>Obiectivul general al proiectului:Pregătirea de proiecte mature pentru perioada de programare 2021-2027 la nivelul regiunii Nord-Est.
Obiectivul specific ale proiectului:Asigurarea capacităţii la nivel regional de a pregăti documentaţii tehnico-economice la nivelul regiunii Nord-Est pentru proiectele aferente perioadei de programare 2021-2027 în domeniul specializării inteligente</t>
  </si>
  <si>
    <t>141678</t>
  </si>
  <si>
    <t>1.1.139</t>
  </si>
  <si>
    <t>Sprijin la nivelul Regiunii de Dezvoltare Sud-Est pentru pregătirea de proiecte finanţate din perioada de programare 2021- 2027 pe domeniul specializare inteligentă</t>
  </si>
  <si>
    <t>Obiectivul general al proiectului il constituie pregătirea de proiecte mature pentru perioada de programare 2021-2027 la nivelul Regiunii de Dezvoltare Sud-Est.
Obiectivul specific al proiectului: Asigurarea capacităţii la nivel regional de a pregăti documentaţii tehnico-economice la nivelul Regiunii de Dezvoltare Sud-Est pentru proiectele aferente perioadei de programare 2021-2027 în domeniul specializării inteligente</t>
  </si>
  <si>
    <t>141484</t>
  </si>
  <si>
    <t>1.1.144</t>
  </si>
  <si>
    <t>1.1.143</t>
  </si>
  <si>
    <t>Sprijin la nivelul Regiunii Vest pentru pregatirea de proiecte finantate din perioada de programare 2021-2027 pe domeniul specializare inteligenta</t>
  </si>
  <si>
    <t>Sprijin la nivelul regiunii Sud-Vest Oltenia pentru pregătirea de proiecte finanţate din perioada de programare 2021-2027 pe domeniul specializare inteligentă</t>
  </si>
  <si>
    <t>Obiectivul general al proiectului îl reprezinta pregatirea de proiecte de cercetare-dezvoltare-inovare si transfer tehnologic din domeniile de specializare inteligenta, care au si componenta de infrastructura, ce pot fi finantate din fonduri externe nerambursabile acordate în perioada de programare 2021-2027, în cadrul Politicii de Coeziune, la nivelul Regiunii Vest.
 Obiectivul specific al proiectului este asigurarea capacitatii beneficiarilor de a pregati documentatii tehnico-economice, la nivelul Regiunii Vest, pentru proiectele aferente perioadei de programare 2021-2027 în domeniul specializarii inteligente.</t>
  </si>
  <si>
    <t>140803</t>
  </si>
  <si>
    <t>2.1.134</t>
  </si>
  <si>
    <t>Sprijin pentru ADR Nord - Vest în operaţionalizarea rolului de Autoritate de Management pentru POR Nord – Vest 2021 - 2027</t>
  </si>
  <si>
    <t>ADR Nord Vest</t>
  </si>
  <si>
    <t>Obiectivul general al proiectului este sprijinirea Agenţiei de Dezvoltare Regională Nord-Vest în realizarea rolului de Autoritate de
Management pentru Programul Operaţional Regional Nord-Vest perioada 2021-2027. Obiectivul specific al proiectului este operaţionalizarea rolului Agenţiei de Dezvoltare Regională Nord-Vest de Autoritate de Management pentru POR Nord-Vest 2021-2027</t>
  </si>
  <si>
    <t>1.1.142</t>
  </si>
  <si>
    <t>Sprijin la nivelul Regiunii de Dezvoltare Nord-Vest pentru pregătirea de proiecte finanțate din perioada 2021–2027 pe domeniul specializare inteligenta</t>
  </si>
  <si>
    <t>Obiectivul general al proiectului este pregătirea de proiecte mature pentru perioada de programare 2021-2027 la nivelul regiunii de dezvoltare Nord-Vest, în domeniile de specializare inteligentă: Agroalimentar, Cosmetice şi suplimente alimentare, Sănătate, Materiale noi, Tehnologii avansate de producţie, Tehologia informaţiei şi a comunicării. Obiectivul specific ale proiectului : Asigurarea capacităţii de a pregăti documentaţii tehnico-economice la nivelul Regiunii de Dezvoltare Nord-Vest pentru proiectele aferente perioadei de programare 2021-2027 în domeniile specializării inteligente.</t>
  </si>
  <si>
    <t>Obiectivul general al proiectului este pregatirea de proiecte mature pentru perioada de programare 2021-2027 la nivelul regiunii Sud-Vest
Oltenia.
 Obiectivul specific al proiectului este asigurarea capacitatii la nivel regional de a pregati documentatii tehnico-economice la nivelul
regiunii Sud-Vest Oltenia pentru proiectele aferente perioadei de programare 2021-2027 in domeniul specializarii inteligente.</t>
  </si>
  <si>
    <t>Ministerul Investițiilor și Proiectelor Europene prin Direcția Coordonare Sistem și Monitorizare</t>
  </si>
  <si>
    <t>Ministerul Investițiilor și Proiectelor Europene prin Autoritatea de Management pentru Programul Operațional Infrastructură Mare</t>
  </si>
  <si>
    <t>Ministerul Investițiilor și Proiectelor Europene</t>
  </si>
  <si>
    <t>Ministerul Investițiilor și Proiectelor Europene - Serviciul Comunicare Instrumente Structurale</t>
  </si>
  <si>
    <t>Ministerul Investițiilor și Proiectelor Europene prin Serviciul Comunicare Instrumente Structurale</t>
  </si>
  <si>
    <t xml:space="preserve">Ministerul Investițiilor și Proiectelor Europene prin Serviciul Comunicare Instrumente Structurale </t>
  </si>
  <si>
    <t>Ministerul Investițiilor și Proiectelor Europene prin Serviciul Evaluare Programe</t>
  </si>
  <si>
    <t>Ministerul Investițiilor și Proiectelor Europene prin Autoritatea de Management pentru Programul Operațional Sectorial Transport</t>
  </si>
  <si>
    <t>Sprijin pentru Ministerul Investițiilor și Proiectelor Europene, inclusiv AM POAT, AM POC, AM/OIR POIM, prin asigurarea cheltuielilor cu relocarea și a spațiului de arhivă (I)</t>
  </si>
  <si>
    <t>Ministerul Investițiilor și Proiectelor Europene prin Direcția Generală Management Financiar, Resurse Umane și Administrativ</t>
  </si>
  <si>
    <t>Sprijin pentru Ministerul Investițiilor și Proiectelor Europene, inclusiv AM POAT, AM POC, AM/OIR POIM, prin asigurarea  cheltuielilor cu relocarea si a spatiului de arhiva (II)</t>
  </si>
  <si>
    <t>Obiectivul general al proiectului este de a sprijini Ministerul Investițiilor și Proiectelor Europene pentru dezvoltarea si implementarea unui cadru partenerial stabil si organizat la nivelul procesului de coordonare si gestionare a fondurilor europene privind coeziunea.</t>
  </si>
  <si>
    <t>Obiectivul general al proiectului este contributia  la îndeplinirea de către Ministerul Investițiilor și Proiectelor Europene a responsabilităţilor care îi revin în calitate de coordonator al implementării şi gestionării instrumentelor fondurilor europene structurale şi de investiţii.
Obiectivul specific al proiectului este de a asigura sprijin pentru Ministerul Investițiilor și Proiectelor Europene prin servicii de traducere autorizată şi interpretariat, in vederea purtării unei corespondenţe, comunicări şi colaborări permanente intre MFE si instituţii europene din celelalte state membre, cu privire la gestionarea politicii de coeziune şi crearea sinergiilor şi complementarităţilor între FESI şi fondurile gestionate în mod direct de catre Comisia Europeană.</t>
  </si>
  <si>
    <t>Sprijin pentru Ministerul Investițiilor și Proiectelor Europene, inclusiv structurile implicate în gestionarea POAT, POIM, POS M, POS T, POC şi POS CCE, prin asigurarea cheltuielilor cu poliţele CASCO</t>
  </si>
  <si>
    <t>Ministerul Comunicațiilor și Societății Informaționale/ Autoritatea pentru Digitalizarea României</t>
  </si>
  <si>
    <t>Ministerul Investițiilor și Proiectelor Europene/ AM POIM</t>
  </si>
  <si>
    <t>Ministerul Investițiilor și Proiectelor Europene - DCSMISIT</t>
  </si>
  <si>
    <t>Ministerul Investițiilor și Proiectelor Europene-AMPOC</t>
  </si>
  <si>
    <t>Ministerul Investițiilor și Proiectelor Europene prin Autoritatea de Management pentru POIM</t>
  </si>
  <si>
    <t>Ministerul Investițiilor și Proiectelor Europene prin DGPCS</t>
  </si>
  <si>
    <t>Ministerul Investițiilor și Proiectelor Europene - SCIS</t>
  </si>
  <si>
    <t>Ministerul Investițiilor și Proiectelor Europene prin Directia Generala Programare, SMIS, Coordonare Sistem si Cooperare Europeana si Internationala</t>
  </si>
  <si>
    <t>Ministerul Investițiilor și Proiectelor Europene-SCIS</t>
  </si>
  <si>
    <t xml:space="preserve">Ministerul Investițiilor și Proiectelor Europene - Directia Cooperare Europeana si Internationala </t>
  </si>
  <si>
    <t>Ministerul Investițiilor și Proiectelor Europene - DGPCS</t>
  </si>
  <si>
    <t>Ministerul Investițiilor și Proiectelor Europene-DGAPSI</t>
  </si>
  <si>
    <t>Ministerul Investițiilor și Proiectelor Europene prin Direcţia Coordonare SMIS şi IT</t>
  </si>
  <si>
    <t>Ministerul Investițiilor și Proiectelor Europene/DGPCS</t>
  </si>
  <si>
    <t>Ministerul Investițiilor și Proiectelor Europene/AMPOIM</t>
  </si>
  <si>
    <t>Ministerul Investițiilor și Proiectelor Europene/Directia Comunicare</t>
  </si>
  <si>
    <t>Ministerul Investițiilor și Proiectelor Europene- SCIS</t>
  </si>
  <si>
    <t>Ministerul Investițiilor și Proiectelor Europene/ AMPOIM</t>
  </si>
  <si>
    <t>31.04.2022</t>
  </si>
  <si>
    <t>145313</t>
  </si>
  <si>
    <t>1.1.152</t>
  </si>
  <si>
    <t>140654</t>
  </si>
  <si>
    <t>2.1.156</t>
  </si>
  <si>
    <t>ADR BI</t>
  </si>
  <si>
    <t>Sprijin la nivelul regiunii Nord-Est pentru pregătirea de proiecte finanţate din perioada de programare 2021-2027 pe domeniile mobilitate urbană, regenerare urbană, centre de agrement/baze turistice(tabere şcolare), infrastructura si servicii publice de turism, inclusiv obiectivele de patrimoniu cu potenţial turistic şi infrastructură rutieră de interes judeţean, inclusiv variante ocolitoare şi / sau drumuri de legătură</t>
  </si>
  <si>
    <t xml:space="preserve">Obiectivul general al proiectului:Pregătirea de proiecte mature pentru perioada de programare 2021-2027 la nivelul regiunii Nord-Est
Obiectivele specifice ale proiectului:
Asigurarea capacităţii la nivel regional de a pregăti documentaţii tehnico-economice la nivelul regiunii Nord-Est pentru proiectele
aferente perioadei de programare 2021-2027 pe domeniile:
- mobilitate urbană,
- regenerare urbană,
- centre de agrement/baze turistice( tabere şcolare)
- infrastructura si servicii publice de turism, inclusiv obiectivele de patrimoniu cu potenţial turistic
- infrastructură rutieră de interes judeţean, inclusiv variante ocolitoare şi / sau drumuri de legătură.
</t>
  </si>
  <si>
    <t>Sprijin pentru ADR BI în pregatirea POR 2021-2027</t>
  </si>
  <si>
    <t xml:space="preserve">Obiectivul general al proiectului este sprijinirea Agenţiei pentru Dezvoltare Regională Bucureşti-Ilfov în realizarea rolului de Autoritate de Management pentru Programul Operaţional Regional Bucureşti-Ilfov perioada 2021-2027.
</t>
  </si>
  <si>
    <t>1.1.147</t>
  </si>
  <si>
    <t>1.1.148</t>
  </si>
  <si>
    <t>1.1.154</t>
  </si>
  <si>
    <t>Sprijin la nivelul Regiunii Sud - Est pentru pregătirea de proiecte
finanțate din perioada de programare 2021-2027 pe domeniile: infrastructura rutiera de interes județean, inclusiv variante ocolitoare si/sau drumuri de legătura, infrastructura si servicii
publice de turism, inclusiv obiectivele de patrimoniu cu potențial turistic, centre de agrement/baze turistice (tabere școlare)</t>
  </si>
  <si>
    <t>Sprijin la nivelul regiunii SV Oltenia pentru pregătirea de proiecte finanțate din perioada de programare 2021-2027 pe domeniile mobilitate urbană, regenerare urbana, centre de agrement/baze turistice(tabere școlare), infrastructura si servicii publice de turism, inclusiv obiectivele de patrimoniu cu potențial turistic și infrastructură rutieră de interes județean, inclusiv variante ocolitoare și / sau drumuri de legătură</t>
  </si>
  <si>
    <t>Sprijin la nivelul regiunii Sud Muntenia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și/sau drumuri de legătură - 5D-1</t>
  </si>
  <si>
    <t>Obiectivul general al proiectului/Scopul proiectului Obiective proiect Obiectivul general al proiectului consta in pregatirea de proiecte mature pentru perioada de programare 2021-2027 la nivelul regiunii SudEst.
Obiectivele specifice ale proiectului
-Asigurarea capacitatii la nivel regional de a pregati documentatii tehnico-economice la nivelul regiunii Sud-Est pentru proiectele
aferente perioadei de programare 2021-2027 pe domeniile: centre de agrement/baze turistice (tabere scolare); infrastructura si
servicii publice de turism, inclusiv obiectivele de patrimoniu cu potential turistic; infrastructura rutiera de interes judetean,
inclusiv variante ocolitoare si / sau drumuri de legătura</t>
  </si>
  <si>
    <t>Obiectivul general al proiectului: Pregătirea de proiecte mature pentru perioada de programare 2021-2027 la nivelul regiunii SV Oltenia. 
Obiectivele specifice ale proiectului 1. Asigurarea capacităţii la nivel regional de a pregăti documentaţii tehnico-economice la nivelul regiunii SV OLTENIA pentru proiectele aferente perioadei de programare 2021-2027 pe domeniile: - mobilitate urbană; - regenerare urbană; - centre de agrement/baze turistice (tabere şcolare); - infrastructură şi servicii publice de turism, inclusiv obiectivele de patrimoniu cu potenţial turistic; - infrastructură rutieră de interes judeţean, inclusiv variante ocolitoare şi/sau drumuri de legătură</t>
  </si>
  <si>
    <t>Obiectivul general al proiectului:Pregătirea de proiecte mature pentru perioada de programare 2021-2027 la nivelul regiunii Sud Muntenia. 
Obiectivele specifice ale proiectului - Asigurarea capacităţii la nivel regional de a pregăti documentaţii tehnico-economice la nivelul regiunii Sud Muntenia pentru proiectele aferente perioadei de programare 2021-2027 pe domeniile: - mobilitate urbană; - regenerare urbană; - centre de agrement/baze turistice( tabere şcolare); - infrastructura si servicii publice de turism, inclusiv obiectivele de patrimoniu cu potenţial turistic; - infrastructură rutieră de interes judeţean, inclusiv variante ocolitoare şi / sau drumuri de legătură.</t>
  </si>
  <si>
    <t>Îmbunătățirea activității de Comunicare a Ministerului Investițiilor și Proiectelor Europene</t>
  </si>
  <si>
    <t>143370</t>
  </si>
  <si>
    <t>1.1.153</t>
  </si>
  <si>
    <t>Obiectivul general al proiectului: Pregătirea de proiecte mature pentru perioada de programare 2021-2027 la nivelul regiunii Sud Muntenia. 
Obiectivele specifice ale proiectului - Asigurarea capacităţii la nivel regional de a pregăti documentaţii tehnico-economice la nivelul regiunii Sud Muntenia pentru proiectele aferente perioadei de programare 2021-2027 pentru domeniile: - mobilitate urbană, - regenerare urbană, - infrastructura si servicii publice de turism, inclusiv obiectivele de patrimoniu cu potenţial turistic - infrastructură rutieră de interes judeţean, inclusiv variante ocolitoare şi / sau drumuri de legătură</t>
  </si>
  <si>
    <t xml:space="preserve">
Obiectiv proiect:
Asigurarea sprijinului necesar AMPOIM în procesul de implementare eficienta si eficace a FESI.
Obiectivele specifice ale proiectului
1. Consolidarea capacitatii AM POIM / Serviciului de programare si pregatire proiecte, prin cooptarea de experti in afara
organigramei cu scopul de a verifica modul în care sunt transpuse în documentatiile tehnico – economice observatiile expertilor
Jaspers formulate în cadrul documentelor de analiza de tip Guidance Note, respectiv Action Completion Note, aferente O S 3.2,
astfel încât numarul de proiecte majore noi de apa si apa uzata aprobate de CE sa creasca.
2. Consolidarea capacitatii AMPOIM/ Serviciul verificare achizitii publice în vederea cresterii eficientei acestuia, prin cooptarea de
experti în afara organigramei, urmare a volumului ridicat al contractelor de achizitie publica aferente proiectelor depuse în cadrul
Obiectului Specific 9.1 din POIM 2014 – 2020.</t>
  </si>
  <si>
    <t>Sprijin la nivelul regiunii Sud Muntenia
pentru pregatirea de proiecte finantate din
perioada de programare 2021-2027 pe
domeniile mobilitate urbana, regenerare
urbana, infrastructura si servicii publice de
turism, inclusiv obiectivele de patrimoniu
cu potential turistic si infrastructura rutiera
de interes judetean, inclusiv variante
ocolitoare si/sau drumuri de legatura - 5D2</t>
  </si>
  <si>
    <t>1.1.145</t>
  </si>
  <si>
    <t>1.1.151</t>
  </si>
  <si>
    <t>Sprijin la nivelul Regiunii Centru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și/sau drumuri de legătură</t>
  </si>
  <si>
    <t xml:space="preserve">Sprijin la nivelul Regiunii de Dezvoltare Vest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și/sau drumuri de legătură
</t>
  </si>
  <si>
    <t>ADR VEST</t>
  </si>
  <si>
    <t>Obiectivul general al proiectului este pregătirea de proiecte mature pentru perioada de programare 2021-2027, la nivelul Regiunii Centru,pe domeniile: mobilitate urbană, regenerare urbană, centre de agrement/baze turistice (tabere şcolare), infrastructură şi servicii publice de turism, inclusiv obiectivele de patrimoniu cu potenţial turistic, infrastructură rutieră de interes judeţean, inclusiv variante ocolitoare şi / sau drumuri de legătură.
Obiectivul specific al proiectului este asigurarea capacităţii la nivel regional de a pregăti documentaţii tehnico-economice la nivelul
Regiunii Centru pentru proiectele aferente perioadei de programare 2021-2027 pe domeniile:- mobilitate urbană,- regenerare urbană,- centre de agrement/baze turistice (tabere şcolare)- infrastructură şi servicii publice de turism, inclusiv obiectivele de patrimoniu cu potenţial turistic- infrastructură rutieră de interes judeţean, inclusiv variante ocolitoare şi /sau drumuri de legătură.</t>
  </si>
  <si>
    <t>Obiectivul general al proiectului îl reprezintă pregătirea de proiecte mature în domeniile de mobilitate urbană, regenerare urbană, centre de agrement/baze turistice, infrastructura si servicii publice de turism, inclusiv obiectivele de patrimoniu cu potenţial turistic, infrastructură rutieră de interes judeţean, inclusiv variante ocolitoare şi / sau drumuri de legătură, ce pot fi finanţate din fonduri externe nerambursabile acordate în perioada de programare 2021-2027, în cadrul Politicii de Coeziune, la nivelul regiunii Vest.
Prin acest proiect se urmăreşte întărirea capacităţii beneficiarilor publici de a pregăti şi implementa proiecte finanţate din FESI şi diseminarea informaţiilor privind aceste fonduri, în regiunea Vest.
Obiectivul specific al proiectului-Creşterea capacităţii autorităţilor publice locale de la nivelul regiunii Vest de a pregăti documentaţii tehnico-economice pentru proiectele care vor fi depuse spre finanţare în perioada de programare 2021-2027 pe domeniile:
- mobilitate urbană,
- regenerare urbană,
- centre de agrement/baze turistice (tabere şcolare)
- infrastructura si servicii publice de turism, inclusiv obiectivele de patrimoniu cu potenţial turistic
- infrastructură rutieră de interes judeţean, inclusiv variante ocolitoare şi / sau drumuri de legătură.</t>
  </si>
  <si>
    <t>1.1.149</t>
  </si>
  <si>
    <t>1.1.150</t>
  </si>
  <si>
    <t>Sprijin la nivelul regiunii de dezvoltare Nord - Vest pentru pregătirea de proiecte finanțate din perioada de programare 2021- 2027 pe domeniile mobilitate urbană, regenerare urbană pentru municipii (altele decât reședințe de județ) si orașe, centre de agrement/baze turistice (tabere școlare) și infrastructură și servicii publice de turism, inclusiv obiectivele de patrimoniu cu potențial turistic (2D)</t>
  </si>
  <si>
    <t>Sprijin la nivelul regiunii de dezvoltare Nord - Vest pentru pregatirea de proiecte finantate din perioada de programare 2021-2027 pe domeniile mobilitate urbana (resedinte de judet), regenerare urbana(resedinte de judet) si infrastructura rutiera de interes judetean, inclusiv variante ocolitoare si/sau drumuri de legatura (3D)</t>
  </si>
  <si>
    <t>ADR NV</t>
  </si>
  <si>
    <t>Obiectivul general al proiectului: Pregătirea de proiecte mature pentru perioada de programare 2021-2027 la nivelul regiunii de dezvoltare Nord-Vest. Obiectivul specific al proiectului - Asigurarea capacităţii la nivel regional de a pregăti documentaţii tehnico-economice la nivelul regiunii de dezvoltare Nord-Vest pentru proiectele aferente perioadei de programare 2021-2027 pe domeniile: - mobilitate urbană pentru municipii (altele decât reşedinţe de judeţ) şi oraşe, - regenerare urbană pentru municipii (altele decât reşedinţe de judeţ) şi oraşe - centre de agrement/baze turistice (tabere şcolare) - infrastructură şi servicii publice de turism, inclusiv obiective de patrimoniu cu potenţial turistic</t>
  </si>
  <si>
    <t>Obiectivul general al proiectului-  Pregătirea de proiecte mature pentru perioada de programare 2021-2027 la nivelul regiunii de dezvoltare Nord-Vest.
Obiectivul specific ale proiectului- Asigurarea capacităţii la nivel regional de a pregăti documentaţii tehnico-economice la nivelul regiunii de dezvoltare Nord-Vest pentru proiectele aferente perioadei de programare 2021-2027 pe domeniile: - mobilitate urbană (reşedinţe de judeţ), - regenerare urbană (reşedinţe de judeţ), - infrastructură rutieră de interes judeţean, inclusiv variante ocolitoare şi / sau drumuri de legătură.</t>
  </si>
  <si>
    <t>1.1.146</t>
  </si>
  <si>
    <t>Sprijin la nivelul Regiunii Sud - Est pentru pregătirea de proiecte finanțate din perioada de programare 2021-2027 pe domeniile: mobilitate urbană, regenerare urbană</t>
  </si>
  <si>
    <t>Obiectivul general al proiectului consta in pregatirea de proiecte mature pentru perioada de programare 2021-2027 la nivelul regiunii SudEst. Obiectivul  specific al proiectului-Asigurarea capacitatii la nivel regional de a pregati documentatii tehnico-economice la nivelul regiunii Sud-Est pentru proiectele
aferente perioadei de programare 2021-2027 pe domeniile mobilitate urbana, regenerare urbana</t>
  </si>
  <si>
    <t>Asigurarea condiţiilor logistice necesar Organismului Intermediar pentru Transport pentru gestionarea Programului Operational
Infrastructura Mare (POIM) – Servicii de asigurare CASCO pentru autoturismele din dotarea Directiei Generale Organismul
Intermediar pentru Transport, în vederea deplasarii personalului DG OI Transport implicat în gestionarea POIM</t>
  </si>
  <si>
    <t>MT</t>
  </si>
  <si>
    <t>Obiectivul general este asigurarea condiţiilor logistice necesare OIT pentru coordonarea şi controlul obiectivelor de investiţii aferente sectorului transport finanţat prin POIM 2014-2020.  Obiectivul specific ale proiectului este sprijinul pentru derularea activităţilor DG OI Transport prin asigurarea suportului logistic - Servicii de asigurare CASCO pentru 8 autoturisme din dotarea Direcţiei Generale Organismul Intermediar pentru Transport, în vederea deplasării personalului DG OI Transport, implicat în gestionarea POIM.</t>
  </si>
  <si>
    <t>Raportare cut-off date 31.03.2022</t>
  </si>
  <si>
    <t>LISTA PROIECTELOR CONTRACTATE - PROGRAMUL OPERAȚIONAL ASISTENȚĂ TEHNICĂ 2014-2020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</si>
</sst>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17" x14ac:knownFonts="1">
    <font>
      <sz val="11"/>
      <color theme="1"/>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b/>
      <sz val="11"/>
      <name val="Calibri"/>
      <family val="2"/>
      <charset val="238"/>
      <scheme val="minor"/>
    </font>
    <font>
      <sz val="11"/>
      <name val="Calibri"/>
      <family val="2"/>
      <charset val="238"/>
      <scheme val="minor"/>
    </font>
    <font>
      <sz val="9"/>
      <color indexed="81"/>
      <name val="Tahoma"/>
      <family val="2"/>
      <charset val="238"/>
    </font>
    <font>
      <b/>
      <sz val="9"/>
      <color indexed="81"/>
      <name val="Tahoma"/>
      <family val="2"/>
      <charset val="238"/>
    </font>
    <font>
      <b/>
      <i/>
      <sz val="14"/>
      <name val="Calibri"/>
      <family val="2"/>
      <charset val="238"/>
      <scheme val="minor"/>
    </font>
    <font>
      <b/>
      <sz val="12"/>
      <name val="Calibri"/>
      <family val="2"/>
      <scheme val="minor"/>
    </font>
    <font>
      <b/>
      <sz val="10"/>
      <name val="Calibri"/>
      <family val="2"/>
      <scheme val="minor"/>
    </font>
    <font>
      <sz val="10"/>
      <name val="Calibri"/>
      <family val="2"/>
      <scheme val="minor"/>
    </font>
    <font>
      <b/>
      <sz val="11"/>
      <color theme="1"/>
      <name val="Calibri"/>
      <family val="2"/>
      <charset val="238"/>
      <scheme val="minor"/>
    </font>
    <font>
      <sz val="10"/>
      <color theme="1"/>
      <name val="Calibri"/>
      <family val="2"/>
      <scheme val="minor"/>
    </font>
    <font>
      <sz val="10"/>
      <color rgb="FFFF0000"/>
      <name val="Calibri"/>
      <family val="2"/>
      <scheme val="minor"/>
    </font>
    <font>
      <sz val="12"/>
      <name val="Calibri"/>
      <family val="2"/>
      <scheme val="minor"/>
    </font>
    <font>
      <b/>
      <sz val="2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s>
  <borders count="47">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theme="4" tint="0.39997558519241921"/>
      </top>
      <bottom/>
      <diagonal/>
    </border>
    <border>
      <left style="medium">
        <color auto="1"/>
      </left>
      <right/>
      <top style="medium">
        <color auto="1"/>
      </top>
      <bottom style="medium">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top/>
      <bottom style="medium">
        <color indexed="64"/>
      </bottom>
      <diagonal/>
    </border>
  </borders>
  <cellStyleXfs count="1">
    <xf numFmtId="0" fontId="0" fillId="0" borderId="0"/>
  </cellStyleXfs>
  <cellXfs count="243">
    <xf numFmtId="0" fontId="0" fillId="0" borderId="0" xfId="0"/>
    <xf numFmtId="0" fontId="5" fillId="0" borderId="0" xfId="0" applyFont="1"/>
    <xf numFmtId="0" fontId="5" fillId="0" borderId="0" xfId="0" applyFont="1" applyFill="1" applyBorder="1"/>
    <xf numFmtId="0" fontId="5" fillId="0" borderId="0" xfId="0" applyFont="1" applyAlignment="1">
      <alignment vertical="center"/>
    </xf>
    <xf numFmtId="0" fontId="5" fillId="0" borderId="0" xfId="0" applyFont="1" applyFill="1"/>
    <xf numFmtId="0" fontId="5" fillId="0" borderId="0" xfId="0" applyFont="1" applyBorder="1"/>
    <xf numFmtId="0" fontId="5" fillId="2" borderId="0" xfId="0" applyFont="1" applyFill="1" applyBorder="1"/>
    <xf numFmtId="0" fontId="5" fillId="2" borderId="0" xfId="0" applyFont="1" applyFill="1"/>
    <xf numFmtId="0" fontId="5" fillId="0" borderId="0" xfId="0" applyFont="1" applyAlignment="1">
      <alignment horizontal="left"/>
    </xf>
    <xf numFmtId="0" fontId="5" fillId="0" borderId="0" xfId="0" applyFont="1" applyAlignment="1">
      <alignment horizontal="center"/>
    </xf>
    <xf numFmtId="4" fontId="5" fillId="2" borderId="0" xfId="0" applyNumberFormat="1" applyFont="1" applyFill="1" applyBorder="1"/>
    <xf numFmtId="15" fontId="1" fillId="0" borderId="1" xfId="0" applyNumberFormat="1" applyFont="1" applyFill="1" applyBorder="1" applyAlignment="1">
      <alignment horizontal="center" vertical="center" wrapText="1"/>
    </xf>
    <xf numFmtId="15" fontId="1" fillId="0" borderId="0" xfId="0" applyNumberFormat="1"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8" xfId="0" applyNumberFormat="1" applyFont="1" applyFill="1" applyBorder="1" applyAlignment="1">
      <alignment horizontal="left" vertical="center" wrapText="1"/>
    </xf>
    <xf numFmtId="0" fontId="11" fillId="2" borderId="8"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NumberFormat="1" applyFont="1" applyFill="1" applyBorder="1" applyAlignment="1">
      <alignment horizontal="left" vertical="center" wrapText="1"/>
    </xf>
    <xf numFmtId="0" fontId="11" fillId="2" borderId="0" xfId="0" applyFont="1" applyFill="1" applyBorder="1"/>
    <xf numFmtId="0" fontId="11" fillId="2" borderId="0" xfId="0" applyFont="1" applyFill="1"/>
    <xf numFmtId="0" fontId="10" fillId="3" borderId="12" xfId="0" applyNumberFormat="1" applyFont="1" applyFill="1" applyBorder="1" applyAlignment="1">
      <alignment vertical="center" wrapText="1"/>
    </xf>
    <xf numFmtId="0" fontId="10" fillId="3" borderId="26" xfId="0" applyNumberFormat="1" applyFont="1" applyFill="1" applyBorder="1" applyAlignment="1">
      <alignment vertical="center" wrapText="1"/>
    </xf>
    <xf numFmtId="0" fontId="10" fillId="3" borderId="13" xfId="0" applyNumberFormat="1" applyFont="1" applyFill="1" applyBorder="1" applyAlignment="1">
      <alignment vertical="center" wrapText="1"/>
    </xf>
    <xf numFmtId="49" fontId="11" fillId="2" borderId="8" xfId="0" applyNumberFormat="1" applyFont="1" applyFill="1" applyBorder="1" applyAlignment="1">
      <alignment horizontal="center" vertical="center" wrapText="1"/>
    </xf>
    <xf numFmtId="0" fontId="11" fillId="2" borderId="8" xfId="0" applyFont="1" applyFill="1" applyBorder="1" applyAlignment="1">
      <alignment horizontal="left" vertical="center" wrapText="1"/>
    </xf>
    <xf numFmtId="0" fontId="11" fillId="2" borderId="4" xfId="0" applyFont="1" applyFill="1" applyBorder="1" applyAlignment="1">
      <alignment vertical="center"/>
    </xf>
    <xf numFmtId="0" fontId="11" fillId="2" borderId="4" xfId="0" applyFont="1" applyFill="1" applyBorder="1" applyAlignment="1">
      <alignment horizontal="left" vertical="top" wrapText="1"/>
    </xf>
    <xf numFmtId="14" fontId="11" fillId="2" borderId="4"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49" fontId="11" fillId="2" borderId="4" xfId="0" applyNumberFormat="1" applyFont="1" applyFill="1" applyBorder="1" applyAlignment="1">
      <alignment horizontal="center" vertical="center"/>
    </xf>
    <xf numFmtId="0" fontId="10" fillId="0" borderId="4" xfId="0"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0" borderId="8" xfId="0" applyNumberFormat="1" applyFont="1" applyFill="1" applyBorder="1" applyAlignment="1">
      <alignment horizontal="left" vertical="center" wrapText="1"/>
    </xf>
    <xf numFmtId="0" fontId="11" fillId="2" borderId="8" xfId="0" applyFont="1" applyFill="1" applyBorder="1" applyAlignment="1">
      <alignment vertical="center"/>
    </xf>
    <xf numFmtId="0" fontId="11" fillId="2" borderId="8" xfId="0" applyFont="1" applyFill="1" applyBorder="1" applyAlignment="1">
      <alignment horizontal="left" vertical="top" wrapText="1"/>
    </xf>
    <xf numFmtId="0" fontId="10"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11"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4" xfId="0" applyFont="1" applyFill="1" applyBorder="1" applyAlignment="1">
      <alignment horizontal="left" vertical="top" wrapText="1"/>
    </xf>
    <xf numFmtId="49" fontId="11" fillId="0" borderId="4" xfId="0" applyNumberFormat="1" applyFont="1" applyFill="1" applyBorder="1" applyAlignment="1">
      <alignment horizontal="center" vertical="center" wrapText="1"/>
    </xf>
    <xf numFmtId="49" fontId="13" fillId="2" borderId="4" xfId="0" applyNumberFormat="1" applyFont="1" applyFill="1" applyBorder="1" applyAlignment="1">
      <alignment horizontal="center" vertical="center"/>
    </xf>
    <xf numFmtId="14" fontId="13" fillId="2" borderId="4" xfId="0" applyNumberFormat="1"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4" xfId="0" applyNumberFormat="1" applyFont="1" applyFill="1" applyBorder="1" applyAlignment="1">
      <alignment horizontal="left" vertical="center" wrapText="1"/>
    </xf>
    <xf numFmtId="49" fontId="11" fillId="2" borderId="8"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0" fontId="11" fillId="0" borderId="0" xfId="0" applyFont="1" applyFill="1" applyBorder="1"/>
    <xf numFmtId="0" fontId="11" fillId="3" borderId="0" xfId="0" applyFont="1" applyFill="1" applyBorder="1"/>
    <xf numFmtId="0" fontId="11" fillId="3" borderId="0" xfId="0" applyFont="1" applyFill="1"/>
    <xf numFmtId="0" fontId="11" fillId="0" borderId="0" xfId="0" applyFont="1" applyBorder="1"/>
    <xf numFmtId="0" fontId="11" fillId="0" borderId="0" xfId="0" applyFont="1"/>
    <xf numFmtId="0" fontId="11" fillId="2" borderId="4" xfId="0" applyFont="1" applyFill="1" applyBorder="1"/>
    <xf numFmtId="0" fontId="14" fillId="2" borderId="0" xfId="0" applyFont="1" applyFill="1" applyBorder="1"/>
    <xf numFmtId="0" fontId="11" fillId="0" borderId="4" xfId="0" applyFont="1" applyBorder="1"/>
    <xf numFmtId="0" fontId="11" fillId="3" borderId="4" xfId="0" applyFont="1" applyFill="1" applyBorder="1"/>
    <xf numFmtId="0" fontId="11" fillId="2" borderId="0" xfId="0" applyFont="1" applyFill="1" applyBorder="1" applyAlignment="1">
      <alignment horizontal="center" vertical="center"/>
    </xf>
    <xf numFmtId="4" fontId="11" fillId="2" borderId="0" xfId="0" applyNumberFormat="1" applyFont="1" applyFill="1" applyBorder="1"/>
    <xf numFmtId="0" fontId="14" fillId="2" borderId="0" xfId="0" applyFont="1" applyFill="1" applyBorder="1" applyAlignment="1">
      <alignment horizontal="center" vertical="center"/>
    </xf>
    <xf numFmtId="4" fontId="11" fillId="2" borderId="0" xfId="0" applyNumberFormat="1" applyFont="1" applyFill="1" applyBorder="1" applyAlignment="1">
      <alignment horizontal="center" vertical="center"/>
    </xf>
    <xf numFmtId="0" fontId="11" fillId="0" borderId="4" xfId="0" applyFont="1" applyFill="1" applyBorder="1"/>
    <xf numFmtId="0" fontId="11" fillId="4" borderId="0" xfId="0" applyFont="1" applyFill="1" applyBorder="1"/>
    <xf numFmtId="0" fontId="11" fillId="4" borderId="4" xfId="0" applyFont="1" applyFill="1" applyBorder="1"/>
    <xf numFmtId="0" fontId="13" fillId="2" borderId="4" xfId="0" applyFont="1" applyFill="1" applyBorder="1" applyAlignment="1">
      <alignment horizontal="center" vertical="center" wrapText="1" shrinkToFit="1"/>
    </xf>
    <xf numFmtId="0" fontId="11" fillId="2" borderId="22" xfId="0" applyFont="1" applyFill="1" applyBorder="1"/>
    <xf numFmtId="0" fontId="11" fillId="2" borderId="23" xfId="0" applyFont="1" applyFill="1" applyBorder="1"/>
    <xf numFmtId="0" fontId="11" fillId="2" borderId="8" xfId="0" applyFont="1" applyFill="1" applyBorder="1"/>
    <xf numFmtId="0" fontId="9" fillId="5" borderId="0" xfId="0" applyFont="1" applyFill="1" applyBorder="1" applyAlignment="1">
      <alignment horizontal="center" vertical="center" wrapText="1"/>
    </xf>
    <xf numFmtId="0" fontId="15" fillId="5" borderId="0" xfId="0" applyFont="1" applyFill="1" applyBorder="1" applyAlignment="1">
      <alignment horizontal="center" vertical="center"/>
    </xf>
    <xf numFmtId="0" fontId="11" fillId="0" borderId="4"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0" fillId="3" borderId="14" xfId="0" applyNumberFormat="1" applyFont="1" applyFill="1" applyBorder="1" applyAlignment="1">
      <alignment vertical="center" wrapText="1"/>
    </xf>
    <xf numFmtId="0" fontId="11" fillId="0" borderId="6" xfId="0" applyNumberFormat="1" applyFont="1" applyFill="1" applyBorder="1" applyAlignment="1">
      <alignment horizontal="center" vertical="center" wrapText="1"/>
    </xf>
    <xf numFmtId="0" fontId="11" fillId="0" borderId="6" xfId="0" applyNumberFormat="1" applyFont="1" applyFill="1" applyBorder="1" applyAlignment="1">
      <alignment horizontal="left" vertical="center" wrapText="1"/>
    </xf>
    <xf numFmtId="0" fontId="11" fillId="2" borderId="30"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1" fillId="2" borderId="32" xfId="0" applyNumberFormat="1" applyFont="1" applyFill="1" applyBorder="1" applyAlignment="1">
      <alignment horizontal="center" vertical="center" wrapText="1"/>
    </xf>
    <xf numFmtId="0" fontId="10" fillId="0" borderId="40" xfId="0" applyNumberFormat="1" applyFont="1" applyFill="1" applyBorder="1" applyAlignment="1">
      <alignment horizontal="center" vertical="center" wrapText="1"/>
    </xf>
    <xf numFmtId="0" fontId="11" fillId="0" borderId="30" xfId="0" applyNumberFormat="1" applyFont="1" applyFill="1" applyBorder="1" applyAlignment="1">
      <alignment horizontal="center" vertical="center" wrapText="1"/>
    </xf>
    <xf numFmtId="0" fontId="10" fillId="0" borderId="42"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32" xfId="0" applyNumberFormat="1" applyFont="1" applyFill="1" applyBorder="1" applyAlignment="1">
      <alignment horizontal="center" vertical="center" wrapText="1"/>
    </xf>
    <xf numFmtId="0" fontId="10" fillId="0" borderId="30" xfId="0" applyNumberFormat="1" applyFont="1" applyFill="1" applyBorder="1" applyAlignment="1">
      <alignment horizontal="center" vertical="center" wrapText="1"/>
    </xf>
    <xf numFmtId="0" fontId="11" fillId="0" borderId="42" xfId="0" applyNumberFormat="1" applyFont="1" applyFill="1" applyBorder="1" applyAlignment="1">
      <alignment horizontal="center" vertical="center" wrapText="1"/>
    </xf>
    <xf numFmtId="0" fontId="10" fillId="0" borderId="32" xfId="0" applyNumberFormat="1" applyFont="1" applyFill="1" applyBorder="1" applyAlignment="1">
      <alignment horizontal="center" vertical="center" wrapText="1"/>
    </xf>
    <xf numFmtId="0" fontId="11" fillId="2" borderId="30" xfId="0" applyFont="1" applyFill="1" applyBorder="1" applyAlignment="1">
      <alignment horizontal="center" vertical="center"/>
    </xf>
    <xf numFmtId="0" fontId="11" fillId="0" borderId="0" xfId="0" applyFont="1" applyFill="1"/>
    <xf numFmtId="3" fontId="9" fillId="5" borderId="3" xfId="0" applyNumberFormat="1" applyFont="1" applyFill="1" applyBorder="1" applyAlignment="1">
      <alignment horizontal="center" vertical="center" wrapText="1"/>
    </xf>
    <xf numFmtId="3" fontId="9" fillId="5" borderId="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9" fillId="5" borderId="29" xfId="0" applyFont="1" applyFill="1" applyBorder="1" applyAlignment="1">
      <alignment horizontal="center" vertical="center" wrapText="1"/>
    </xf>
    <xf numFmtId="3" fontId="9" fillId="5" borderId="0" xfId="0" applyNumberFormat="1" applyFont="1" applyFill="1" applyBorder="1" applyAlignment="1">
      <alignment horizontal="center" vertical="center" wrapText="1"/>
    </xf>
    <xf numFmtId="3" fontId="9" fillId="5" borderId="44"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33"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26" xfId="0" applyNumberFormat="1" applyFont="1" applyFill="1" applyBorder="1" applyAlignment="1">
      <alignment horizontal="left" vertical="center" wrapText="1"/>
    </xf>
    <xf numFmtId="0" fontId="10" fillId="3" borderId="12" xfId="0" applyNumberFormat="1" applyFont="1" applyFill="1" applyBorder="1" applyAlignment="1">
      <alignment horizontal="left" vertical="center" wrapText="1"/>
    </xf>
    <xf numFmtId="0" fontId="10" fillId="3" borderId="13" xfId="0" applyNumberFormat="1" applyFont="1" applyFill="1" applyBorder="1" applyAlignment="1">
      <alignment horizontal="left" vertical="center" wrapText="1"/>
    </xf>
    <xf numFmtId="0" fontId="10" fillId="3" borderId="18" xfId="0" applyNumberFormat="1" applyFont="1" applyFill="1" applyBorder="1" applyAlignment="1">
      <alignment horizontal="left" vertical="center" wrapText="1"/>
    </xf>
    <xf numFmtId="0" fontId="10" fillId="3" borderId="14" xfId="0" applyNumberFormat="1" applyFont="1" applyFill="1" applyBorder="1" applyAlignment="1">
      <alignment horizontal="left" vertical="center" wrapText="1"/>
    </xf>
    <xf numFmtId="0" fontId="4" fillId="0" borderId="3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7" xfId="0" applyNumberFormat="1" applyFont="1" applyFill="1" applyBorder="1" applyAlignment="1">
      <alignment horizontal="center" vertical="center" wrapText="1"/>
    </xf>
    <xf numFmtId="0" fontId="9" fillId="5" borderId="5" xfId="0" applyNumberFormat="1" applyFont="1" applyFill="1" applyBorder="1" applyAlignment="1">
      <alignment horizontal="center" vertical="center" wrapText="1"/>
    </xf>
    <xf numFmtId="0" fontId="9" fillId="5" borderId="6" xfId="0" applyNumberFormat="1" applyFont="1" applyFill="1" applyBorder="1" applyAlignment="1">
      <alignment horizontal="center" vertical="center" wrapText="1"/>
    </xf>
    <xf numFmtId="0" fontId="9" fillId="5" borderId="10"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24" xfId="0" applyFont="1" applyFill="1" applyBorder="1" applyAlignment="1">
      <alignment horizontal="center" vertical="center"/>
    </xf>
    <xf numFmtId="0" fontId="4" fillId="0" borderId="29"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5" fillId="2" borderId="0" xfId="0" applyFont="1" applyFill="1" applyAlignment="1">
      <alignment horizontal="left" vertical="top" wrapText="1"/>
    </xf>
    <xf numFmtId="0" fontId="4" fillId="0" borderId="45" xfId="0" applyNumberFormat="1"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3" fontId="9" fillId="5" borderId="9"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9" fillId="5" borderId="2" xfId="0" applyNumberFormat="1" applyFont="1" applyFill="1" applyBorder="1" applyAlignment="1">
      <alignment horizontal="center" vertical="center" wrapText="1"/>
    </xf>
    <xf numFmtId="0" fontId="9" fillId="5" borderId="30" xfId="0" applyNumberFormat="1" applyFont="1" applyFill="1" applyBorder="1" applyAlignment="1">
      <alignment horizontal="center" vertical="center" wrapText="1"/>
    </xf>
    <xf numFmtId="0" fontId="9" fillId="5" borderId="34" xfId="0" applyNumberFormat="1" applyFont="1" applyFill="1" applyBorder="1" applyAlignment="1">
      <alignment horizontal="center" vertical="center" wrapText="1"/>
    </xf>
    <xf numFmtId="0" fontId="9" fillId="5" borderId="3" xfId="0" applyNumberFormat="1" applyFont="1" applyFill="1" applyBorder="1" applyAlignment="1">
      <alignment horizontal="center" vertical="center" wrapText="1"/>
    </xf>
    <xf numFmtId="0" fontId="9" fillId="5" borderId="4" xfId="0" applyNumberFormat="1" applyFont="1" applyFill="1" applyBorder="1" applyAlignment="1">
      <alignment horizontal="center" vertical="center" wrapText="1"/>
    </xf>
    <xf numFmtId="0" fontId="9" fillId="5" borderId="9" xfId="0" applyNumberFormat="1" applyFont="1" applyFill="1" applyBorder="1" applyAlignment="1">
      <alignment horizontal="center" vertical="center" wrapText="1"/>
    </xf>
    <xf numFmtId="15" fontId="16" fillId="0" borderId="1" xfId="0" applyNumberFormat="1" applyFont="1" applyFill="1" applyBorder="1" applyAlignment="1">
      <alignment horizontal="center" vertical="center" wrapText="1"/>
    </xf>
    <xf numFmtId="15" fontId="16" fillId="0" borderId="0" xfId="0" applyNumberFormat="1" applyFont="1" applyFill="1" applyBorder="1" applyAlignment="1">
      <alignment horizontal="center" vertical="center" wrapText="1"/>
    </xf>
    <xf numFmtId="3" fontId="9" fillId="5" borderId="11" xfId="0" applyNumberFormat="1" applyFont="1" applyFill="1" applyBorder="1" applyAlignment="1">
      <alignment horizontal="center" vertical="center" wrapText="1"/>
    </xf>
    <xf numFmtId="3" fontId="9" fillId="5" borderId="28" xfId="0" applyNumberFormat="1" applyFont="1" applyFill="1" applyBorder="1" applyAlignment="1">
      <alignment horizontal="center" vertical="center" wrapText="1"/>
    </xf>
    <xf numFmtId="3" fontId="9" fillId="5" borderId="8" xfId="0" applyNumberFormat="1" applyFont="1" applyFill="1" applyBorder="1" applyAlignment="1">
      <alignment horizontal="center" vertical="center" wrapText="1"/>
    </xf>
    <xf numFmtId="3" fontId="9" fillId="5" borderId="10" xfId="0" applyNumberFormat="1" applyFont="1" applyFill="1" applyBorder="1" applyAlignment="1">
      <alignment horizontal="center" vertical="center" wrapText="1"/>
    </xf>
    <xf numFmtId="3" fontId="9" fillId="5" borderId="31" xfId="0" applyNumberFormat="1" applyFont="1" applyFill="1" applyBorder="1" applyAlignment="1">
      <alignment horizontal="center" vertical="center" wrapText="1"/>
    </xf>
    <xf numFmtId="3" fontId="9" fillId="5" borderId="35"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9" xfId="0" applyFont="1" applyFill="1" applyBorder="1" applyAlignment="1">
      <alignment horizontal="center" vertical="center" wrapText="1"/>
    </xf>
    <xf numFmtId="3" fontId="5" fillId="2" borderId="0" xfId="0" applyNumberFormat="1" applyFont="1" applyFill="1"/>
    <xf numFmtId="3" fontId="5" fillId="0" borderId="0" xfId="0" applyNumberFormat="1" applyFont="1"/>
    <xf numFmtId="3" fontId="5" fillId="0" borderId="0" xfId="0" applyNumberFormat="1" applyFont="1" applyFill="1"/>
    <xf numFmtId="3" fontId="8" fillId="0" borderId="0" xfId="0" applyNumberFormat="1" applyFont="1" applyFill="1" applyAlignment="1">
      <alignment horizontal="right"/>
    </xf>
    <xf numFmtId="3" fontId="5" fillId="0" borderId="0" xfId="0" applyNumberFormat="1" applyFont="1" applyFill="1" applyAlignment="1">
      <alignment horizontal="right"/>
    </xf>
    <xf numFmtId="3" fontId="1"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3" fontId="9" fillId="5" borderId="6" xfId="0" applyNumberFormat="1" applyFont="1" applyFill="1" applyBorder="1" applyAlignment="1">
      <alignment horizontal="center" vertical="center" wrapText="1"/>
    </xf>
    <xf numFmtId="3" fontId="11" fillId="2" borderId="8" xfId="0" applyNumberFormat="1" applyFont="1" applyFill="1" applyBorder="1" applyAlignment="1">
      <alignment horizontal="center" vertical="center" wrapText="1"/>
    </xf>
    <xf numFmtId="3" fontId="11" fillId="2" borderId="38"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wrapText="1"/>
    </xf>
    <xf numFmtId="3" fontId="10" fillId="3" borderId="20" xfId="0" applyNumberFormat="1" applyFont="1" applyFill="1" applyBorder="1" applyAlignment="1">
      <alignment horizontal="center" vertical="center" wrapText="1"/>
    </xf>
    <xf numFmtId="3" fontId="10" fillId="3" borderId="15"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3" fontId="11" fillId="2" borderId="39" xfId="0" applyNumberFormat="1" applyFont="1" applyFill="1" applyBorder="1" applyAlignment="1">
      <alignment horizontal="center" vertical="center" wrapText="1"/>
    </xf>
    <xf numFmtId="3" fontId="11" fillId="2" borderId="8" xfId="0" applyNumberFormat="1" applyFont="1" applyFill="1" applyBorder="1" applyAlignment="1">
      <alignment vertical="center"/>
    </xf>
    <xf numFmtId="3" fontId="11" fillId="2" borderId="4"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3" fontId="11" fillId="2" borderId="31" xfId="0" applyNumberFormat="1" applyFont="1" applyFill="1" applyBorder="1" applyAlignment="1">
      <alignment horizontal="center" vertical="center" wrapText="1"/>
    </xf>
    <xf numFmtId="3" fontId="10" fillId="2" borderId="7"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1" fillId="0" borderId="31" xfId="0" applyNumberFormat="1" applyFont="1" applyBorder="1" applyAlignment="1">
      <alignment horizontal="center" vertical="center" wrapText="1"/>
    </xf>
    <xf numFmtId="3" fontId="10" fillId="2" borderId="6" xfId="0" applyNumberFormat="1" applyFont="1" applyFill="1" applyBorder="1" applyAlignment="1">
      <alignment horizontal="center" vertical="center" wrapText="1"/>
    </xf>
    <xf numFmtId="3" fontId="10" fillId="0" borderId="6"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39" xfId="0" applyNumberFormat="1" applyFont="1" applyFill="1" applyBorder="1" applyAlignment="1">
      <alignment horizontal="center" vertical="center" wrapText="1"/>
    </xf>
    <xf numFmtId="3" fontId="11" fillId="2" borderId="4" xfId="0" applyNumberFormat="1" applyFont="1" applyFill="1" applyBorder="1" applyAlignment="1">
      <alignment horizontal="center" vertical="center"/>
    </xf>
    <xf numFmtId="3" fontId="10" fillId="2" borderId="4" xfId="0" applyNumberFormat="1" applyFont="1" applyFill="1" applyBorder="1" applyAlignment="1">
      <alignment horizontal="center" vertical="center" wrapText="1"/>
    </xf>
    <xf numFmtId="3" fontId="10" fillId="0" borderId="31" xfId="0" applyNumberFormat="1" applyFont="1" applyFill="1" applyBorder="1" applyAlignment="1">
      <alignment horizontal="center" vertical="center" wrapText="1"/>
    </xf>
    <xf numFmtId="3" fontId="10" fillId="3" borderId="19" xfId="0" applyNumberFormat="1" applyFont="1" applyFill="1" applyBorder="1" applyAlignment="1">
      <alignment horizontal="center" vertical="center" wrapText="1"/>
    </xf>
    <xf numFmtId="3" fontId="11" fillId="0" borderId="8" xfId="0" applyNumberFormat="1" applyFont="1" applyFill="1" applyBorder="1" applyAlignment="1">
      <alignment horizontal="center" vertical="center" wrapText="1"/>
    </xf>
    <xf numFmtId="3" fontId="11" fillId="0" borderId="39"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1" fillId="0" borderId="31"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3" fontId="11" fillId="0" borderId="39" xfId="0" applyNumberFormat="1"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3" fontId="11" fillId="2" borderId="21" xfId="0" applyNumberFormat="1" applyFont="1" applyFill="1" applyBorder="1" applyAlignment="1">
      <alignment horizontal="center" vertical="center" wrapText="1"/>
    </xf>
    <xf numFmtId="3" fontId="10" fillId="3" borderId="31" xfId="0" applyNumberFormat="1" applyFont="1" applyFill="1" applyBorder="1" applyAlignment="1">
      <alignment horizontal="center" vertical="center" wrapText="1"/>
    </xf>
    <xf numFmtId="3" fontId="10" fillId="3" borderId="13" xfId="0" applyNumberFormat="1" applyFont="1" applyFill="1" applyBorder="1" applyAlignment="1">
      <alignment horizontal="center" vertical="center" wrapText="1"/>
    </xf>
    <xf numFmtId="3" fontId="13" fillId="2" borderId="4" xfId="0" applyNumberFormat="1" applyFont="1" applyFill="1" applyBorder="1" applyAlignment="1">
      <alignment horizontal="center" vertical="center"/>
    </xf>
    <xf numFmtId="3" fontId="13" fillId="2" borderId="4" xfId="0" applyNumberFormat="1" applyFont="1" applyFill="1" applyBorder="1" applyAlignment="1">
      <alignment horizontal="center" vertical="center" wrapText="1"/>
    </xf>
    <xf numFmtId="3" fontId="13" fillId="2" borderId="31" xfId="0" applyNumberFormat="1" applyFont="1" applyFill="1" applyBorder="1" applyAlignment="1">
      <alignment horizontal="center" vertical="center" wrapText="1"/>
    </xf>
    <xf numFmtId="3" fontId="10" fillId="3" borderId="19" xfId="0" applyNumberFormat="1" applyFont="1" applyFill="1" applyBorder="1" applyAlignment="1">
      <alignment horizontal="center" vertical="center"/>
    </xf>
    <xf numFmtId="3" fontId="12" fillId="2" borderId="25" xfId="0" applyNumberFormat="1" applyFont="1" applyFill="1" applyBorder="1"/>
    <xf numFmtId="165" fontId="5" fillId="0" borderId="0" xfId="0" applyNumberFormat="1" applyFont="1"/>
    <xf numFmtId="165" fontId="1" fillId="0" borderId="0" xfId="0" applyNumberFormat="1" applyFont="1" applyFill="1" applyBorder="1" applyAlignment="1">
      <alignment horizontal="center" vertical="center" wrapText="1"/>
    </xf>
    <xf numFmtId="165" fontId="9" fillId="5" borderId="5" xfId="0" applyNumberFormat="1" applyFont="1" applyFill="1" applyBorder="1" applyAlignment="1">
      <alignment horizontal="center" vertical="center" wrapText="1"/>
    </xf>
    <xf numFmtId="165" fontId="9" fillId="5" borderId="6" xfId="0" applyNumberFormat="1" applyFont="1" applyFill="1" applyBorder="1" applyAlignment="1">
      <alignment horizontal="center" vertical="center" wrapText="1"/>
    </xf>
    <xf numFmtId="165" fontId="9" fillId="5" borderId="10" xfId="0" applyNumberFormat="1" applyFont="1" applyFill="1" applyBorder="1" applyAlignment="1">
      <alignment horizontal="center" vertical="center" wrapText="1"/>
    </xf>
    <xf numFmtId="165" fontId="9" fillId="5" borderId="0" xfId="0" applyNumberFormat="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0" fillId="3" borderId="12" xfId="0" applyNumberFormat="1" applyFont="1" applyFill="1" applyBorder="1" applyAlignment="1">
      <alignment vertical="center" wrapText="1"/>
    </xf>
    <xf numFmtId="165" fontId="11" fillId="2" borderId="4" xfId="0" applyNumberFormat="1" applyFont="1" applyFill="1" applyBorder="1" applyAlignment="1">
      <alignment horizontal="center" vertical="center" wrapText="1"/>
    </xf>
    <xf numFmtId="165" fontId="10" fillId="0" borderId="7" xfId="0" applyNumberFormat="1" applyFont="1" applyFill="1" applyBorder="1" applyAlignment="1">
      <alignment horizontal="center" vertical="center" wrapText="1"/>
    </xf>
    <xf numFmtId="165" fontId="11" fillId="0" borderId="4" xfId="0" applyNumberFormat="1" applyFont="1" applyBorder="1" applyAlignment="1">
      <alignment horizontal="center" vertical="center" wrapText="1"/>
    </xf>
    <xf numFmtId="165" fontId="10" fillId="0" borderId="6" xfId="0" applyNumberFormat="1" applyFont="1" applyFill="1" applyBorder="1" applyAlignment="1">
      <alignment horizontal="center" vertical="center" wrapText="1"/>
    </xf>
    <xf numFmtId="165" fontId="10" fillId="3" borderId="14" xfId="0" applyNumberFormat="1" applyFont="1" applyFill="1" applyBorder="1" applyAlignment="1">
      <alignment vertical="center" wrapText="1"/>
    </xf>
    <xf numFmtId="165" fontId="10" fillId="0" borderId="4" xfId="0" applyNumberFormat="1" applyFont="1" applyFill="1" applyBorder="1" applyAlignment="1">
      <alignment horizontal="center" vertical="center" wrapText="1"/>
    </xf>
    <xf numFmtId="165" fontId="10" fillId="0" borderId="8" xfId="0" applyNumberFormat="1"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165" fontId="11" fillId="0" borderId="4" xfId="0" applyNumberFormat="1" applyFont="1" applyFill="1" applyBorder="1" applyAlignment="1">
      <alignment horizontal="center" vertical="center" wrapText="1"/>
    </xf>
    <xf numFmtId="165" fontId="11" fillId="0" borderId="6"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xf>
    <xf numFmtId="165" fontId="13" fillId="2" borderId="4" xfId="0" applyNumberFormat="1" applyFont="1" applyFill="1" applyBorder="1" applyAlignment="1">
      <alignment horizontal="center" vertical="center" wrapText="1"/>
    </xf>
    <xf numFmtId="0" fontId="9" fillId="5" borderId="16" xfId="0" applyFont="1" applyFill="1" applyBorder="1" applyAlignment="1">
      <alignment horizontal="center" vertical="center" wrapText="1"/>
    </xf>
    <xf numFmtId="0" fontId="15" fillId="5" borderId="16" xfId="0" applyFont="1" applyFill="1" applyBorder="1" applyAlignment="1">
      <alignment horizontal="center" vertical="center"/>
    </xf>
    <xf numFmtId="0" fontId="9" fillId="5" borderId="46" xfId="0" applyFont="1" applyFill="1" applyBorder="1" applyAlignment="1">
      <alignment horizontal="center" vertical="center" wrapText="1"/>
    </xf>
    <xf numFmtId="0" fontId="15" fillId="5" borderId="4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haela.soiculescu\Downloads\cb49aac2cdbbff330683833af60cc1f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9">
          <cell r="W9" t="str">
            <v>Nr. acte adiționale</v>
          </cell>
        </row>
        <row r="280">
          <cell r="A280" t="str">
            <v>TOTAL PROIECTE CU ACOPERIRE NAŢIONALĂ</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18"/>
  <sheetViews>
    <sheetView tabSelected="1" zoomScale="60" zoomScaleNormal="60" workbookViewId="0">
      <selection activeCell="AG315" sqref="AG315"/>
    </sheetView>
  </sheetViews>
  <sheetFormatPr defaultColWidth="9.140625" defaultRowHeight="15" x14ac:dyDescent="0.25"/>
  <cols>
    <col min="1" max="1" width="8.85546875" style="1" customWidth="1"/>
    <col min="2" max="2" width="17" style="3" customWidth="1"/>
    <col min="3" max="4" width="12.7109375" style="3" customWidth="1"/>
    <col min="5" max="5" width="44.5703125" style="1" customWidth="1"/>
    <col min="6" max="6" width="24.85546875" style="9" customWidth="1"/>
    <col min="7" max="7" width="114.42578125" style="8" customWidth="1"/>
    <col min="8" max="8" width="17.42578125" style="219" customWidth="1"/>
    <col min="9" max="9" width="16.7109375" style="219" customWidth="1"/>
    <col min="10" max="10" width="17.42578125" style="1" customWidth="1"/>
    <col min="11" max="11" width="14.85546875" style="1" customWidth="1"/>
    <col min="12" max="12" width="14.7109375" style="1" customWidth="1"/>
    <col min="13" max="13" width="17.28515625" style="1" customWidth="1"/>
    <col min="14" max="14" width="17.5703125" style="4" customWidth="1"/>
    <col min="15" max="15" width="18.7109375" style="4" customWidth="1"/>
    <col min="16" max="16" width="20.42578125" style="167" customWidth="1"/>
    <col min="17" max="17" width="20.28515625" style="167" customWidth="1"/>
    <col min="18" max="18" width="20.85546875" style="168" customWidth="1"/>
    <col min="19" max="19" width="21.28515625" style="168" customWidth="1"/>
    <col min="20" max="20" width="22" style="168" customWidth="1"/>
    <col min="21" max="21" width="20.85546875" style="168" customWidth="1"/>
    <col min="22" max="22" width="20.5703125" style="168" customWidth="1"/>
    <col min="23" max="23" width="16.85546875" style="168" customWidth="1"/>
    <col min="24" max="25" width="21.28515625" style="169" customWidth="1"/>
    <col min="26" max="26" width="16.85546875" style="6" customWidth="1"/>
    <col min="27" max="27" width="15.85546875" style="6" customWidth="1"/>
    <col min="28" max="28" width="13" style="6" bestFit="1" customWidth="1"/>
    <col min="29" max="29" width="9.140625" style="6"/>
    <col min="30" max="30" width="13" style="6" bestFit="1" customWidth="1"/>
    <col min="31" max="32" width="9.140625" style="6"/>
    <col min="33" max="33" width="9.140625" style="6" customWidth="1"/>
    <col min="34" max="50" width="9.140625" style="6"/>
    <col min="51" max="94" width="9.140625" style="2"/>
    <col min="95" max="95" width="9.140625" style="5"/>
    <col min="96" max="16384" width="9.140625" style="1"/>
  </cols>
  <sheetData>
    <row r="1" spans="1:25" ht="18.75" x14ac:dyDescent="0.3">
      <c r="U1" s="167"/>
      <c r="Y1" s="170"/>
    </row>
    <row r="2" spans="1:25" x14ac:dyDescent="0.25">
      <c r="U2" s="167"/>
    </row>
    <row r="3" spans="1:25" x14ac:dyDescent="0.25">
      <c r="U3" s="167"/>
    </row>
    <row r="4" spans="1:25" ht="15" customHeight="1" x14ac:dyDescent="0.25">
      <c r="U4" s="167"/>
      <c r="Y4" s="171"/>
    </row>
    <row r="6" spans="1:25" ht="27" customHeight="1" x14ac:dyDescent="0.25">
      <c r="A6" s="135" t="s">
        <v>830</v>
      </c>
      <c r="B6" s="136"/>
      <c r="C6" s="136"/>
      <c r="D6" s="136"/>
      <c r="E6" s="136"/>
      <c r="F6" s="136"/>
      <c r="G6" s="136"/>
      <c r="H6" s="136"/>
      <c r="I6" s="136"/>
      <c r="J6" s="136"/>
      <c r="K6" s="136"/>
      <c r="L6" s="136"/>
      <c r="M6" s="136"/>
      <c r="N6" s="136"/>
      <c r="O6" s="136"/>
      <c r="P6" s="136"/>
      <c r="Q6" s="136"/>
      <c r="R6" s="136"/>
      <c r="S6" s="136"/>
      <c r="T6" s="136"/>
      <c r="U6" s="136"/>
      <c r="V6" s="136"/>
      <c r="W6" s="136"/>
      <c r="X6" s="136"/>
      <c r="Y6" s="136"/>
    </row>
    <row r="7" spans="1:25" ht="27" customHeight="1" x14ac:dyDescent="0.25">
      <c r="A7" s="150" t="s">
        <v>829</v>
      </c>
      <c r="B7" s="151"/>
      <c r="C7" s="151"/>
      <c r="D7" s="151"/>
      <c r="E7" s="151"/>
      <c r="F7" s="151"/>
      <c r="G7" s="151"/>
      <c r="H7" s="151"/>
      <c r="I7" s="151"/>
      <c r="J7" s="151"/>
      <c r="K7" s="151"/>
      <c r="L7" s="151"/>
      <c r="M7" s="151"/>
      <c r="N7" s="151"/>
      <c r="O7" s="151"/>
      <c r="P7" s="151"/>
      <c r="Q7" s="151"/>
      <c r="R7" s="151"/>
      <c r="S7" s="151"/>
      <c r="T7" s="151"/>
      <c r="U7" s="151"/>
      <c r="V7" s="151"/>
      <c r="W7" s="151"/>
      <c r="X7" s="151"/>
      <c r="Y7" s="151"/>
    </row>
    <row r="8" spans="1:25" ht="15.75" customHeight="1" x14ac:dyDescent="0.25">
      <c r="A8" s="11"/>
      <c r="B8" s="12"/>
      <c r="C8" s="12"/>
      <c r="D8" s="12"/>
      <c r="E8" s="12"/>
      <c r="F8" s="12"/>
      <c r="G8" s="12"/>
      <c r="H8" s="220"/>
      <c r="I8" s="220"/>
      <c r="J8" s="12"/>
      <c r="K8" s="12"/>
      <c r="L8" s="12"/>
      <c r="M8" s="12"/>
      <c r="N8" s="12"/>
      <c r="O8" s="12"/>
      <c r="P8" s="172"/>
      <c r="Q8" s="172"/>
      <c r="R8" s="172"/>
      <c r="S8" s="172"/>
      <c r="T8" s="172"/>
      <c r="U8" s="172"/>
      <c r="V8" s="172"/>
      <c r="W8" s="172"/>
      <c r="X8" s="172"/>
      <c r="Y8" s="172"/>
    </row>
    <row r="9" spans="1:25" ht="16.5" thickBot="1" x14ac:dyDescent="0.3">
      <c r="A9" s="140"/>
      <c r="B9" s="141"/>
      <c r="C9" s="141"/>
      <c r="D9" s="141"/>
      <c r="E9" s="142"/>
      <c r="F9" s="142"/>
      <c r="G9" s="142"/>
      <c r="H9" s="142"/>
      <c r="I9" s="142"/>
      <c r="J9" s="142"/>
      <c r="K9" s="142"/>
      <c r="L9" s="142"/>
      <c r="M9" s="142"/>
      <c r="N9" s="142"/>
      <c r="O9" s="142"/>
      <c r="P9" s="143"/>
      <c r="Q9" s="143"/>
      <c r="R9" s="143"/>
      <c r="S9" s="143"/>
      <c r="T9" s="143"/>
      <c r="U9" s="143"/>
      <c r="V9" s="173"/>
      <c r="W9" s="173"/>
      <c r="X9" s="173"/>
      <c r="Y9" s="174"/>
    </row>
    <row r="10" spans="1:25" ht="31.5" customHeight="1" x14ac:dyDescent="0.25">
      <c r="A10" s="144" t="s">
        <v>0</v>
      </c>
      <c r="B10" s="123" t="s">
        <v>8</v>
      </c>
      <c r="C10" s="123" t="s">
        <v>594</v>
      </c>
      <c r="D10" s="123" t="s">
        <v>595</v>
      </c>
      <c r="E10" s="147" t="s">
        <v>1</v>
      </c>
      <c r="F10" s="147" t="s">
        <v>14</v>
      </c>
      <c r="G10" s="123" t="s">
        <v>16</v>
      </c>
      <c r="H10" s="221" t="s">
        <v>15</v>
      </c>
      <c r="I10" s="221" t="s">
        <v>17</v>
      </c>
      <c r="J10" s="123" t="s">
        <v>18</v>
      </c>
      <c r="K10" s="147" t="s">
        <v>2</v>
      </c>
      <c r="L10" s="147" t="s">
        <v>19</v>
      </c>
      <c r="M10" s="147" t="s">
        <v>3</v>
      </c>
      <c r="N10" s="147" t="s">
        <v>4</v>
      </c>
      <c r="O10" s="123" t="s">
        <v>20</v>
      </c>
      <c r="P10" s="137" t="s">
        <v>9</v>
      </c>
      <c r="Q10" s="137"/>
      <c r="R10" s="137"/>
      <c r="S10" s="175" t="s">
        <v>21</v>
      </c>
      <c r="T10" s="175" t="s">
        <v>6</v>
      </c>
      <c r="U10" s="137" t="s">
        <v>5</v>
      </c>
      <c r="V10" s="137" t="s">
        <v>13</v>
      </c>
      <c r="W10" s="137" t="str">
        <f>[1]Sheet1!$W$9</f>
        <v>Nr. acte adiționale</v>
      </c>
      <c r="X10" s="152" t="s">
        <v>22</v>
      </c>
      <c r="Y10" s="153"/>
    </row>
    <row r="11" spans="1:25" ht="24.75" customHeight="1" x14ac:dyDescent="0.25">
      <c r="A11" s="145"/>
      <c r="B11" s="124"/>
      <c r="C11" s="124"/>
      <c r="D11" s="124"/>
      <c r="E11" s="148"/>
      <c r="F11" s="148"/>
      <c r="G11" s="124"/>
      <c r="H11" s="222"/>
      <c r="I11" s="222"/>
      <c r="J11" s="124"/>
      <c r="K11" s="148"/>
      <c r="L11" s="148"/>
      <c r="M11" s="148"/>
      <c r="N11" s="148"/>
      <c r="O11" s="124"/>
      <c r="P11" s="138" t="s">
        <v>10</v>
      </c>
      <c r="Q11" s="138"/>
      <c r="R11" s="138" t="s">
        <v>12</v>
      </c>
      <c r="S11" s="176"/>
      <c r="T11" s="176"/>
      <c r="U11" s="138"/>
      <c r="V11" s="138"/>
      <c r="W11" s="138"/>
      <c r="X11" s="138" t="s">
        <v>7</v>
      </c>
      <c r="Y11" s="156" t="s">
        <v>23</v>
      </c>
    </row>
    <row r="12" spans="1:25" ht="45" customHeight="1" thickBot="1" x14ac:dyDescent="0.3">
      <c r="A12" s="146"/>
      <c r="B12" s="125"/>
      <c r="C12" s="125"/>
      <c r="D12" s="125"/>
      <c r="E12" s="149"/>
      <c r="F12" s="149"/>
      <c r="G12" s="125"/>
      <c r="H12" s="223"/>
      <c r="I12" s="223"/>
      <c r="J12" s="125"/>
      <c r="K12" s="149"/>
      <c r="L12" s="149"/>
      <c r="M12" s="149"/>
      <c r="N12" s="149"/>
      <c r="O12" s="125"/>
      <c r="P12" s="106" t="s">
        <v>7</v>
      </c>
      <c r="Q12" s="106" t="s">
        <v>11</v>
      </c>
      <c r="R12" s="139"/>
      <c r="S12" s="155"/>
      <c r="T12" s="155"/>
      <c r="U12" s="139"/>
      <c r="V12" s="139"/>
      <c r="W12" s="139"/>
      <c r="X12" s="139"/>
      <c r="Y12" s="157"/>
    </row>
    <row r="13" spans="1:25" ht="45" customHeight="1" x14ac:dyDescent="0.25">
      <c r="A13" s="158" t="s">
        <v>567</v>
      </c>
      <c r="B13" s="161" t="s">
        <v>568</v>
      </c>
      <c r="C13" s="239"/>
      <c r="D13" s="240"/>
      <c r="E13" s="164" t="s">
        <v>569</v>
      </c>
      <c r="F13" s="164" t="s">
        <v>570</v>
      </c>
      <c r="G13" s="161" t="s">
        <v>571</v>
      </c>
      <c r="H13" s="221" t="s">
        <v>572</v>
      </c>
      <c r="I13" s="221" t="s">
        <v>573</v>
      </c>
      <c r="J13" s="161" t="s">
        <v>574</v>
      </c>
      <c r="K13" s="164" t="s">
        <v>575</v>
      </c>
      <c r="L13" s="164" t="s">
        <v>576</v>
      </c>
      <c r="M13" s="164" t="s">
        <v>577</v>
      </c>
      <c r="N13" s="164" t="s">
        <v>578</v>
      </c>
      <c r="O13" s="161" t="s">
        <v>579</v>
      </c>
      <c r="P13" s="137" t="s">
        <v>580</v>
      </c>
      <c r="Q13" s="137"/>
      <c r="R13" s="137"/>
      <c r="S13" s="105"/>
      <c r="T13" s="105"/>
      <c r="U13" s="137" t="s">
        <v>581</v>
      </c>
      <c r="V13" s="137" t="s">
        <v>582</v>
      </c>
      <c r="W13" s="137" t="s">
        <v>583</v>
      </c>
      <c r="X13" s="152" t="s">
        <v>584</v>
      </c>
      <c r="Y13" s="153"/>
    </row>
    <row r="14" spans="1:25" ht="30" customHeight="1" x14ac:dyDescent="0.25">
      <c r="A14" s="159"/>
      <c r="B14" s="162"/>
      <c r="C14" s="126" t="s">
        <v>585</v>
      </c>
      <c r="D14" s="127"/>
      <c r="E14" s="165"/>
      <c r="F14" s="165"/>
      <c r="G14" s="162"/>
      <c r="H14" s="222"/>
      <c r="I14" s="222"/>
      <c r="J14" s="162"/>
      <c r="K14" s="165"/>
      <c r="L14" s="165"/>
      <c r="M14" s="165"/>
      <c r="N14" s="165"/>
      <c r="O14" s="162"/>
      <c r="P14" s="138" t="s">
        <v>586</v>
      </c>
      <c r="Q14" s="138"/>
      <c r="R14" s="138" t="s">
        <v>587</v>
      </c>
      <c r="S14" s="154" t="s">
        <v>588</v>
      </c>
      <c r="T14" s="138" t="s">
        <v>589</v>
      </c>
      <c r="U14" s="138"/>
      <c r="V14" s="138"/>
      <c r="W14" s="138"/>
      <c r="X14" s="138" t="s">
        <v>590</v>
      </c>
      <c r="Y14" s="156" t="s">
        <v>591</v>
      </c>
    </row>
    <row r="15" spans="1:25" ht="36" customHeight="1" thickBot="1" x14ac:dyDescent="0.3">
      <c r="A15" s="160"/>
      <c r="B15" s="163"/>
      <c r="C15" s="241"/>
      <c r="D15" s="242"/>
      <c r="E15" s="166"/>
      <c r="F15" s="166"/>
      <c r="G15" s="163"/>
      <c r="H15" s="223"/>
      <c r="I15" s="223"/>
      <c r="J15" s="163"/>
      <c r="K15" s="166"/>
      <c r="L15" s="166"/>
      <c r="M15" s="166"/>
      <c r="N15" s="166"/>
      <c r="O15" s="163"/>
      <c r="P15" s="106" t="s">
        <v>592</v>
      </c>
      <c r="Q15" s="106" t="s">
        <v>593</v>
      </c>
      <c r="R15" s="139"/>
      <c r="S15" s="155"/>
      <c r="T15" s="139"/>
      <c r="U15" s="139"/>
      <c r="V15" s="139"/>
      <c r="W15" s="139"/>
      <c r="X15" s="139"/>
      <c r="Y15" s="157"/>
    </row>
    <row r="16" spans="1:25" ht="36" customHeight="1" thickBot="1" x14ac:dyDescent="0.3">
      <c r="A16" s="108"/>
      <c r="B16" s="85"/>
      <c r="C16" s="85"/>
      <c r="D16" s="86"/>
      <c r="E16" s="85"/>
      <c r="F16" s="85"/>
      <c r="G16" s="85"/>
      <c r="H16" s="224"/>
      <c r="I16" s="224"/>
      <c r="J16" s="85"/>
      <c r="K16" s="85"/>
      <c r="L16" s="85"/>
      <c r="M16" s="85"/>
      <c r="N16" s="85"/>
      <c r="O16" s="85"/>
      <c r="P16" s="109"/>
      <c r="Q16" s="109"/>
      <c r="R16" s="109"/>
      <c r="S16" s="109"/>
      <c r="T16" s="109"/>
      <c r="U16" s="109"/>
      <c r="V16" s="109"/>
      <c r="W16" s="109"/>
      <c r="X16" s="109"/>
      <c r="Y16" s="110"/>
    </row>
    <row r="17" spans="1:95" ht="15.75" customHeight="1" x14ac:dyDescent="0.25">
      <c r="A17" s="120" t="s">
        <v>24</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2"/>
    </row>
    <row r="18" spans="1:95" s="25" customFormat="1" ht="87" customHeight="1" thickBot="1" x14ac:dyDescent="0.25">
      <c r="A18" s="92">
        <v>1</v>
      </c>
      <c r="B18" s="19" t="s">
        <v>145</v>
      </c>
      <c r="C18" s="19" t="s">
        <v>596</v>
      </c>
      <c r="D18" s="19" t="s">
        <v>323</v>
      </c>
      <c r="E18" s="15" t="s">
        <v>201</v>
      </c>
      <c r="F18" s="21" t="s">
        <v>202</v>
      </c>
      <c r="G18" s="15" t="s">
        <v>203</v>
      </c>
      <c r="H18" s="225">
        <v>42370</v>
      </c>
      <c r="I18" s="225">
        <v>43465</v>
      </c>
      <c r="J18" s="22" t="s">
        <v>111</v>
      </c>
      <c r="K18" s="16" t="s">
        <v>204</v>
      </c>
      <c r="L18" s="16" t="s">
        <v>205</v>
      </c>
      <c r="M18" s="16" t="s">
        <v>261</v>
      </c>
      <c r="N18" s="22" t="s">
        <v>176</v>
      </c>
      <c r="O18" s="22">
        <v>121</v>
      </c>
      <c r="P18" s="177">
        <v>2961561.84</v>
      </c>
      <c r="Q18" s="177">
        <v>535175.69999999995</v>
      </c>
      <c r="R18" s="177">
        <v>0</v>
      </c>
      <c r="S18" s="177">
        <v>0</v>
      </c>
      <c r="T18" s="177">
        <v>0</v>
      </c>
      <c r="U18" s="177">
        <f>P18+Q18+R18+S18+T18</f>
        <v>3496737.54</v>
      </c>
      <c r="V18" s="177" t="s">
        <v>301</v>
      </c>
      <c r="W18" s="177">
        <v>2</v>
      </c>
      <c r="X18" s="177">
        <f>2733223.09+115758.76+112579.99</f>
        <v>2961561.84</v>
      </c>
      <c r="Y18" s="178">
        <f>493913.22+20918.45+20344.02</f>
        <v>535175.68999999994</v>
      </c>
      <c r="Z18" s="24"/>
      <c r="AA18" s="75"/>
      <c r="AB18" s="75"/>
      <c r="AC18" s="75"/>
      <c r="AD18" s="75"/>
      <c r="AE18" s="75"/>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row>
    <row r="19" spans="1:95" s="67" customFormat="1" ht="18" customHeight="1" thickBot="1" x14ac:dyDescent="0.25">
      <c r="A19" s="115" t="s">
        <v>27</v>
      </c>
      <c r="B19" s="116"/>
      <c r="C19" s="116"/>
      <c r="D19" s="116"/>
      <c r="E19" s="116"/>
      <c r="F19" s="107"/>
      <c r="G19" s="27"/>
      <c r="H19" s="226"/>
      <c r="I19" s="226"/>
      <c r="J19" s="26"/>
      <c r="K19" s="26"/>
      <c r="L19" s="26"/>
      <c r="M19" s="26"/>
      <c r="N19" s="26"/>
      <c r="O19" s="28"/>
      <c r="P19" s="179">
        <f t="shared" ref="P19:Y19" si="0">SUM(P18:P18)</f>
        <v>2961561.84</v>
      </c>
      <c r="Q19" s="179">
        <f t="shared" si="0"/>
        <v>535175.69999999995</v>
      </c>
      <c r="R19" s="179">
        <f t="shared" si="0"/>
        <v>0</v>
      </c>
      <c r="S19" s="179">
        <f t="shared" si="0"/>
        <v>0</v>
      </c>
      <c r="T19" s="179">
        <f t="shared" si="0"/>
        <v>0</v>
      </c>
      <c r="U19" s="179">
        <f t="shared" si="0"/>
        <v>3496737.54</v>
      </c>
      <c r="V19" s="179"/>
      <c r="W19" s="179"/>
      <c r="X19" s="180">
        <f t="shared" si="0"/>
        <v>2961561.84</v>
      </c>
      <c r="Y19" s="181">
        <f t="shared" si="0"/>
        <v>535175.68999999994</v>
      </c>
      <c r="Z19" s="24"/>
      <c r="AA19" s="75"/>
      <c r="AB19" s="75"/>
      <c r="AC19" s="75"/>
      <c r="AD19" s="75"/>
      <c r="AE19" s="75"/>
      <c r="AF19" s="24"/>
      <c r="AG19" s="24"/>
      <c r="AH19" s="24"/>
      <c r="AI19" s="24"/>
      <c r="AJ19" s="24"/>
      <c r="AK19" s="24"/>
      <c r="AL19" s="24"/>
      <c r="AM19" s="24"/>
      <c r="AN19" s="24"/>
      <c r="AO19" s="24"/>
      <c r="AP19" s="24"/>
      <c r="AQ19" s="24"/>
      <c r="AR19" s="24"/>
      <c r="AS19" s="24"/>
      <c r="AT19" s="24"/>
      <c r="AU19" s="24"/>
      <c r="AV19" s="24"/>
      <c r="AW19" s="24"/>
      <c r="AX19" s="24"/>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6"/>
    </row>
    <row r="20" spans="1:95" s="69" customFormat="1" ht="20.25" customHeight="1" x14ac:dyDescent="0.2">
      <c r="A20" s="120" t="s">
        <v>25</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2"/>
      <c r="Z20" s="24"/>
      <c r="AA20" s="75"/>
      <c r="AB20" s="75"/>
      <c r="AC20" s="75"/>
      <c r="AD20" s="75"/>
      <c r="AE20" s="75"/>
      <c r="AF20" s="24"/>
      <c r="AG20" s="24"/>
      <c r="AH20" s="24"/>
      <c r="AI20" s="24"/>
      <c r="AJ20" s="24"/>
      <c r="AK20" s="24"/>
      <c r="AL20" s="24"/>
      <c r="AM20" s="24"/>
      <c r="AN20" s="24"/>
      <c r="AO20" s="24"/>
      <c r="AP20" s="24"/>
      <c r="AQ20" s="24"/>
      <c r="AR20" s="24"/>
      <c r="AS20" s="24"/>
      <c r="AT20" s="24"/>
      <c r="AU20" s="24"/>
      <c r="AV20" s="24"/>
      <c r="AW20" s="24"/>
      <c r="AX20" s="24"/>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8"/>
    </row>
    <row r="21" spans="1:95" s="70" customFormat="1" ht="22.5" customHeight="1" thickBot="1" x14ac:dyDescent="0.25">
      <c r="A21" s="93">
        <v>1</v>
      </c>
      <c r="B21" s="29"/>
      <c r="C21" s="29"/>
      <c r="D21" s="29"/>
      <c r="E21" s="30"/>
      <c r="F21" s="22"/>
      <c r="G21" s="15"/>
      <c r="H21" s="225"/>
      <c r="I21" s="225"/>
      <c r="J21" s="22"/>
      <c r="K21" s="18"/>
      <c r="L21" s="18"/>
      <c r="M21" s="18"/>
      <c r="N21" s="22"/>
      <c r="O21" s="22"/>
      <c r="P21" s="177"/>
      <c r="Q21" s="177"/>
      <c r="R21" s="177"/>
      <c r="S21" s="177"/>
      <c r="T21" s="177"/>
      <c r="U21" s="182"/>
      <c r="V21" s="182"/>
      <c r="W21" s="177"/>
      <c r="X21" s="177"/>
      <c r="Y21" s="183"/>
      <c r="Z21" s="24"/>
      <c r="AA21" s="75"/>
      <c r="AB21" s="75"/>
      <c r="AC21" s="75"/>
      <c r="AD21" s="75"/>
      <c r="AE21" s="75"/>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row>
    <row r="22" spans="1:95" s="67" customFormat="1" ht="17.25" customHeight="1" thickBot="1" x14ac:dyDescent="0.25">
      <c r="A22" s="115" t="s">
        <v>28</v>
      </c>
      <c r="B22" s="116"/>
      <c r="C22" s="116"/>
      <c r="D22" s="116"/>
      <c r="E22" s="116"/>
      <c r="F22" s="116"/>
      <c r="G22" s="116"/>
      <c r="H22" s="116"/>
      <c r="I22" s="116"/>
      <c r="J22" s="116"/>
      <c r="K22" s="116"/>
      <c r="L22" s="116"/>
      <c r="M22" s="116"/>
      <c r="N22" s="116"/>
      <c r="O22" s="117"/>
      <c r="P22" s="179">
        <f t="shared" ref="P22:U22" si="1">P21</f>
        <v>0</v>
      </c>
      <c r="Q22" s="179">
        <f t="shared" si="1"/>
        <v>0</v>
      </c>
      <c r="R22" s="179">
        <f t="shared" si="1"/>
        <v>0</v>
      </c>
      <c r="S22" s="179">
        <f t="shared" si="1"/>
        <v>0</v>
      </c>
      <c r="T22" s="179">
        <f t="shared" si="1"/>
        <v>0</v>
      </c>
      <c r="U22" s="179">
        <f t="shared" si="1"/>
        <v>0</v>
      </c>
      <c r="V22" s="179"/>
      <c r="W22" s="179"/>
      <c r="X22" s="179">
        <f>X21</f>
        <v>0</v>
      </c>
      <c r="Y22" s="181">
        <f>Y21</f>
        <v>0</v>
      </c>
      <c r="Z22" s="24"/>
      <c r="AA22" s="75"/>
      <c r="AB22" s="75"/>
      <c r="AC22" s="75"/>
      <c r="AD22" s="75"/>
      <c r="AE22" s="75"/>
      <c r="AF22" s="24"/>
      <c r="AG22" s="24"/>
      <c r="AH22" s="24"/>
      <c r="AI22" s="24"/>
      <c r="AJ22" s="24"/>
      <c r="AK22" s="24"/>
      <c r="AL22" s="24"/>
      <c r="AM22" s="24"/>
      <c r="AN22" s="24"/>
      <c r="AO22" s="24"/>
      <c r="AP22" s="24"/>
      <c r="AQ22" s="24"/>
      <c r="AR22" s="24"/>
      <c r="AS22" s="24"/>
      <c r="AT22" s="24"/>
      <c r="AU22" s="24"/>
      <c r="AV22" s="24"/>
      <c r="AW22" s="24"/>
      <c r="AX22" s="24"/>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6"/>
    </row>
    <row r="23" spans="1:95" s="69" customFormat="1" ht="15.75" customHeight="1" x14ac:dyDescent="0.2">
      <c r="A23" s="120" t="s">
        <v>31</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2"/>
      <c r="Z23" s="24"/>
      <c r="AA23" s="75"/>
      <c r="AB23" s="75"/>
      <c r="AC23" s="75"/>
      <c r="AD23" s="75"/>
      <c r="AE23" s="75"/>
      <c r="AF23" s="24"/>
      <c r="AG23" s="24"/>
      <c r="AH23" s="24"/>
      <c r="AI23" s="24"/>
      <c r="AJ23" s="24"/>
      <c r="AK23" s="24"/>
      <c r="AL23" s="24"/>
      <c r="AM23" s="24"/>
      <c r="AN23" s="24"/>
      <c r="AO23" s="24"/>
      <c r="AP23" s="24"/>
      <c r="AQ23" s="24"/>
      <c r="AR23" s="24"/>
      <c r="AS23" s="24"/>
      <c r="AT23" s="24"/>
      <c r="AU23" s="24"/>
      <c r="AV23" s="24"/>
      <c r="AW23" s="24"/>
      <c r="AX23" s="24"/>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8"/>
    </row>
    <row r="24" spans="1:95" s="25" customFormat="1" ht="128.25" thickBot="1" x14ac:dyDescent="0.25">
      <c r="A24" s="94">
        <v>1</v>
      </c>
      <c r="B24" s="29" t="s">
        <v>145</v>
      </c>
      <c r="C24" s="29" t="s">
        <v>599</v>
      </c>
      <c r="D24" s="29" t="s">
        <v>326</v>
      </c>
      <c r="E24" s="30" t="s">
        <v>196</v>
      </c>
      <c r="F24" s="22" t="s">
        <v>197</v>
      </c>
      <c r="G24" s="15" t="s">
        <v>198</v>
      </c>
      <c r="H24" s="225">
        <v>42370</v>
      </c>
      <c r="I24" s="225">
        <v>43465</v>
      </c>
      <c r="J24" s="22" t="s">
        <v>111</v>
      </c>
      <c r="K24" s="16" t="s">
        <v>199</v>
      </c>
      <c r="L24" s="16" t="s">
        <v>200</v>
      </c>
      <c r="M24" s="16" t="s">
        <v>225</v>
      </c>
      <c r="N24" s="22" t="s">
        <v>176</v>
      </c>
      <c r="O24" s="22">
        <v>121</v>
      </c>
      <c r="P24" s="177">
        <v>2381109.7599999998</v>
      </c>
      <c r="Q24" s="177">
        <v>430283.81000000006</v>
      </c>
      <c r="R24" s="177">
        <v>0</v>
      </c>
      <c r="S24" s="177">
        <v>0</v>
      </c>
      <c r="T24" s="177">
        <v>0</v>
      </c>
      <c r="U24" s="177">
        <f>P24+Q24+R24+S24+T24</f>
        <v>2811393.57</v>
      </c>
      <c r="V24" s="177" t="s">
        <v>517</v>
      </c>
      <c r="W24" s="177">
        <v>2</v>
      </c>
      <c r="X24" s="177">
        <f>942795.19+1210638.54+227676.03</f>
        <v>2381109.7599999998</v>
      </c>
      <c r="Y24" s="183">
        <f>389141.11+41142.71</f>
        <v>430283.82</v>
      </c>
      <c r="Z24" s="71"/>
      <c r="AA24" s="75"/>
      <c r="AB24" s="75"/>
      <c r="AC24" s="75"/>
      <c r="AD24" s="75"/>
      <c r="AE24" s="75"/>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row>
    <row r="25" spans="1:95" s="67" customFormat="1" ht="17.25" customHeight="1" thickBot="1" x14ac:dyDescent="0.25">
      <c r="A25" s="115" t="s">
        <v>71</v>
      </c>
      <c r="B25" s="116"/>
      <c r="C25" s="116"/>
      <c r="D25" s="116"/>
      <c r="E25" s="116"/>
      <c r="F25" s="116"/>
      <c r="G25" s="26"/>
      <c r="H25" s="226"/>
      <c r="I25" s="226"/>
      <c r="J25" s="26"/>
      <c r="K25" s="26"/>
      <c r="L25" s="26"/>
      <c r="M25" s="26"/>
      <c r="N25" s="26"/>
      <c r="O25" s="28"/>
      <c r="P25" s="179">
        <f>SUM(P24)</f>
        <v>2381109.7599999998</v>
      </c>
      <c r="Q25" s="179">
        <f t="shared" ref="Q25:Y25" si="2">SUM(Q24)</f>
        <v>430283.81000000006</v>
      </c>
      <c r="R25" s="179">
        <f t="shared" si="2"/>
        <v>0</v>
      </c>
      <c r="S25" s="179">
        <f t="shared" si="2"/>
        <v>0</v>
      </c>
      <c r="T25" s="179">
        <f t="shared" si="2"/>
        <v>0</v>
      </c>
      <c r="U25" s="179">
        <f t="shared" si="2"/>
        <v>2811393.57</v>
      </c>
      <c r="V25" s="179"/>
      <c r="W25" s="179"/>
      <c r="X25" s="179">
        <f t="shared" si="2"/>
        <v>2381109.7599999998</v>
      </c>
      <c r="Y25" s="181">
        <f t="shared" si="2"/>
        <v>430283.82</v>
      </c>
      <c r="Z25" s="24"/>
      <c r="AA25" s="75"/>
      <c r="AB25" s="75"/>
      <c r="AC25" s="75"/>
      <c r="AD25" s="75"/>
      <c r="AE25" s="75"/>
      <c r="AF25" s="24"/>
      <c r="AG25" s="24"/>
      <c r="AH25" s="24"/>
      <c r="AI25" s="24"/>
      <c r="AJ25" s="24"/>
      <c r="AK25" s="24"/>
      <c r="AL25" s="24"/>
      <c r="AM25" s="24"/>
      <c r="AN25" s="24"/>
      <c r="AO25" s="24"/>
      <c r="AP25" s="24"/>
      <c r="AQ25" s="24"/>
      <c r="AR25" s="24"/>
      <c r="AS25" s="24"/>
      <c r="AT25" s="24"/>
      <c r="AU25" s="24"/>
      <c r="AV25" s="24"/>
      <c r="AW25" s="24"/>
      <c r="AX25" s="24"/>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6"/>
    </row>
    <row r="26" spans="1:95" s="69" customFormat="1" ht="15.75" customHeight="1" x14ac:dyDescent="0.2">
      <c r="A26" s="120" t="s">
        <v>32</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2"/>
      <c r="Z26" s="24"/>
      <c r="AA26" s="75"/>
      <c r="AB26" s="75"/>
      <c r="AC26" s="75"/>
      <c r="AD26" s="75"/>
      <c r="AE26" s="75"/>
      <c r="AF26" s="24"/>
      <c r="AG26" s="24"/>
      <c r="AH26" s="24"/>
      <c r="AI26" s="24"/>
      <c r="AJ26" s="24"/>
      <c r="AK26" s="24"/>
      <c r="AL26" s="24"/>
      <c r="AM26" s="24"/>
      <c r="AN26" s="24"/>
      <c r="AO26" s="24"/>
      <c r="AP26" s="24"/>
      <c r="AQ26" s="24"/>
      <c r="AR26" s="24"/>
      <c r="AS26" s="24"/>
      <c r="AT26" s="24"/>
      <c r="AU26" s="24"/>
      <c r="AV26" s="24"/>
      <c r="AW26" s="24"/>
      <c r="AX26" s="24"/>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8"/>
    </row>
    <row r="27" spans="1:95" s="70" customFormat="1" ht="42.75" customHeight="1" thickBot="1" x14ac:dyDescent="0.25">
      <c r="A27" s="94">
        <v>1</v>
      </c>
      <c r="B27" s="44"/>
      <c r="C27" s="44"/>
      <c r="D27" s="44"/>
      <c r="E27" s="30"/>
      <c r="F27" s="22"/>
      <c r="G27" s="45"/>
      <c r="H27" s="225"/>
      <c r="I27" s="225"/>
      <c r="J27" s="22"/>
      <c r="K27" s="18"/>
      <c r="L27" s="18"/>
      <c r="M27" s="18"/>
      <c r="N27" s="22"/>
      <c r="O27" s="22"/>
      <c r="P27" s="177"/>
      <c r="Q27" s="177"/>
      <c r="R27" s="177"/>
      <c r="S27" s="184"/>
      <c r="T27" s="177"/>
      <c r="U27" s="182"/>
      <c r="V27" s="182"/>
      <c r="W27" s="177"/>
      <c r="X27" s="177"/>
      <c r="Y27" s="183"/>
      <c r="Z27" s="24"/>
      <c r="AA27" s="75"/>
      <c r="AB27" s="75"/>
      <c r="AC27" s="75"/>
      <c r="AD27" s="75"/>
      <c r="AE27" s="75"/>
      <c r="AF27" s="24"/>
      <c r="AG27" s="24"/>
      <c r="AH27" s="24"/>
      <c r="AI27" s="24"/>
      <c r="AJ27" s="24"/>
      <c r="AK27" s="24"/>
      <c r="AL27" s="24"/>
      <c r="AM27" s="24"/>
      <c r="AN27" s="24"/>
      <c r="AO27" s="24"/>
      <c r="AP27" s="24"/>
      <c r="AQ27" s="24"/>
      <c r="AR27" s="24"/>
      <c r="AS27" s="24"/>
      <c r="AT27" s="24"/>
      <c r="AU27" s="24"/>
      <c r="AV27" s="24"/>
      <c r="AW27" s="24"/>
      <c r="AX27" s="24"/>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24"/>
    </row>
    <row r="28" spans="1:95" s="67" customFormat="1" ht="17.25" customHeight="1" thickBot="1" x14ac:dyDescent="0.25">
      <c r="A28" s="115" t="s">
        <v>72</v>
      </c>
      <c r="B28" s="116"/>
      <c r="C28" s="116"/>
      <c r="D28" s="116"/>
      <c r="E28" s="116"/>
      <c r="F28" s="116"/>
      <c r="G28" s="116"/>
      <c r="H28" s="116"/>
      <c r="I28" s="116"/>
      <c r="J28" s="116"/>
      <c r="K28" s="116"/>
      <c r="L28" s="116"/>
      <c r="M28" s="116"/>
      <c r="N28" s="116"/>
      <c r="O28" s="117"/>
      <c r="P28" s="179">
        <v>0</v>
      </c>
      <c r="Q28" s="179">
        <v>0</v>
      </c>
      <c r="R28" s="179">
        <v>0</v>
      </c>
      <c r="S28" s="179">
        <v>0</v>
      </c>
      <c r="T28" s="179">
        <v>0</v>
      </c>
      <c r="U28" s="179">
        <f>P28+Q28+R28+S28+T28</f>
        <v>0</v>
      </c>
      <c r="V28" s="179"/>
      <c r="W28" s="179"/>
      <c r="X28" s="179">
        <v>0</v>
      </c>
      <c r="Y28" s="181">
        <v>0</v>
      </c>
      <c r="Z28" s="24"/>
      <c r="AA28" s="75"/>
      <c r="AB28" s="75"/>
      <c r="AC28" s="75"/>
      <c r="AD28" s="75"/>
      <c r="AE28" s="75"/>
      <c r="AF28" s="24"/>
      <c r="AG28" s="24"/>
      <c r="AH28" s="24"/>
      <c r="AI28" s="24"/>
      <c r="AJ28" s="24"/>
      <c r="AK28" s="24"/>
      <c r="AL28" s="24"/>
      <c r="AM28" s="24"/>
      <c r="AN28" s="24"/>
      <c r="AO28" s="24"/>
      <c r="AP28" s="24"/>
      <c r="AQ28" s="24"/>
      <c r="AR28" s="24"/>
      <c r="AS28" s="24"/>
      <c r="AT28" s="24"/>
      <c r="AU28" s="24"/>
      <c r="AV28" s="24"/>
      <c r="AW28" s="24"/>
      <c r="AX28" s="24"/>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6"/>
    </row>
    <row r="29" spans="1:95" s="67" customFormat="1" ht="15.75" customHeight="1" x14ac:dyDescent="0.2">
      <c r="A29" s="120" t="s">
        <v>33</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2"/>
      <c r="Z29" s="24"/>
      <c r="AA29" s="75"/>
      <c r="AB29" s="75"/>
      <c r="AC29" s="75"/>
      <c r="AD29" s="75"/>
      <c r="AE29" s="75"/>
      <c r="AF29" s="24"/>
      <c r="AG29" s="24"/>
      <c r="AH29" s="24"/>
      <c r="AI29" s="24"/>
      <c r="AJ29" s="24"/>
      <c r="AK29" s="24"/>
      <c r="AL29" s="24"/>
      <c r="AM29" s="24"/>
      <c r="AN29" s="24"/>
      <c r="AO29" s="24"/>
      <c r="AP29" s="24"/>
      <c r="AQ29" s="24"/>
      <c r="AR29" s="24"/>
      <c r="AS29" s="24"/>
      <c r="AT29" s="24"/>
      <c r="AU29" s="24"/>
      <c r="AV29" s="24"/>
      <c r="AW29" s="24"/>
      <c r="AX29" s="24"/>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6"/>
    </row>
    <row r="30" spans="1:95" s="70" customFormat="1" ht="51" x14ac:dyDescent="0.2">
      <c r="A30" s="92">
        <v>1</v>
      </c>
      <c r="B30" s="19" t="s">
        <v>145</v>
      </c>
      <c r="C30" s="19" t="s">
        <v>600</v>
      </c>
      <c r="D30" s="19" t="s">
        <v>329</v>
      </c>
      <c r="E30" s="20" t="s">
        <v>188</v>
      </c>
      <c r="F30" s="21" t="s">
        <v>189</v>
      </c>
      <c r="G30" s="23" t="s">
        <v>190</v>
      </c>
      <c r="H30" s="227">
        <v>42309</v>
      </c>
      <c r="I30" s="227">
        <v>43465</v>
      </c>
      <c r="J30" s="21" t="s">
        <v>111</v>
      </c>
      <c r="K30" s="13" t="s">
        <v>191</v>
      </c>
      <c r="L30" s="13" t="s">
        <v>192</v>
      </c>
      <c r="M30" s="13"/>
      <c r="N30" s="21" t="s">
        <v>176</v>
      </c>
      <c r="O30" s="21">
        <v>121</v>
      </c>
      <c r="P30" s="185">
        <v>3594591.07</v>
      </c>
      <c r="Q30" s="185">
        <v>649568.62</v>
      </c>
      <c r="R30" s="185">
        <v>0</v>
      </c>
      <c r="S30" s="185">
        <v>0</v>
      </c>
      <c r="T30" s="185">
        <v>0</v>
      </c>
      <c r="U30" s="185">
        <f>P30+Q30+R30+S30+T30</f>
        <v>4244159.6899999995</v>
      </c>
      <c r="V30" s="185" t="s">
        <v>517</v>
      </c>
      <c r="W30" s="186">
        <v>3</v>
      </c>
      <c r="X30" s="185">
        <f>2862698.11+198078.59+183437.38+129653.4+220723.59</f>
        <v>3594591.0699999994</v>
      </c>
      <c r="Y30" s="187">
        <f>517310.28+35794.24+33148.45+23429.3+39886.35</f>
        <v>649568.62</v>
      </c>
      <c r="Z30" s="24"/>
      <c r="AA30" s="75"/>
      <c r="AB30" s="75"/>
      <c r="AC30" s="75"/>
      <c r="AD30" s="75"/>
      <c r="AE30" s="75"/>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row>
    <row r="31" spans="1:95" s="69" customFormat="1" ht="13.5" thickBot="1" x14ac:dyDescent="0.25">
      <c r="A31" s="95"/>
      <c r="B31" s="34"/>
      <c r="C31" s="34"/>
      <c r="D31" s="34"/>
      <c r="E31" s="34"/>
      <c r="F31" s="34"/>
      <c r="G31" s="35"/>
      <c r="H31" s="228"/>
      <c r="I31" s="228"/>
      <c r="J31" s="34"/>
      <c r="K31" s="34"/>
      <c r="L31" s="34"/>
      <c r="M31" s="34"/>
      <c r="N31" s="34"/>
      <c r="O31" s="34"/>
      <c r="P31" s="188"/>
      <c r="Q31" s="188"/>
      <c r="R31" s="189"/>
      <c r="S31" s="189"/>
      <c r="T31" s="189"/>
      <c r="U31" s="189"/>
      <c r="V31" s="189"/>
      <c r="W31" s="189"/>
      <c r="X31" s="189"/>
      <c r="Y31" s="190"/>
      <c r="Z31" s="24"/>
      <c r="AA31" s="75"/>
      <c r="AB31" s="75"/>
      <c r="AC31" s="75"/>
      <c r="AD31" s="75"/>
      <c r="AE31" s="75"/>
      <c r="AF31" s="24"/>
      <c r="AG31" s="24"/>
      <c r="AH31" s="24"/>
      <c r="AI31" s="24"/>
      <c r="AJ31" s="24"/>
      <c r="AK31" s="24"/>
      <c r="AL31" s="24"/>
      <c r="AM31" s="24"/>
      <c r="AN31" s="24"/>
      <c r="AO31" s="24"/>
      <c r="AP31" s="24"/>
      <c r="AQ31" s="24"/>
      <c r="AR31" s="24"/>
      <c r="AS31" s="24"/>
      <c r="AT31" s="24"/>
      <c r="AU31" s="24"/>
      <c r="AV31" s="24"/>
      <c r="AW31" s="24"/>
      <c r="AX31" s="24"/>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8"/>
    </row>
    <row r="32" spans="1:95" s="67" customFormat="1" ht="21" customHeight="1" thickBot="1" x14ac:dyDescent="0.25">
      <c r="A32" s="115" t="s">
        <v>73</v>
      </c>
      <c r="B32" s="116"/>
      <c r="C32" s="116"/>
      <c r="D32" s="116"/>
      <c r="E32" s="116"/>
      <c r="F32" s="116"/>
      <c r="G32" s="26"/>
      <c r="H32" s="226"/>
      <c r="I32" s="226"/>
      <c r="J32" s="26"/>
      <c r="K32" s="26"/>
      <c r="L32" s="26"/>
      <c r="M32" s="26"/>
      <c r="N32" s="26"/>
      <c r="O32" s="28"/>
      <c r="P32" s="179">
        <f t="shared" ref="P32:U32" si="3">P30</f>
        <v>3594591.07</v>
      </c>
      <c r="Q32" s="179">
        <f t="shared" si="3"/>
        <v>649568.62</v>
      </c>
      <c r="R32" s="179">
        <f t="shared" si="3"/>
        <v>0</v>
      </c>
      <c r="S32" s="179">
        <f t="shared" si="3"/>
        <v>0</v>
      </c>
      <c r="T32" s="179">
        <f t="shared" si="3"/>
        <v>0</v>
      </c>
      <c r="U32" s="179">
        <f t="shared" si="3"/>
        <v>4244159.6899999995</v>
      </c>
      <c r="V32" s="179"/>
      <c r="W32" s="179"/>
      <c r="X32" s="179">
        <f>X30</f>
        <v>3594591.0699999994</v>
      </c>
      <c r="Y32" s="181">
        <f>Y30</f>
        <v>649568.62</v>
      </c>
      <c r="Z32" s="24"/>
      <c r="AA32" s="75"/>
      <c r="AB32" s="75"/>
      <c r="AC32" s="75"/>
      <c r="AD32" s="75"/>
      <c r="AE32" s="75"/>
      <c r="AF32" s="24"/>
      <c r="AG32" s="24"/>
      <c r="AH32" s="24"/>
      <c r="AI32" s="24"/>
      <c r="AJ32" s="24"/>
      <c r="AK32" s="24"/>
      <c r="AL32" s="24"/>
      <c r="AM32" s="24"/>
      <c r="AN32" s="24"/>
      <c r="AO32" s="24"/>
      <c r="AP32" s="24"/>
      <c r="AQ32" s="24"/>
      <c r="AR32" s="24"/>
      <c r="AS32" s="24"/>
      <c r="AT32" s="24"/>
      <c r="AU32" s="24"/>
      <c r="AV32" s="24"/>
      <c r="AW32" s="24"/>
      <c r="AX32" s="24"/>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6"/>
    </row>
    <row r="33" spans="1:95" s="69" customFormat="1" ht="15.75" customHeight="1" x14ac:dyDescent="0.2">
      <c r="A33" s="120" t="s">
        <v>34</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2"/>
      <c r="Z33" s="24"/>
      <c r="AA33" s="75"/>
      <c r="AB33" s="75"/>
      <c r="AC33" s="75"/>
      <c r="AD33" s="75"/>
      <c r="AE33" s="75"/>
      <c r="AF33" s="24"/>
      <c r="AG33" s="24"/>
      <c r="AH33" s="24"/>
      <c r="AI33" s="24"/>
      <c r="AJ33" s="24"/>
      <c r="AK33" s="24"/>
      <c r="AL33" s="24"/>
      <c r="AM33" s="24"/>
      <c r="AN33" s="24"/>
      <c r="AO33" s="24"/>
      <c r="AP33" s="24"/>
      <c r="AQ33" s="24"/>
      <c r="AR33" s="24"/>
      <c r="AS33" s="24"/>
      <c r="AT33" s="24"/>
      <c r="AU33" s="24"/>
      <c r="AV33" s="24"/>
      <c r="AW33" s="24"/>
      <c r="AX33" s="24"/>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8"/>
    </row>
    <row r="34" spans="1:95" s="72" customFormat="1" ht="12.75" x14ac:dyDescent="0.2">
      <c r="A34" s="96">
        <v>1</v>
      </c>
      <c r="B34" s="19"/>
      <c r="C34" s="19"/>
      <c r="D34" s="19"/>
      <c r="E34" s="20"/>
      <c r="F34" s="21"/>
      <c r="G34" s="37"/>
      <c r="H34" s="229"/>
      <c r="I34" s="229"/>
      <c r="J34" s="38"/>
      <c r="K34" s="36"/>
      <c r="L34" s="36"/>
      <c r="M34" s="36"/>
      <c r="N34" s="39"/>
      <c r="O34" s="39"/>
      <c r="P34" s="185"/>
      <c r="Q34" s="185"/>
      <c r="R34" s="191"/>
      <c r="S34" s="191"/>
      <c r="T34" s="191"/>
      <c r="U34" s="192"/>
      <c r="V34" s="192"/>
      <c r="W34" s="191"/>
      <c r="X34" s="191"/>
      <c r="Y34" s="193"/>
      <c r="Z34" s="24"/>
      <c r="AA34" s="75"/>
      <c r="AB34" s="75"/>
      <c r="AC34" s="75"/>
      <c r="AD34" s="75"/>
      <c r="AE34" s="75"/>
      <c r="AF34" s="24"/>
      <c r="AG34" s="24"/>
      <c r="AH34" s="24"/>
      <c r="AI34" s="24"/>
      <c r="AJ34" s="24"/>
      <c r="AK34" s="24"/>
      <c r="AL34" s="24"/>
      <c r="AM34" s="24"/>
      <c r="AN34" s="24"/>
      <c r="AO34" s="24"/>
      <c r="AP34" s="24"/>
      <c r="AQ34" s="24"/>
      <c r="AR34" s="24"/>
      <c r="AS34" s="24"/>
      <c r="AT34" s="24"/>
      <c r="AU34" s="24"/>
      <c r="AV34" s="24"/>
      <c r="AW34" s="24"/>
      <c r="AX34" s="24"/>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8"/>
    </row>
    <row r="35" spans="1:95" s="69" customFormat="1" ht="13.5" thickBot="1" x14ac:dyDescent="0.25">
      <c r="A35" s="97"/>
      <c r="B35" s="46"/>
      <c r="C35" s="46"/>
      <c r="D35" s="46"/>
      <c r="E35" s="46"/>
      <c r="F35" s="46"/>
      <c r="G35" s="47"/>
      <c r="H35" s="230"/>
      <c r="I35" s="230"/>
      <c r="J35" s="46"/>
      <c r="K35" s="46"/>
      <c r="L35" s="46"/>
      <c r="M35" s="46"/>
      <c r="N35" s="46"/>
      <c r="O35" s="46"/>
      <c r="P35" s="194"/>
      <c r="Q35" s="194"/>
      <c r="R35" s="195"/>
      <c r="S35" s="195"/>
      <c r="T35" s="195"/>
      <c r="U35" s="195"/>
      <c r="V35" s="195"/>
      <c r="W35" s="195"/>
      <c r="X35" s="195"/>
      <c r="Y35" s="196"/>
      <c r="Z35" s="24"/>
      <c r="AA35" s="75"/>
      <c r="AB35" s="75"/>
      <c r="AC35" s="75"/>
      <c r="AD35" s="75"/>
      <c r="AE35" s="75"/>
      <c r="AF35" s="24"/>
      <c r="AG35" s="24"/>
      <c r="AH35" s="24"/>
      <c r="AI35" s="24"/>
      <c r="AJ35" s="24"/>
      <c r="AK35" s="24"/>
      <c r="AL35" s="24"/>
      <c r="AM35" s="24"/>
      <c r="AN35" s="24"/>
      <c r="AO35" s="24"/>
      <c r="AP35" s="24"/>
      <c r="AQ35" s="24"/>
      <c r="AR35" s="24"/>
      <c r="AS35" s="24"/>
      <c r="AT35" s="24"/>
      <c r="AU35" s="24"/>
      <c r="AV35" s="24"/>
      <c r="AW35" s="24"/>
      <c r="AX35" s="24"/>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8"/>
    </row>
    <row r="36" spans="1:95" s="67" customFormat="1" ht="17.25" customHeight="1" thickBot="1" x14ac:dyDescent="0.25">
      <c r="A36" s="115" t="s">
        <v>74</v>
      </c>
      <c r="B36" s="116"/>
      <c r="C36" s="116"/>
      <c r="D36" s="116"/>
      <c r="E36" s="116"/>
      <c r="F36" s="116"/>
      <c r="G36" s="116"/>
      <c r="H36" s="116"/>
      <c r="I36" s="116"/>
      <c r="J36" s="116"/>
      <c r="K36" s="116"/>
      <c r="L36" s="116"/>
      <c r="M36" s="116"/>
      <c r="N36" s="116"/>
      <c r="O36" s="117"/>
      <c r="P36" s="179">
        <f t="shared" ref="P36:U36" si="4">P34</f>
        <v>0</v>
      </c>
      <c r="Q36" s="179">
        <f t="shared" si="4"/>
        <v>0</v>
      </c>
      <c r="R36" s="179">
        <f t="shared" si="4"/>
        <v>0</v>
      </c>
      <c r="S36" s="179">
        <f t="shared" si="4"/>
        <v>0</v>
      </c>
      <c r="T36" s="179">
        <f t="shared" si="4"/>
        <v>0</v>
      </c>
      <c r="U36" s="179">
        <f t="shared" si="4"/>
        <v>0</v>
      </c>
      <c r="V36" s="179"/>
      <c r="W36" s="179"/>
      <c r="X36" s="179">
        <f>X34</f>
        <v>0</v>
      </c>
      <c r="Y36" s="181">
        <f>Y34</f>
        <v>0</v>
      </c>
      <c r="Z36" s="24"/>
      <c r="AA36" s="75"/>
      <c r="AB36" s="75"/>
      <c r="AC36" s="75"/>
      <c r="AD36" s="75"/>
      <c r="AE36" s="75"/>
      <c r="AF36" s="24"/>
      <c r="AG36" s="24"/>
      <c r="AH36" s="24"/>
      <c r="AI36" s="24"/>
      <c r="AJ36" s="24"/>
      <c r="AK36" s="24"/>
      <c r="AL36" s="24"/>
      <c r="AM36" s="24"/>
      <c r="AN36" s="24"/>
      <c r="AO36" s="24"/>
      <c r="AP36" s="24"/>
      <c r="AQ36" s="24"/>
      <c r="AR36" s="24"/>
      <c r="AS36" s="24"/>
      <c r="AT36" s="24"/>
      <c r="AU36" s="24"/>
      <c r="AV36" s="24"/>
      <c r="AW36" s="24"/>
      <c r="AX36" s="24"/>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6"/>
    </row>
    <row r="37" spans="1:95" s="69" customFormat="1" ht="15.75" customHeight="1" x14ac:dyDescent="0.2">
      <c r="A37" s="120" t="s">
        <v>35</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2"/>
      <c r="Z37" s="24"/>
      <c r="AA37" s="75"/>
      <c r="AB37" s="75"/>
      <c r="AC37" s="75"/>
      <c r="AD37" s="75"/>
      <c r="AE37" s="75"/>
      <c r="AF37" s="24"/>
      <c r="AG37" s="24"/>
      <c r="AH37" s="24"/>
      <c r="AI37" s="24"/>
      <c r="AJ37" s="24"/>
      <c r="AK37" s="24"/>
      <c r="AL37" s="24"/>
      <c r="AM37" s="24"/>
      <c r="AN37" s="24"/>
      <c r="AO37" s="24"/>
      <c r="AP37" s="24"/>
      <c r="AQ37" s="24"/>
      <c r="AR37" s="24"/>
      <c r="AS37" s="24"/>
      <c r="AT37" s="24"/>
      <c r="AU37" s="24"/>
      <c r="AV37" s="24"/>
      <c r="AW37" s="24"/>
      <c r="AX37" s="24"/>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8"/>
    </row>
    <row r="38" spans="1:95" s="69" customFormat="1" ht="12.75" x14ac:dyDescent="0.2">
      <c r="A38" s="98">
        <v>1</v>
      </c>
      <c r="B38" s="34"/>
      <c r="C38" s="34"/>
      <c r="D38" s="34"/>
      <c r="E38" s="34"/>
      <c r="F38" s="34"/>
      <c r="G38" s="35"/>
      <c r="H38" s="228"/>
      <c r="I38" s="228"/>
      <c r="J38" s="34"/>
      <c r="K38" s="34"/>
      <c r="L38" s="34"/>
      <c r="M38" s="34"/>
      <c r="N38" s="34"/>
      <c r="O38" s="34"/>
      <c r="P38" s="188"/>
      <c r="Q38" s="188"/>
      <c r="R38" s="189"/>
      <c r="S38" s="189"/>
      <c r="T38" s="189"/>
      <c r="U38" s="189"/>
      <c r="V38" s="189"/>
      <c r="W38" s="189"/>
      <c r="X38" s="189"/>
      <c r="Y38" s="190"/>
      <c r="Z38" s="24"/>
      <c r="AA38" s="75"/>
      <c r="AB38" s="75"/>
      <c r="AC38" s="75"/>
      <c r="AD38" s="75"/>
      <c r="AE38" s="75"/>
      <c r="AF38" s="24"/>
      <c r="AG38" s="24"/>
      <c r="AH38" s="24"/>
      <c r="AI38" s="24"/>
      <c r="AJ38" s="24"/>
      <c r="AK38" s="24"/>
      <c r="AL38" s="24"/>
      <c r="AM38" s="24"/>
      <c r="AN38" s="24"/>
      <c r="AO38" s="24"/>
      <c r="AP38" s="24"/>
      <c r="AQ38" s="24"/>
      <c r="AR38" s="24"/>
      <c r="AS38" s="24"/>
      <c r="AT38" s="24"/>
      <c r="AU38" s="24"/>
      <c r="AV38" s="24"/>
      <c r="AW38" s="24"/>
      <c r="AX38" s="24"/>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8"/>
    </row>
    <row r="39" spans="1:95" s="69" customFormat="1" ht="13.5" thickBot="1" x14ac:dyDescent="0.25">
      <c r="A39" s="99">
        <v>2</v>
      </c>
      <c r="B39" s="46"/>
      <c r="C39" s="46"/>
      <c r="D39" s="46"/>
      <c r="E39" s="42"/>
      <c r="F39" s="42"/>
      <c r="G39" s="47"/>
      <c r="H39" s="230"/>
      <c r="I39" s="230"/>
      <c r="J39" s="46"/>
      <c r="K39" s="42"/>
      <c r="L39" s="42"/>
      <c r="M39" s="42"/>
      <c r="N39" s="42"/>
      <c r="O39" s="46"/>
      <c r="P39" s="182"/>
      <c r="Q39" s="182"/>
      <c r="R39" s="197"/>
      <c r="S39" s="195"/>
      <c r="T39" s="197"/>
      <c r="U39" s="197"/>
      <c r="V39" s="197"/>
      <c r="W39" s="197"/>
      <c r="X39" s="197"/>
      <c r="Y39" s="198"/>
      <c r="Z39" s="24"/>
      <c r="AA39" s="75"/>
      <c r="AB39" s="75"/>
      <c r="AC39" s="75"/>
      <c r="AD39" s="75"/>
      <c r="AE39" s="75"/>
      <c r="AF39" s="24"/>
      <c r="AG39" s="24"/>
      <c r="AH39" s="24"/>
      <c r="AI39" s="24"/>
      <c r="AJ39" s="24"/>
      <c r="AK39" s="24"/>
      <c r="AL39" s="24"/>
      <c r="AM39" s="24"/>
      <c r="AN39" s="24"/>
      <c r="AO39" s="24"/>
      <c r="AP39" s="24"/>
      <c r="AQ39" s="24"/>
      <c r="AR39" s="24"/>
      <c r="AS39" s="24"/>
      <c r="AT39" s="24"/>
      <c r="AU39" s="24"/>
      <c r="AV39" s="24"/>
      <c r="AW39" s="24"/>
      <c r="AX39" s="24"/>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8"/>
    </row>
    <row r="40" spans="1:95" s="67" customFormat="1" ht="17.25" customHeight="1" thickBot="1" x14ac:dyDescent="0.25">
      <c r="A40" s="115" t="s">
        <v>75</v>
      </c>
      <c r="B40" s="116"/>
      <c r="C40" s="116"/>
      <c r="D40" s="116"/>
      <c r="E40" s="116"/>
      <c r="F40" s="116"/>
      <c r="G40" s="116"/>
      <c r="H40" s="116"/>
      <c r="I40" s="116"/>
      <c r="J40" s="116"/>
      <c r="K40" s="116"/>
      <c r="L40" s="116"/>
      <c r="M40" s="116"/>
      <c r="N40" s="116"/>
      <c r="O40" s="117"/>
      <c r="P40" s="179">
        <f t="shared" ref="P40:U40" si="5">P38</f>
        <v>0</v>
      </c>
      <c r="Q40" s="179">
        <f t="shared" si="5"/>
        <v>0</v>
      </c>
      <c r="R40" s="179">
        <f t="shared" si="5"/>
        <v>0</v>
      </c>
      <c r="S40" s="179">
        <f t="shared" si="5"/>
        <v>0</v>
      </c>
      <c r="T40" s="179">
        <f t="shared" si="5"/>
        <v>0</v>
      </c>
      <c r="U40" s="179">
        <f t="shared" si="5"/>
        <v>0</v>
      </c>
      <c r="V40" s="179"/>
      <c r="W40" s="179"/>
      <c r="X40" s="179">
        <f>X38</f>
        <v>0</v>
      </c>
      <c r="Y40" s="181">
        <f>Y38</f>
        <v>0</v>
      </c>
      <c r="Z40" s="24"/>
      <c r="AA40" s="75"/>
      <c r="AB40" s="75"/>
      <c r="AC40" s="75"/>
      <c r="AD40" s="75"/>
      <c r="AE40" s="75"/>
      <c r="AF40" s="24"/>
      <c r="AG40" s="24"/>
      <c r="AH40" s="24"/>
      <c r="AI40" s="24"/>
      <c r="AJ40" s="24"/>
      <c r="AK40" s="24"/>
      <c r="AL40" s="24"/>
      <c r="AM40" s="24"/>
      <c r="AN40" s="24"/>
      <c r="AO40" s="24"/>
      <c r="AP40" s="24"/>
      <c r="AQ40" s="24"/>
      <c r="AR40" s="24"/>
      <c r="AS40" s="24"/>
      <c r="AT40" s="24"/>
      <c r="AU40" s="24"/>
      <c r="AV40" s="24"/>
      <c r="AW40" s="24"/>
      <c r="AX40" s="24"/>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6"/>
    </row>
    <row r="41" spans="1:95" s="69" customFormat="1" ht="15.75" customHeight="1" x14ac:dyDescent="0.2">
      <c r="A41" s="120" t="s">
        <v>36</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2"/>
      <c r="Z41" s="24"/>
      <c r="AA41" s="75"/>
      <c r="AB41" s="75"/>
      <c r="AC41" s="75"/>
      <c r="AD41" s="75"/>
      <c r="AE41" s="75"/>
      <c r="AF41" s="24"/>
      <c r="AG41" s="24"/>
      <c r="AH41" s="24"/>
      <c r="AI41" s="24"/>
      <c r="AJ41" s="24"/>
      <c r="AK41" s="24"/>
      <c r="AL41" s="24"/>
      <c r="AM41" s="24"/>
      <c r="AN41" s="24"/>
      <c r="AO41" s="24"/>
      <c r="AP41" s="24"/>
      <c r="AQ41" s="24"/>
      <c r="AR41" s="24"/>
      <c r="AS41" s="24"/>
      <c r="AT41" s="24"/>
      <c r="AU41" s="24"/>
      <c r="AV41" s="24"/>
      <c r="AW41" s="24"/>
      <c r="AX41" s="24"/>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8"/>
    </row>
    <row r="42" spans="1:95" s="72" customFormat="1" ht="12.75" x14ac:dyDescent="0.2">
      <c r="A42" s="96">
        <v>1</v>
      </c>
      <c r="B42" s="19"/>
      <c r="C42" s="19"/>
      <c r="D42" s="19"/>
      <c r="E42" s="20"/>
      <c r="F42" s="21"/>
      <c r="G42" s="37"/>
      <c r="H42" s="229"/>
      <c r="I42" s="229"/>
      <c r="J42" s="38"/>
      <c r="K42" s="36"/>
      <c r="L42" s="36"/>
      <c r="M42" s="36"/>
      <c r="N42" s="39"/>
      <c r="O42" s="39"/>
      <c r="P42" s="185"/>
      <c r="Q42" s="185"/>
      <c r="R42" s="191"/>
      <c r="S42" s="191"/>
      <c r="T42" s="191"/>
      <c r="U42" s="192"/>
      <c r="V42" s="192"/>
      <c r="W42" s="191"/>
      <c r="X42" s="191"/>
      <c r="Y42" s="193"/>
      <c r="Z42" s="24"/>
      <c r="AA42" s="75"/>
      <c r="AB42" s="75"/>
      <c r="AC42" s="75"/>
      <c r="AD42" s="75"/>
      <c r="AE42" s="75"/>
      <c r="AF42" s="24"/>
      <c r="AG42" s="24"/>
      <c r="AH42" s="24"/>
      <c r="AI42" s="24"/>
      <c r="AJ42" s="24"/>
      <c r="AK42" s="24"/>
      <c r="AL42" s="24"/>
      <c r="AM42" s="24"/>
      <c r="AN42" s="24"/>
      <c r="AO42" s="24"/>
      <c r="AP42" s="24"/>
      <c r="AQ42" s="24"/>
      <c r="AR42" s="24"/>
      <c r="AS42" s="24"/>
      <c r="AT42" s="24"/>
      <c r="AU42" s="24"/>
      <c r="AV42" s="24"/>
      <c r="AW42" s="24"/>
      <c r="AX42" s="24"/>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8"/>
    </row>
    <row r="43" spans="1:95" s="69" customFormat="1" ht="13.5" thickBot="1" x14ac:dyDescent="0.25">
      <c r="A43" s="97"/>
      <c r="B43" s="46"/>
      <c r="C43" s="46"/>
      <c r="D43" s="46"/>
      <c r="E43" s="46"/>
      <c r="F43" s="46"/>
      <c r="G43" s="47"/>
      <c r="H43" s="230"/>
      <c r="I43" s="230"/>
      <c r="J43" s="46"/>
      <c r="K43" s="46"/>
      <c r="L43" s="46"/>
      <c r="M43" s="46"/>
      <c r="N43" s="46"/>
      <c r="O43" s="46"/>
      <c r="P43" s="194"/>
      <c r="Q43" s="194"/>
      <c r="R43" s="195"/>
      <c r="S43" s="195"/>
      <c r="T43" s="195"/>
      <c r="U43" s="195"/>
      <c r="V43" s="195"/>
      <c r="W43" s="195"/>
      <c r="X43" s="195"/>
      <c r="Y43" s="196"/>
      <c r="Z43" s="24"/>
      <c r="AA43" s="75"/>
      <c r="AB43" s="75"/>
      <c r="AC43" s="75"/>
      <c r="AD43" s="75"/>
      <c r="AE43" s="75"/>
      <c r="AF43" s="24"/>
      <c r="AG43" s="24"/>
      <c r="AH43" s="24"/>
      <c r="AI43" s="24"/>
      <c r="AJ43" s="24"/>
      <c r="AK43" s="24"/>
      <c r="AL43" s="24"/>
      <c r="AM43" s="24"/>
      <c r="AN43" s="24"/>
      <c r="AO43" s="24"/>
      <c r="AP43" s="24"/>
      <c r="AQ43" s="24"/>
      <c r="AR43" s="24"/>
      <c r="AS43" s="24"/>
      <c r="AT43" s="24"/>
      <c r="AU43" s="24"/>
      <c r="AV43" s="24"/>
      <c r="AW43" s="24"/>
      <c r="AX43" s="24"/>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8"/>
    </row>
    <row r="44" spans="1:95" s="67" customFormat="1" ht="17.25" customHeight="1" thickBot="1" x14ac:dyDescent="0.25">
      <c r="A44" s="115" t="s">
        <v>76</v>
      </c>
      <c r="B44" s="116"/>
      <c r="C44" s="116"/>
      <c r="D44" s="116"/>
      <c r="E44" s="116"/>
      <c r="F44" s="116"/>
      <c r="G44" s="116"/>
      <c r="H44" s="116"/>
      <c r="I44" s="116"/>
      <c r="J44" s="116"/>
      <c r="K44" s="116"/>
      <c r="L44" s="116"/>
      <c r="M44" s="116"/>
      <c r="N44" s="116"/>
      <c r="O44" s="117"/>
      <c r="P44" s="179">
        <f t="shared" ref="P44:U44" si="6">P42</f>
        <v>0</v>
      </c>
      <c r="Q44" s="179">
        <f t="shared" si="6"/>
        <v>0</v>
      </c>
      <c r="R44" s="179">
        <f t="shared" si="6"/>
        <v>0</v>
      </c>
      <c r="S44" s="179">
        <f t="shared" si="6"/>
        <v>0</v>
      </c>
      <c r="T44" s="179">
        <f t="shared" si="6"/>
        <v>0</v>
      </c>
      <c r="U44" s="179">
        <f t="shared" si="6"/>
        <v>0</v>
      </c>
      <c r="V44" s="179"/>
      <c r="W44" s="179"/>
      <c r="X44" s="179">
        <f>X42</f>
        <v>0</v>
      </c>
      <c r="Y44" s="181">
        <f>Y42</f>
        <v>0</v>
      </c>
      <c r="Z44" s="24"/>
      <c r="AA44" s="75"/>
      <c r="AB44" s="75"/>
      <c r="AC44" s="75"/>
      <c r="AD44" s="75"/>
      <c r="AE44" s="75"/>
      <c r="AF44" s="24"/>
      <c r="AG44" s="24"/>
      <c r="AH44" s="24"/>
      <c r="AI44" s="24"/>
      <c r="AJ44" s="24"/>
      <c r="AK44" s="24"/>
      <c r="AL44" s="24"/>
      <c r="AM44" s="24"/>
      <c r="AN44" s="24"/>
      <c r="AO44" s="24"/>
      <c r="AP44" s="24"/>
      <c r="AQ44" s="24"/>
      <c r="AR44" s="24"/>
      <c r="AS44" s="24"/>
      <c r="AT44" s="24"/>
      <c r="AU44" s="24"/>
      <c r="AV44" s="24"/>
      <c r="AW44" s="24"/>
      <c r="AX44" s="24"/>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6"/>
    </row>
    <row r="45" spans="1:95" s="69" customFormat="1" ht="15.75" customHeight="1" x14ac:dyDescent="0.2">
      <c r="A45" s="120" t="s">
        <v>37</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2"/>
      <c r="Z45" s="24"/>
      <c r="AA45" s="75"/>
      <c r="AB45" s="75"/>
      <c r="AC45" s="75"/>
      <c r="AD45" s="75"/>
      <c r="AE45" s="75"/>
      <c r="AF45" s="24"/>
      <c r="AG45" s="24"/>
      <c r="AH45" s="24"/>
      <c r="AI45" s="24"/>
      <c r="AJ45" s="24"/>
      <c r="AK45" s="24"/>
      <c r="AL45" s="24"/>
      <c r="AM45" s="24"/>
      <c r="AN45" s="24"/>
      <c r="AO45" s="24"/>
      <c r="AP45" s="24"/>
      <c r="AQ45" s="24"/>
      <c r="AR45" s="24"/>
      <c r="AS45" s="24"/>
      <c r="AT45" s="24"/>
      <c r="AU45" s="24"/>
      <c r="AV45" s="24"/>
      <c r="AW45" s="24"/>
      <c r="AX45" s="24"/>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8"/>
    </row>
    <row r="46" spans="1:95" s="70" customFormat="1" ht="38.25" x14ac:dyDescent="0.2">
      <c r="A46" s="92">
        <v>1</v>
      </c>
      <c r="B46" s="19" t="s">
        <v>145</v>
      </c>
      <c r="C46" s="19" t="s">
        <v>601</v>
      </c>
      <c r="D46" s="19" t="s">
        <v>330</v>
      </c>
      <c r="E46" s="20" t="s">
        <v>206</v>
      </c>
      <c r="F46" s="21" t="s">
        <v>207</v>
      </c>
      <c r="G46" s="23" t="s">
        <v>208</v>
      </c>
      <c r="H46" s="227">
        <v>42370</v>
      </c>
      <c r="I46" s="227">
        <v>43465</v>
      </c>
      <c r="J46" s="21" t="s">
        <v>111</v>
      </c>
      <c r="K46" s="13" t="s">
        <v>209</v>
      </c>
      <c r="L46" s="13" t="s">
        <v>210</v>
      </c>
      <c r="M46" s="13"/>
      <c r="N46" s="21">
        <f>N45</f>
        <v>0</v>
      </c>
      <c r="O46" s="21">
        <v>121</v>
      </c>
      <c r="P46" s="185">
        <v>1961277.4600000002</v>
      </c>
      <c r="Q46" s="185">
        <v>354417.0399999998</v>
      </c>
      <c r="R46" s="185">
        <v>0</v>
      </c>
      <c r="S46" s="185">
        <v>0</v>
      </c>
      <c r="T46" s="185">
        <v>0</v>
      </c>
      <c r="U46" s="185">
        <f>P46+Q46+R46+S46+T46</f>
        <v>2315694.5</v>
      </c>
      <c r="V46" s="185" t="s">
        <v>517</v>
      </c>
      <c r="W46" s="186">
        <v>1</v>
      </c>
      <c r="X46" s="185">
        <v>1961277.46</v>
      </c>
      <c r="Y46" s="187">
        <v>354417.04</v>
      </c>
      <c r="Z46" s="24"/>
      <c r="AA46" s="75"/>
      <c r="AB46" s="75"/>
      <c r="AC46" s="75"/>
      <c r="AD46" s="75"/>
      <c r="AE46" s="75"/>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row>
    <row r="47" spans="1:95" s="69" customFormat="1" ht="13.5" thickBot="1" x14ac:dyDescent="0.25">
      <c r="A47" s="95"/>
      <c r="B47" s="34"/>
      <c r="C47" s="34"/>
      <c r="D47" s="34"/>
      <c r="E47" s="34"/>
      <c r="F47" s="34"/>
      <c r="G47" s="35"/>
      <c r="H47" s="228"/>
      <c r="I47" s="228"/>
      <c r="J47" s="34"/>
      <c r="K47" s="34"/>
      <c r="L47" s="34"/>
      <c r="M47" s="34"/>
      <c r="N47" s="34"/>
      <c r="O47" s="34"/>
      <c r="P47" s="188"/>
      <c r="Q47" s="188"/>
      <c r="R47" s="189"/>
      <c r="S47" s="189"/>
      <c r="T47" s="189"/>
      <c r="U47" s="189"/>
      <c r="V47" s="189"/>
      <c r="W47" s="189"/>
      <c r="X47" s="189"/>
      <c r="Y47" s="190"/>
      <c r="Z47" s="24"/>
      <c r="AA47" s="75"/>
      <c r="AB47" s="75"/>
      <c r="AC47" s="75"/>
      <c r="AD47" s="75"/>
      <c r="AE47" s="75"/>
      <c r="AF47" s="24"/>
      <c r="AG47" s="24"/>
      <c r="AH47" s="24"/>
      <c r="AI47" s="24"/>
      <c r="AJ47" s="24"/>
      <c r="AK47" s="24"/>
      <c r="AL47" s="24"/>
      <c r="AM47" s="24"/>
      <c r="AN47" s="24"/>
      <c r="AO47" s="24"/>
      <c r="AP47" s="24"/>
      <c r="AQ47" s="24"/>
      <c r="AR47" s="24"/>
      <c r="AS47" s="24"/>
      <c r="AT47" s="24"/>
      <c r="AU47" s="24"/>
      <c r="AV47" s="24"/>
      <c r="AW47" s="24"/>
      <c r="AX47" s="24"/>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8"/>
    </row>
    <row r="48" spans="1:95" s="67" customFormat="1" ht="17.25" customHeight="1" thickBot="1" x14ac:dyDescent="0.25">
      <c r="A48" s="115" t="s">
        <v>77</v>
      </c>
      <c r="B48" s="116"/>
      <c r="C48" s="116"/>
      <c r="D48" s="116"/>
      <c r="E48" s="116"/>
      <c r="F48" s="116"/>
      <c r="G48" s="116"/>
      <c r="H48" s="226"/>
      <c r="I48" s="226"/>
      <c r="J48" s="26"/>
      <c r="K48" s="26"/>
      <c r="L48" s="26"/>
      <c r="M48" s="26"/>
      <c r="N48" s="26"/>
      <c r="O48" s="28"/>
      <c r="P48" s="179">
        <f t="shared" ref="P48:U48" si="7">P46</f>
        <v>1961277.4600000002</v>
      </c>
      <c r="Q48" s="179">
        <f t="shared" si="7"/>
        <v>354417.0399999998</v>
      </c>
      <c r="R48" s="179">
        <f t="shared" si="7"/>
        <v>0</v>
      </c>
      <c r="S48" s="179">
        <f t="shared" si="7"/>
        <v>0</v>
      </c>
      <c r="T48" s="179">
        <f t="shared" si="7"/>
        <v>0</v>
      </c>
      <c r="U48" s="179">
        <f t="shared" si="7"/>
        <v>2315694.5</v>
      </c>
      <c r="V48" s="179"/>
      <c r="W48" s="179"/>
      <c r="X48" s="179">
        <f>X46</f>
        <v>1961277.46</v>
      </c>
      <c r="Y48" s="181">
        <f>Y46</f>
        <v>354417.04</v>
      </c>
      <c r="Z48" s="24"/>
      <c r="AA48" s="75"/>
      <c r="AB48" s="75"/>
      <c r="AC48" s="75"/>
      <c r="AD48" s="75"/>
      <c r="AE48" s="75"/>
      <c r="AF48" s="24"/>
      <c r="AG48" s="24"/>
      <c r="AH48" s="24"/>
      <c r="AI48" s="24"/>
      <c r="AJ48" s="24"/>
      <c r="AK48" s="24"/>
      <c r="AL48" s="24"/>
      <c r="AM48" s="24"/>
      <c r="AN48" s="24"/>
      <c r="AO48" s="24"/>
      <c r="AP48" s="24"/>
      <c r="AQ48" s="24"/>
      <c r="AR48" s="24"/>
      <c r="AS48" s="24"/>
      <c r="AT48" s="24"/>
      <c r="AU48" s="24"/>
      <c r="AV48" s="24"/>
      <c r="AW48" s="24"/>
      <c r="AX48" s="24"/>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6"/>
    </row>
    <row r="49" spans="1:95" s="69" customFormat="1" ht="15.75" customHeight="1" x14ac:dyDescent="0.2">
      <c r="A49" s="120" t="s">
        <v>38</v>
      </c>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2"/>
      <c r="Z49" s="24"/>
      <c r="AA49" s="75"/>
      <c r="AB49" s="75"/>
      <c r="AC49" s="75"/>
      <c r="AD49" s="75"/>
      <c r="AE49" s="75"/>
      <c r="AF49" s="24"/>
      <c r="AG49" s="24"/>
      <c r="AH49" s="24"/>
      <c r="AI49" s="24"/>
      <c r="AJ49" s="24"/>
      <c r="AK49" s="24"/>
      <c r="AL49" s="24"/>
      <c r="AM49" s="24"/>
      <c r="AN49" s="24"/>
      <c r="AO49" s="24"/>
      <c r="AP49" s="24"/>
      <c r="AQ49" s="24"/>
      <c r="AR49" s="24"/>
      <c r="AS49" s="24"/>
      <c r="AT49" s="24"/>
      <c r="AU49" s="24"/>
      <c r="AV49" s="24"/>
      <c r="AW49" s="24"/>
      <c r="AX49" s="24"/>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8"/>
    </row>
    <row r="50" spans="1:95" s="70" customFormat="1" ht="51" x14ac:dyDescent="0.2">
      <c r="A50" s="92">
        <v>1</v>
      </c>
      <c r="B50" s="19" t="s">
        <v>145</v>
      </c>
      <c r="C50" s="19" t="s">
        <v>602</v>
      </c>
      <c r="D50" s="19" t="s">
        <v>331</v>
      </c>
      <c r="E50" s="20" t="s">
        <v>177</v>
      </c>
      <c r="F50" s="21" t="s">
        <v>752</v>
      </c>
      <c r="G50" s="23" t="s">
        <v>178</v>
      </c>
      <c r="H50" s="227">
        <v>42583</v>
      </c>
      <c r="I50" s="227">
        <v>42855</v>
      </c>
      <c r="J50" s="21" t="s">
        <v>111</v>
      </c>
      <c r="K50" s="13" t="s">
        <v>179</v>
      </c>
      <c r="L50" s="13" t="s">
        <v>180</v>
      </c>
      <c r="M50" s="13" t="s">
        <v>180</v>
      </c>
      <c r="N50" s="21" t="s">
        <v>112</v>
      </c>
      <c r="O50" s="21">
        <v>121</v>
      </c>
      <c r="P50" s="185">
        <v>39231.360000000001</v>
      </c>
      <c r="Q50" s="185">
        <v>0</v>
      </c>
      <c r="R50" s="185">
        <v>7089.39</v>
      </c>
      <c r="S50" s="185">
        <v>0</v>
      </c>
      <c r="T50" s="185">
        <v>0</v>
      </c>
      <c r="U50" s="185">
        <f t="shared" ref="U50:U55" si="8">P50+Q50+R50+S50+T50</f>
        <v>46320.75</v>
      </c>
      <c r="V50" s="185" t="s">
        <v>301</v>
      </c>
      <c r="W50" s="185">
        <v>0</v>
      </c>
      <c r="X50" s="185">
        <v>39231.360000000001</v>
      </c>
      <c r="Y50" s="187">
        <v>0</v>
      </c>
      <c r="Z50" s="24"/>
      <c r="AA50" s="75"/>
      <c r="AB50" s="75"/>
      <c r="AC50" s="75"/>
      <c r="AD50" s="75"/>
      <c r="AE50" s="75"/>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row>
    <row r="51" spans="1:95" s="70" customFormat="1" ht="76.5" x14ac:dyDescent="0.2">
      <c r="A51" s="92">
        <v>2</v>
      </c>
      <c r="B51" s="19" t="s">
        <v>145</v>
      </c>
      <c r="C51" s="19" t="s">
        <v>603</v>
      </c>
      <c r="D51" s="19" t="s">
        <v>332</v>
      </c>
      <c r="E51" s="20" t="s">
        <v>211</v>
      </c>
      <c r="F51" s="21" t="s">
        <v>753</v>
      </c>
      <c r="G51" s="23" t="s">
        <v>212</v>
      </c>
      <c r="H51" s="227">
        <v>42552</v>
      </c>
      <c r="I51" s="227">
        <v>44104</v>
      </c>
      <c r="J51" s="21" t="s">
        <v>111</v>
      </c>
      <c r="K51" s="13" t="s">
        <v>179</v>
      </c>
      <c r="L51" s="13" t="s">
        <v>180</v>
      </c>
      <c r="M51" s="13" t="s">
        <v>180</v>
      </c>
      <c r="N51" s="21" t="s">
        <v>112</v>
      </c>
      <c r="O51" s="21">
        <v>121</v>
      </c>
      <c r="P51" s="185">
        <f>31438087.86+452193.36-359140.71</f>
        <v>31531140.509999998</v>
      </c>
      <c r="Q51" s="185">
        <v>0</v>
      </c>
      <c r="R51" s="185">
        <f>5681090.19+81714.64-64899.35</f>
        <v>5697905.4800000004</v>
      </c>
      <c r="S51" s="185">
        <v>0</v>
      </c>
      <c r="T51" s="185">
        <v>0</v>
      </c>
      <c r="U51" s="185">
        <f t="shared" si="8"/>
        <v>37229045.989999995</v>
      </c>
      <c r="V51" s="185" t="s">
        <v>301</v>
      </c>
      <c r="W51" s="185">
        <v>5</v>
      </c>
      <c r="X51" s="185">
        <f>16556041.05+254026.85+3835162.23+10892135.13</f>
        <v>31537365.260000005</v>
      </c>
      <c r="Y51" s="187">
        <v>0</v>
      </c>
      <c r="Z51" s="24"/>
      <c r="AA51" s="75"/>
      <c r="AB51" s="75"/>
      <c r="AC51" s="75"/>
      <c r="AD51" s="75"/>
      <c r="AE51" s="75"/>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row>
    <row r="52" spans="1:95" s="70" customFormat="1" ht="144" customHeight="1" x14ac:dyDescent="0.2">
      <c r="A52" s="92">
        <v>3</v>
      </c>
      <c r="B52" s="40" t="s">
        <v>238</v>
      </c>
      <c r="C52" s="40" t="s">
        <v>604</v>
      </c>
      <c r="D52" s="19" t="s">
        <v>333</v>
      </c>
      <c r="E52" s="20" t="s">
        <v>253</v>
      </c>
      <c r="F52" s="21" t="s">
        <v>254</v>
      </c>
      <c r="G52" s="23" t="s">
        <v>255</v>
      </c>
      <c r="H52" s="227">
        <v>42401</v>
      </c>
      <c r="I52" s="227">
        <v>43100</v>
      </c>
      <c r="J52" s="21" t="s">
        <v>111</v>
      </c>
      <c r="K52" s="13" t="s">
        <v>226</v>
      </c>
      <c r="L52" s="13" t="s">
        <v>180</v>
      </c>
      <c r="M52" s="21" t="s">
        <v>256</v>
      </c>
      <c r="N52" s="21" t="s">
        <v>112</v>
      </c>
      <c r="O52" s="21">
        <v>121</v>
      </c>
      <c r="P52" s="199">
        <v>1709815.63</v>
      </c>
      <c r="Q52" s="199">
        <v>0</v>
      </c>
      <c r="R52" s="199">
        <v>308976.07</v>
      </c>
      <c r="S52" s="199">
        <v>0</v>
      </c>
      <c r="T52" s="199">
        <v>0</v>
      </c>
      <c r="U52" s="185">
        <f t="shared" si="8"/>
        <v>2018791.7</v>
      </c>
      <c r="V52" s="185" t="s">
        <v>301</v>
      </c>
      <c r="W52" s="185">
        <v>2</v>
      </c>
      <c r="X52" s="185">
        <v>1709815.63</v>
      </c>
      <c r="Y52" s="187">
        <v>0</v>
      </c>
      <c r="Z52" s="24"/>
      <c r="AA52" s="75"/>
      <c r="AB52" s="75"/>
      <c r="AC52" s="75"/>
      <c r="AD52" s="75"/>
      <c r="AE52" s="75"/>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row>
    <row r="53" spans="1:95" s="70" customFormat="1" ht="89.25" x14ac:dyDescent="0.2">
      <c r="A53" s="92">
        <v>4</v>
      </c>
      <c r="B53" s="40" t="s">
        <v>238</v>
      </c>
      <c r="C53" s="40" t="s">
        <v>605</v>
      </c>
      <c r="D53" s="19" t="s">
        <v>335</v>
      </c>
      <c r="E53" s="20" t="s">
        <v>268</v>
      </c>
      <c r="F53" s="21" t="s">
        <v>269</v>
      </c>
      <c r="G53" s="23" t="s">
        <v>270</v>
      </c>
      <c r="H53" s="227">
        <v>42675</v>
      </c>
      <c r="I53" s="227">
        <v>43100</v>
      </c>
      <c r="J53" s="21" t="s">
        <v>111</v>
      </c>
      <c r="K53" s="13" t="s">
        <v>226</v>
      </c>
      <c r="L53" s="13" t="s">
        <v>252</v>
      </c>
      <c r="M53" s="21" t="s">
        <v>256</v>
      </c>
      <c r="N53" s="21" t="s">
        <v>112</v>
      </c>
      <c r="O53" s="21">
        <v>121</v>
      </c>
      <c r="P53" s="199">
        <v>6905288.3600000003</v>
      </c>
      <c r="Q53" s="199">
        <v>0</v>
      </c>
      <c r="R53" s="199">
        <v>1247835.6399999999</v>
      </c>
      <c r="S53" s="199">
        <v>0</v>
      </c>
      <c r="T53" s="199">
        <v>0</v>
      </c>
      <c r="U53" s="185">
        <f t="shared" si="8"/>
        <v>8153124</v>
      </c>
      <c r="V53" s="185" t="s">
        <v>301</v>
      </c>
      <c r="W53" s="185">
        <v>1</v>
      </c>
      <c r="X53" s="185">
        <v>6905288.3600000003</v>
      </c>
      <c r="Y53" s="187">
        <v>0</v>
      </c>
      <c r="Z53" s="24"/>
      <c r="AA53" s="75"/>
      <c r="AB53" s="75"/>
      <c r="AC53" s="75"/>
      <c r="AD53" s="75"/>
      <c r="AE53" s="75"/>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row>
    <row r="54" spans="1:95" s="70" customFormat="1" ht="76.5" x14ac:dyDescent="0.2">
      <c r="A54" s="92">
        <v>5</v>
      </c>
      <c r="B54" s="31" t="s">
        <v>124</v>
      </c>
      <c r="C54" s="14">
        <v>117737</v>
      </c>
      <c r="D54" s="14" t="s">
        <v>336</v>
      </c>
      <c r="E54" s="20" t="s">
        <v>136</v>
      </c>
      <c r="F54" s="21" t="s">
        <v>753</v>
      </c>
      <c r="G54" s="20" t="s">
        <v>137</v>
      </c>
      <c r="H54" s="227">
        <v>42552</v>
      </c>
      <c r="I54" s="227">
        <v>44104</v>
      </c>
      <c r="J54" s="21" t="s">
        <v>111</v>
      </c>
      <c r="K54" s="13" t="s">
        <v>226</v>
      </c>
      <c r="L54" s="13" t="s">
        <v>252</v>
      </c>
      <c r="M54" s="13" t="s">
        <v>252</v>
      </c>
      <c r="N54" s="21" t="s">
        <v>112</v>
      </c>
      <c r="O54" s="21">
        <v>121</v>
      </c>
      <c r="P54" s="185">
        <f>28788904.99-6153943.05+558268.98-274994.07</f>
        <v>22918236.849999998</v>
      </c>
      <c r="Q54" s="185">
        <v>0</v>
      </c>
      <c r="R54" s="185">
        <f>4090301.6+100883.24-49693.42</f>
        <v>4141491.4200000004</v>
      </c>
      <c r="S54" s="185">
        <v>0</v>
      </c>
      <c r="T54" s="185">
        <v>0</v>
      </c>
      <c r="U54" s="185">
        <f t="shared" si="8"/>
        <v>27059728.27</v>
      </c>
      <c r="V54" s="185" t="s">
        <v>301</v>
      </c>
      <c r="W54" s="185">
        <v>5</v>
      </c>
      <c r="X54" s="185">
        <f>12895822.24+1777835.3+8173637.84+75039.35</f>
        <v>22922334.730000004</v>
      </c>
      <c r="Y54" s="187">
        <v>0</v>
      </c>
      <c r="Z54" s="24"/>
      <c r="AA54" s="75"/>
      <c r="AB54" s="75"/>
      <c r="AC54" s="75"/>
      <c r="AD54" s="75"/>
      <c r="AE54" s="75"/>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row>
    <row r="55" spans="1:95" s="70" customFormat="1" ht="51.75" thickBot="1" x14ac:dyDescent="0.25">
      <c r="A55" s="94">
        <v>6</v>
      </c>
      <c r="B55" s="44" t="s">
        <v>166</v>
      </c>
      <c r="C55" s="51">
        <v>119488</v>
      </c>
      <c r="D55" s="51" t="s">
        <v>338</v>
      </c>
      <c r="E55" s="30" t="s">
        <v>290</v>
      </c>
      <c r="F55" s="22" t="s">
        <v>288</v>
      </c>
      <c r="G55" s="45" t="s">
        <v>291</v>
      </c>
      <c r="H55" s="225">
        <v>43222</v>
      </c>
      <c r="I55" s="225">
        <v>44377</v>
      </c>
      <c r="J55" s="22" t="s">
        <v>111</v>
      </c>
      <c r="K55" s="16" t="s">
        <v>256</v>
      </c>
      <c r="L55" s="16" t="s">
        <v>252</v>
      </c>
      <c r="M55" s="16" t="s">
        <v>252</v>
      </c>
      <c r="N55" s="22" t="s">
        <v>112</v>
      </c>
      <c r="O55" s="22">
        <v>121</v>
      </c>
      <c r="P55" s="177">
        <v>6547797.4199999999</v>
      </c>
      <c r="Q55" s="177">
        <v>0</v>
      </c>
      <c r="R55" s="177">
        <v>1183234.3799999999</v>
      </c>
      <c r="S55" s="177">
        <v>0</v>
      </c>
      <c r="T55" s="177">
        <v>105292.88</v>
      </c>
      <c r="U55" s="177">
        <f t="shared" si="8"/>
        <v>7836324.6799999997</v>
      </c>
      <c r="V55" s="177" t="s">
        <v>113</v>
      </c>
      <c r="W55" s="177">
        <v>4</v>
      </c>
      <c r="X55" s="177">
        <f>1755665.5+40587.16+275346.16+41081.51+438633.06+50172.53+33153.86+356815.96+29715.24+16485.54+10577.97+123781.29+53912.01+83363.99</f>
        <v>3309291.78</v>
      </c>
      <c r="Y55" s="183">
        <v>0</v>
      </c>
      <c r="Z55" s="24"/>
      <c r="AA55" s="75"/>
      <c r="AB55" s="75"/>
      <c r="AC55" s="75"/>
      <c r="AD55" s="75"/>
      <c r="AE55" s="75"/>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row>
    <row r="56" spans="1:95" s="73" customFormat="1" ht="17.25" customHeight="1" thickBot="1" x14ac:dyDescent="0.25">
      <c r="A56" s="115" t="s">
        <v>78</v>
      </c>
      <c r="B56" s="116"/>
      <c r="C56" s="116"/>
      <c r="D56" s="116"/>
      <c r="E56" s="116"/>
      <c r="F56" s="116"/>
      <c r="G56" s="117"/>
      <c r="H56" s="231"/>
      <c r="I56" s="231"/>
      <c r="J56" s="89"/>
      <c r="K56" s="89"/>
      <c r="L56" s="89"/>
      <c r="M56" s="89"/>
      <c r="N56" s="89"/>
      <c r="O56" s="89"/>
      <c r="P56" s="179">
        <f>SUM(P50:P55)</f>
        <v>69651510.129999995</v>
      </c>
      <c r="Q56" s="179">
        <f t="shared" ref="Q56:Y56" si="9">SUM(Q50:Q55)</f>
        <v>0</v>
      </c>
      <c r="R56" s="179">
        <f t="shared" si="9"/>
        <v>12586532.379999999</v>
      </c>
      <c r="S56" s="179">
        <f t="shared" si="9"/>
        <v>0</v>
      </c>
      <c r="T56" s="179">
        <f t="shared" si="9"/>
        <v>105292.88</v>
      </c>
      <c r="U56" s="179">
        <f t="shared" si="9"/>
        <v>82343335.389999986</v>
      </c>
      <c r="V56" s="179"/>
      <c r="W56" s="179"/>
      <c r="X56" s="179">
        <f t="shared" si="9"/>
        <v>66423327.120000012</v>
      </c>
      <c r="Y56" s="181">
        <f t="shared" si="9"/>
        <v>0</v>
      </c>
      <c r="Z56" s="24"/>
      <c r="AA56" s="75"/>
      <c r="AB56" s="75"/>
      <c r="AC56" s="75"/>
      <c r="AD56" s="75"/>
      <c r="AE56" s="75"/>
      <c r="AF56" s="24"/>
      <c r="AG56" s="24"/>
      <c r="AH56" s="24"/>
      <c r="AI56" s="24"/>
      <c r="AJ56" s="24"/>
      <c r="AK56" s="24"/>
      <c r="AL56" s="24"/>
      <c r="AM56" s="24"/>
      <c r="AN56" s="24"/>
      <c r="AO56" s="24"/>
      <c r="AP56" s="24"/>
      <c r="AQ56" s="24"/>
      <c r="AR56" s="24"/>
      <c r="AS56" s="24"/>
      <c r="AT56" s="24"/>
      <c r="AU56" s="24"/>
      <c r="AV56" s="24"/>
      <c r="AW56" s="24"/>
      <c r="AX56" s="24"/>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6"/>
    </row>
    <row r="57" spans="1:95" s="72" customFormat="1" ht="15.75" customHeight="1" x14ac:dyDescent="0.2">
      <c r="A57" s="120" t="s">
        <v>39</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2"/>
      <c r="Z57" s="24"/>
      <c r="AA57" s="75"/>
      <c r="AB57" s="75"/>
      <c r="AC57" s="75"/>
      <c r="AD57" s="75"/>
      <c r="AE57" s="75"/>
      <c r="AF57" s="24"/>
      <c r="AG57" s="24"/>
      <c r="AH57" s="24"/>
      <c r="AI57" s="24"/>
      <c r="AJ57" s="24"/>
      <c r="AK57" s="24"/>
      <c r="AL57" s="24"/>
      <c r="AM57" s="24"/>
      <c r="AN57" s="24"/>
      <c r="AO57" s="24"/>
      <c r="AP57" s="24"/>
      <c r="AQ57" s="24"/>
      <c r="AR57" s="24"/>
      <c r="AS57" s="24"/>
      <c r="AT57" s="24"/>
      <c r="AU57" s="24"/>
      <c r="AV57" s="24"/>
      <c r="AW57" s="24"/>
      <c r="AX57" s="24"/>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8"/>
    </row>
    <row r="58" spans="1:95" s="72" customFormat="1" ht="12.75" x14ac:dyDescent="0.2">
      <c r="A58" s="96">
        <v>1</v>
      </c>
      <c r="B58" s="17"/>
      <c r="C58" s="17"/>
      <c r="D58" s="17"/>
      <c r="E58" s="17"/>
      <c r="F58" s="17"/>
      <c r="G58" s="41"/>
      <c r="H58" s="232"/>
      <c r="I58" s="232"/>
      <c r="J58" s="36"/>
      <c r="K58" s="36"/>
      <c r="L58" s="36"/>
      <c r="M58" s="36"/>
      <c r="N58" s="36"/>
      <c r="O58" s="36"/>
      <c r="P58" s="200"/>
      <c r="Q58" s="200"/>
      <c r="R58" s="192"/>
      <c r="S58" s="192"/>
      <c r="T58" s="192"/>
      <c r="U58" s="192"/>
      <c r="V58" s="192"/>
      <c r="W58" s="192"/>
      <c r="X58" s="192"/>
      <c r="Y58" s="201"/>
      <c r="Z58" s="24"/>
      <c r="AA58" s="75"/>
      <c r="AB58" s="75"/>
      <c r="AC58" s="75"/>
      <c r="AD58" s="75"/>
      <c r="AE58" s="75"/>
      <c r="AF58" s="24"/>
      <c r="AG58" s="24"/>
      <c r="AH58" s="24"/>
      <c r="AI58" s="24"/>
      <c r="AJ58" s="24"/>
      <c r="AK58" s="24"/>
      <c r="AL58" s="24"/>
      <c r="AM58" s="24"/>
      <c r="AN58" s="24"/>
      <c r="AO58" s="24"/>
      <c r="AP58" s="24"/>
      <c r="AQ58" s="24"/>
      <c r="AR58" s="24"/>
      <c r="AS58" s="24"/>
      <c r="AT58" s="24"/>
      <c r="AU58" s="24"/>
      <c r="AV58" s="24"/>
      <c r="AW58" s="24"/>
      <c r="AX58" s="24"/>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8"/>
    </row>
    <row r="59" spans="1:95" s="72" customFormat="1" ht="13.5" thickBot="1" x14ac:dyDescent="0.25">
      <c r="A59" s="99">
        <v>2</v>
      </c>
      <c r="B59" s="18"/>
      <c r="C59" s="18"/>
      <c r="D59" s="18"/>
      <c r="E59" s="18"/>
      <c r="F59" s="18"/>
      <c r="G59" s="43"/>
      <c r="H59" s="233"/>
      <c r="I59" s="233"/>
      <c r="J59" s="42"/>
      <c r="K59" s="42"/>
      <c r="L59" s="42"/>
      <c r="M59" s="42"/>
      <c r="N59" s="42"/>
      <c r="O59" s="42"/>
      <c r="P59" s="182"/>
      <c r="Q59" s="182"/>
      <c r="R59" s="197"/>
      <c r="S59" s="197"/>
      <c r="T59" s="197"/>
      <c r="U59" s="197"/>
      <c r="V59" s="197"/>
      <c r="W59" s="197"/>
      <c r="X59" s="197"/>
      <c r="Y59" s="198"/>
      <c r="Z59" s="24"/>
      <c r="AA59" s="75"/>
      <c r="AB59" s="75"/>
      <c r="AC59" s="75"/>
      <c r="AD59" s="75"/>
      <c r="AE59" s="75"/>
      <c r="AF59" s="24"/>
      <c r="AG59" s="24"/>
      <c r="AH59" s="24"/>
      <c r="AI59" s="24"/>
      <c r="AJ59" s="24"/>
      <c r="AK59" s="24"/>
      <c r="AL59" s="24"/>
      <c r="AM59" s="24"/>
      <c r="AN59" s="24"/>
      <c r="AO59" s="24"/>
      <c r="AP59" s="24"/>
      <c r="AQ59" s="24"/>
      <c r="AR59" s="24"/>
      <c r="AS59" s="24"/>
      <c r="AT59" s="24"/>
      <c r="AU59" s="24"/>
      <c r="AV59" s="24"/>
      <c r="AW59" s="24"/>
      <c r="AX59" s="24"/>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8"/>
    </row>
    <row r="60" spans="1:95" s="73" customFormat="1" ht="17.25" customHeight="1" thickBot="1" x14ac:dyDescent="0.25">
      <c r="A60" s="118" t="s">
        <v>79</v>
      </c>
      <c r="B60" s="119"/>
      <c r="C60" s="119"/>
      <c r="D60" s="119"/>
      <c r="E60" s="119"/>
      <c r="F60" s="119"/>
      <c r="G60" s="119"/>
      <c r="H60" s="119"/>
      <c r="I60" s="119"/>
      <c r="J60" s="119"/>
      <c r="K60" s="119"/>
      <c r="L60" s="119"/>
      <c r="M60" s="119"/>
      <c r="N60" s="119"/>
      <c r="O60" s="119"/>
      <c r="P60" s="179">
        <v>0</v>
      </c>
      <c r="Q60" s="179">
        <v>0</v>
      </c>
      <c r="R60" s="179">
        <v>0</v>
      </c>
      <c r="S60" s="179">
        <v>0</v>
      </c>
      <c r="T60" s="179">
        <v>0</v>
      </c>
      <c r="U60" s="179">
        <v>0</v>
      </c>
      <c r="V60" s="179"/>
      <c r="W60" s="179"/>
      <c r="X60" s="179">
        <v>0</v>
      </c>
      <c r="Y60" s="181">
        <v>0</v>
      </c>
      <c r="Z60" s="24"/>
      <c r="AA60" s="75"/>
      <c r="AB60" s="75"/>
      <c r="AC60" s="75"/>
      <c r="AD60" s="75"/>
      <c r="AE60" s="75"/>
      <c r="AF60" s="24"/>
      <c r="AG60" s="24"/>
      <c r="AH60" s="24"/>
      <c r="AI60" s="24"/>
      <c r="AJ60" s="24"/>
      <c r="AK60" s="24"/>
      <c r="AL60" s="24"/>
      <c r="AM60" s="24"/>
      <c r="AN60" s="24"/>
      <c r="AO60" s="24"/>
      <c r="AP60" s="24"/>
      <c r="AQ60" s="24"/>
      <c r="AR60" s="24"/>
      <c r="AS60" s="24"/>
      <c r="AT60" s="24"/>
      <c r="AU60" s="24"/>
      <c r="AV60" s="24"/>
      <c r="AW60" s="24"/>
      <c r="AX60" s="24"/>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6"/>
    </row>
    <row r="61" spans="1:95" s="72" customFormat="1" ht="15.75" customHeight="1" x14ac:dyDescent="0.2">
      <c r="A61" s="128" t="s">
        <v>40</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30"/>
      <c r="Z61" s="24"/>
      <c r="AA61" s="75"/>
      <c r="AB61" s="75"/>
      <c r="AC61" s="75"/>
      <c r="AD61" s="75"/>
      <c r="AE61" s="75"/>
      <c r="AF61" s="24"/>
      <c r="AG61" s="24"/>
      <c r="AH61" s="24"/>
      <c r="AI61" s="24"/>
      <c r="AJ61" s="24"/>
      <c r="AK61" s="24"/>
      <c r="AL61" s="24"/>
      <c r="AM61" s="24"/>
      <c r="AN61" s="24"/>
      <c r="AO61" s="24"/>
      <c r="AP61" s="24"/>
      <c r="AQ61" s="24"/>
      <c r="AR61" s="24"/>
      <c r="AS61" s="24"/>
      <c r="AT61" s="24"/>
      <c r="AU61" s="24"/>
      <c r="AV61" s="24"/>
      <c r="AW61" s="24"/>
      <c r="AX61" s="24"/>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8"/>
    </row>
    <row r="62" spans="1:95" s="72" customFormat="1" ht="13.5" thickBot="1" x14ac:dyDescent="0.25">
      <c r="A62" s="99">
        <v>1</v>
      </c>
      <c r="B62" s="42"/>
      <c r="C62" s="42"/>
      <c r="D62" s="42"/>
      <c r="E62" s="42"/>
      <c r="F62" s="42"/>
      <c r="G62" s="43"/>
      <c r="H62" s="233"/>
      <c r="I62" s="233"/>
      <c r="J62" s="42"/>
      <c r="K62" s="42"/>
      <c r="L62" s="42"/>
      <c r="M62" s="42"/>
      <c r="N62" s="42"/>
      <c r="O62" s="42"/>
      <c r="P62" s="182"/>
      <c r="Q62" s="182"/>
      <c r="R62" s="197"/>
      <c r="S62" s="197"/>
      <c r="T62" s="197"/>
      <c r="U62" s="197"/>
      <c r="V62" s="197"/>
      <c r="W62" s="197"/>
      <c r="X62" s="197"/>
      <c r="Y62" s="198"/>
      <c r="Z62" s="24"/>
      <c r="AA62" s="75"/>
      <c r="AB62" s="75"/>
      <c r="AC62" s="75"/>
      <c r="AD62" s="75"/>
      <c r="AE62" s="75"/>
      <c r="AF62" s="24"/>
      <c r="AG62" s="24"/>
      <c r="AH62" s="24"/>
      <c r="AI62" s="24"/>
      <c r="AJ62" s="24"/>
      <c r="AK62" s="24"/>
      <c r="AL62" s="24"/>
      <c r="AM62" s="24"/>
      <c r="AN62" s="24"/>
      <c r="AO62" s="24"/>
      <c r="AP62" s="24"/>
      <c r="AQ62" s="24"/>
      <c r="AR62" s="24"/>
      <c r="AS62" s="24"/>
      <c r="AT62" s="24"/>
      <c r="AU62" s="24"/>
      <c r="AV62" s="24"/>
      <c r="AW62" s="24"/>
      <c r="AX62" s="24"/>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8"/>
    </row>
    <row r="63" spans="1:95" s="73" customFormat="1" ht="17.25" customHeight="1" thickBot="1" x14ac:dyDescent="0.25">
      <c r="A63" s="118" t="s">
        <v>80</v>
      </c>
      <c r="B63" s="119"/>
      <c r="C63" s="119"/>
      <c r="D63" s="119"/>
      <c r="E63" s="119"/>
      <c r="F63" s="119"/>
      <c r="G63" s="119"/>
      <c r="H63" s="119"/>
      <c r="I63" s="119"/>
      <c r="J63" s="119"/>
      <c r="K63" s="119"/>
      <c r="L63" s="119"/>
      <c r="M63" s="119"/>
      <c r="N63" s="119"/>
      <c r="O63" s="119"/>
      <c r="P63" s="179">
        <v>0</v>
      </c>
      <c r="Q63" s="179">
        <v>0</v>
      </c>
      <c r="R63" s="179">
        <v>0</v>
      </c>
      <c r="S63" s="179">
        <v>0</v>
      </c>
      <c r="T63" s="179">
        <v>0</v>
      </c>
      <c r="U63" s="179">
        <v>0</v>
      </c>
      <c r="V63" s="179"/>
      <c r="W63" s="179"/>
      <c r="X63" s="179">
        <v>0</v>
      </c>
      <c r="Y63" s="181">
        <v>0</v>
      </c>
      <c r="Z63" s="24"/>
      <c r="AA63" s="75"/>
      <c r="AB63" s="75"/>
      <c r="AC63" s="75"/>
      <c r="AD63" s="75"/>
      <c r="AE63" s="75"/>
      <c r="AF63" s="24"/>
      <c r="AG63" s="24"/>
      <c r="AH63" s="24"/>
      <c r="AI63" s="24"/>
      <c r="AJ63" s="24"/>
      <c r="AK63" s="24"/>
      <c r="AL63" s="24"/>
      <c r="AM63" s="24"/>
      <c r="AN63" s="24"/>
      <c r="AO63" s="24"/>
      <c r="AP63" s="24"/>
      <c r="AQ63" s="24"/>
      <c r="AR63" s="24"/>
      <c r="AS63" s="24"/>
      <c r="AT63" s="24"/>
      <c r="AU63" s="24"/>
      <c r="AV63" s="24"/>
      <c r="AW63" s="24"/>
      <c r="AX63" s="24"/>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6"/>
    </row>
    <row r="64" spans="1:95" s="72" customFormat="1" ht="15.75" customHeight="1" x14ac:dyDescent="0.2">
      <c r="A64" s="128" t="s">
        <v>41</v>
      </c>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30"/>
      <c r="Z64" s="24"/>
      <c r="AA64" s="75"/>
      <c r="AB64" s="75"/>
      <c r="AC64" s="75"/>
      <c r="AD64" s="75"/>
      <c r="AE64" s="75"/>
      <c r="AF64" s="24"/>
      <c r="AG64" s="24"/>
      <c r="AH64" s="24"/>
      <c r="AI64" s="24"/>
      <c r="AJ64" s="24"/>
      <c r="AK64" s="24"/>
      <c r="AL64" s="24"/>
      <c r="AM64" s="24"/>
      <c r="AN64" s="24"/>
      <c r="AO64" s="24"/>
      <c r="AP64" s="24"/>
      <c r="AQ64" s="24"/>
      <c r="AR64" s="24"/>
      <c r="AS64" s="24"/>
      <c r="AT64" s="24"/>
      <c r="AU64" s="24"/>
      <c r="AV64" s="24"/>
      <c r="AW64" s="24"/>
      <c r="AX64" s="24"/>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8"/>
    </row>
    <row r="65" spans="1:95" s="70" customFormat="1" ht="27.75" customHeight="1" thickBot="1" x14ac:dyDescent="0.25">
      <c r="A65" s="94">
        <v>1</v>
      </c>
      <c r="B65" s="44"/>
      <c r="C65" s="44"/>
      <c r="D65" s="44"/>
      <c r="E65" s="30"/>
      <c r="F65" s="22"/>
      <c r="G65" s="45"/>
      <c r="H65" s="225"/>
      <c r="I65" s="225"/>
      <c r="J65" s="22"/>
      <c r="K65" s="18"/>
      <c r="L65" s="18"/>
      <c r="M65" s="16"/>
      <c r="N65" s="22"/>
      <c r="O65" s="22"/>
      <c r="P65" s="177"/>
      <c r="Q65" s="177"/>
      <c r="R65" s="177"/>
      <c r="S65" s="184"/>
      <c r="T65" s="177"/>
      <c r="U65" s="182"/>
      <c r="V65" s="182"/>
      <c r="W65" s="177"/>
      <c r="X65" s="177"/>
      <c r="Y65" s="183"/>
      <c r="Z65" s="24"/>
      <c r="AA65" s="75"/>
      <c r="AB65" s="75"/>
      <c r="AC65" s="75"/>
      <c r="AD65" s="75"/>
      <c r="AE65" s="75"/>
      <c r="AF65" s="24"/>
      <c r="AG65" s="24"/>
      <c r="AH65" s="24"/>
      <c r="AI65" s="24"/>
      <c r="AJ65" s="24"/>
      <c r="AK65" s="24"/>
      <c r="AL65" s="24"/>
      <c r="AM65" s="24"/>
      <c r="AN65" s="24"/>
      <c r="AO65" s="24"/>
      <c r="AP65" s="24"/>
      <c r="AQ65" s="24"/>
      <c r="AR65" s="24"/>
      <c r="AS65" s="24"/>
      <c r="AT65" s="24"/>
      <c r="AU65" s="24"/>
      <c r="AV65" s="24"/>
      <c r="AW65" s="24"/>
      <c r="AX65" s="24"/>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24"/>
    </row>
    <row r="66" spans="1:95" s="67" customFormat="1" ht="17.25" customHeight="1" thickBot="1" x14ac:dyDescent="0.25">
      <c r="A66" s="118" t="s">
        <v>81</v>
      </c>
      <c r="B66" s="119"/>
      <c r="C66" s="119"/>
      <c r="D66" s="119"/>
      <c r="E66" s="119"/>
      <c r="F66" s="119"/>
      <c r="G66" s="119"/>
      <c r="H66" s="119"/>
      <c r="I66" s="119"/>
      <c r="J66" s="119"/>
      <c r="K66" s="119"/>
      <c r="L66" s="119"/>
      <c r="M66" s="119"/>
      <c r="N66" s="119"/>
      <c r="O66" s="119"/>
      <c r="P66" s="179">
        <v>0</v>
      </c>
      <c r="Q66" s="179">
        <v>0</v>
      </c>
      <c r="R66" s="179">
        <v>0</v>
      </c>
      <c r="S66" s="179">
        <v>0</v>
      </c>
      <c r="T66" s="179">
        <v>0</v>
      </c>
      <c r="U66" s="179">
        <v>0</v>
      </c>
      <c r="V66" s="179"/>
      <c r="W66" s="179"/>
      <c r="X66" s="179">
        <v>0</v>
      </c>
      <c r="Y66" s="181">
        <v>0</v>
      </c>
      <c r="Z66" s="24"/>
      <c r="AA66" s="75"/>
      <c r="AB66" s="75"/>
      <c r="AC66" s="75"/>
      <c r="AD66" s="75"/>
      <c r="AE66" s="75"/>
      <c r="AF66" s="24"/>
      <c r="AG66" s="24"/>
      <c r="AH66" s="24"/>
      <c r="AI66" s="24"/>
      <c r="AJ66" s="24"/>
      <c r="AK66" s="24"/>
      <c r="AL66" s="24"/>
      <c r="AM66" s="24"/>
      <c r="AN66" s="24"/>
      <c r="AO66" s="24"/>
      <c r="AP66" s="24"/>
      <c r="AQ66" s="24"/>
      <c r="AR66" s="24"/>
      <c r="AS66" s="24"/>
      <c r="AT66" s="24"/>
      <c r="AU66" s="24"/>
      <c r="AV66" s="24"/>
      <c r="AW66" s="24"/>
      <c r="AX66" s="24"/>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6"/>
    </row>
    <row r="67" spans="1:95" s="69" customFormat="1" ht="15.75" customHeight="1" x14ac:dyDescent="0.2">
      <c r="A67" s="128" t="s">
        <v>42</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30"/>
      <c r="Z67" s="24"/>
      <c r="AA67" s="75"/>
      <c r="AB67" s="75"/>
      <c r="AC67" s="75"/>
      <c r="AD67" s="75"/>
      <c r="AE67" s="75"/>
      <c r="AF67" s="24"/>
      <c r="AG67" s="24"/>
      <c r="AH67" s="24"/>
      <c r="AI67" s="24"/>
      <c r="AJ67" s="24"/>
      <c r="AK67" s="24"/>
      <c r="AL67" s="24"/>
      <c r="AM67" s="24"/>
      <c r="AN67" s="24"/>
      <c r="AO67" s="24"/>
      <c r="AP67" s="24"/>
      <c r="AQ67" s="24"/>
      <c r="AR67" s="24"/>
      <c r="AS67" s="24"/>
      <c r="AT67" s="24"/>
      <c r="AU67" s="24"/>
      <c r="AV67" s="24"/>
      <c r="AW67" s="24"/>
      <c r="AX67" s="24"/>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8"/>
    </row>
    <row r="68" spans="1:95" s="72" customFormat="1" ht="12.75" x14ac:dyDescent="0.2">
      <c r="A68" s="100">
        <v>2</v>
      </c>
      <c r="B68" s="19"/>
      <c r="C68" s="19"/>
      <c r="D68" s="19"/>
      <c r="E68" s="20"/>
      <c r="F68" s="21"/>
      <c r="G68" s="37"/>
      <c r="H68" s="229"/>
      <c r="I68" s="229"/>
      <c r="J68" s="38"/>
      <c r="K68" s="36"/>
      <c r="L68" s="36"/>
      <c r="M68" s="36"/>
      <c r="N68" s="39"/>
      <c r="O68" s="39"/>
      <c r="P68" s="185"/>
      <c r="Q68" s="185"/>
      <c r="R68" s="191"/>
      <c r="S68" s="191"/>
      <c r="T68" s="191"/>
      <c r="U68" s="192"/>
      <c r="V68" s="192"/>
      <c r="W68" s="191"/>
      <c r="X68" s="191"/>
      <c r="Y68" s="193"/>
      <c r="Z68" s="24"/>
      <c r="AA68" s="75"/>
      <c r="AB68" s="75"/>
      <c r="AC68" s="75"/>
      <c r="AD68" s="75"/>
      <c r="AE68" s="75"/>
      <c r="AF68" s="24"/>
      <c r="AG68" s="24"/>
      <c r="AH68" s="24"/>
      <c r="AI68" s="24"/>
      <c r="AJ68" s="24"/>
      <c r="AK68" s="24"/>
      <c r="AL68" s="24"/>
      <c r="AM68" s="24"/>
      <c r="AN68" s="24"/>
      <c r="AO68" s="24"/>
      <c r="AP68" s="24"/>
      <c r="AQ68" s="24"/>
      <c r="AR68" s="24"/>
      <c r="AS68" s="24"/>
      <c r="AT68" s="24"/>
      <c r="AU68" s="24"/>
      <c r="AV68" s="24"/>
      <c r="AW68" s="24"/>
      <c r="AX68" s="24"/>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8"/>
    </row>
    <row r="69" spans="1:95" s="69" customFormat="1" ht="13.5" thickBot="1" x14ac:dyDescent="0.25">
      <c r="A69" s="97">
        <v>3</v>
      </c>
      <c r="B69" s="46"/>
      <c r="C69" s="46"/>
      <c r="D69" s="46"/>
      <c r="E69" s="46"/>
      <c r="F69" s="46"/>
      <c r="G69" s="47"/>
      <c r="H69" s="230"/>
      <c r="I69" s="230"/>
      <c r="J69" s="46"/>
      <c r="K69" s="46"/>
      <c r="L69" s="46"/>
      <c r="M69" s="46"/>
      <c r="N69" s="46"/>
      <c r="O69" s="46"/>
      <c r="P69" s="194"/>
      <c r="Q69" s="194"/>
      <c r="R69" s="195"/>
      <c r="S69" s="195"/>
      <c r="T69" s="195"/>
      <c r="U69" s="195"/>
      <c r="V69" s="195"/>
      <c r="W69" s="195"/>
      <c r="X69" s="195"/>
      <c r="Y69" s="196"/>
      <c r="Z69" s="24"/>
      <c r="AA69" s="75"/>
      <c r="AB69" s="75"/>
      <c r="AC69" s="75"/>
      <c r="AD69" s="75"/>
      <c r="AE69" s="75"/>
      <c r="AF69" s="24"/>
      <c r="AG69" s="24"/>
      <c r="AH69" s="24"/>
      <c r="AI69" s="24"/>
      <c r="AJ69" s="24"/>
      <c r="AK69" s="24"/>
      <c r="AL69" s="24"/>
      <c r="AM69" s="24"/>
      <c r="AN69" s="24"/>
      <c r="AO69" s="24"/>
      <c r="AP69" s="24"/>
      <c r="AQ69" s="24"/>
      <c r="AR69" s="24"/>
      <c r="AS69" s="24"/>
      <c r="AT69" s="24"/>
      <c r="AU69" s="24"/>
      <c r="AV69" s="24"/>
      <c r="AW69" s="24"/>
      <c r="AX69" s="24"/>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8"/>
    </row>
    <row r="70" spans="1:95" s="67" customFormat="1" ht="17.25" customHeight="1" thickBot="1" x14ac:dyDescent="0.25">
      <c r="A70" s="118" t="s">
        <v>82</v>
      </c>
      <c r="B70" s="119"/>
      <c r="C70" s="119"/>
      <c r="D70" s="119"/>
      <c r="E70" s="119"/>
      <c r="F70" s="119"/>
      <c r="G70" s="119"/>
      <c r="H70" s="119"/>
      <c r="I70" s="119"/>
      <c r="J70" s="119"/>
      <c r="K70" s="119"/>
      <c r="L70" s="119"/>
      <c r="M70" s="119"/>
      <c r="N70" s="119"/>
      <c r="O70" s="119"/>
      <c r="P70" s="179">
        <v>0</v>
      </c>
      <c r="Q70" s="179">
        <v>0</v>
      </c>
      <c r="R70" s="179">
        <v>0</v>
      </c>
      <c r="S70" s="179">
        <v>0</v>
      </c>
      <c r="T70" s="179">
        <v>0</v>
      </c>
      <c r="U70" s="179">
        <v>0</v>
      </c>
      <c r="V70" s="179"/>
      <c r="W70" s="179"/>
      <c r="X70" s="179">
        <v>0</v>
      </c>
      <c r="Y70" s="181">
        <v>0</v>
      </c>
      <c r="Z70" s="24"/>
      <c r="AA70" s="75"/>
      <c r="AB70" s="75"/>
      <c r="AC70" s="75"/>
      <c r="AD70" s="75"/>
      <c r="AE70" s="75"/>
      <c r="AF70" s="24"/>
      <c r="AG70" s="24"/>
      <c r="AH70" s="24"/>
      <c r="AI70" s="24"/>
      <c r="AJ70" s="24"/>
      <c r="AK70" s="24"/>
      <c r="AL70" s="24"/>
      <c r="AM70" s="24"/>
      <c r="AN70" s="24"/>
      <c r="AO70" s="24"/>
      <c r="AP70" s="24"/>
      <c r="AQ70" s="24"/>
      <c r="AR70" s="24"/>
      <c r="AS70" s="24"/>
      <c r="AT70" s="24"/>
      <c r="AU70" s="24"/>
      <c r="AV70" s="24"/>
      <c r="AW70" s="24"/>
      <c r="AX70" s="24"/>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6"/>
    </row>
    <row r="71" spans="1:95" s="69" customFormat="1" ht="15.75" customHeight="1" x14ac:dyDescent="0.2">
      <c r="A71" s="128" t="s">
        <v>43</v>
      </c>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30"/>
      <c r="Z71" s="24"/>
      <c r="AA71" s="75"/>
      <c r="AB71" s="75"/>
      <c r="AC71" s="75"/>
      <c r="AD71" s="75"/>
      <c r="AE71" s="75"/>
      <c r="AF71" s="24"/>
      <c r="AG71" s="24"/>
      <c r="AH71" s="24"/>
      <c r="AI71" s="24"/>
      <c r="AJ71" s="24"/>
      <c r="AK71" s="24"/>
      <c r="AL71" s="24"/>
      <c r="AM71" s="24"/>
      <c r="AN71" s="24"/>
      <c r="AO71" s="24"/>
      <c r="AP71" s="24"/>
      <c r="AQ71" s="24"/>
      <c r="AR71" s="24"/>
      <c r="AS71" s="24"/>
      <c r="AT71" s="24"/>
      <c r="AU71" s="24"/>
      <c r="AV71" s="24"/>
      <c r="AW71" s="24"/>
      <c r="AX71" s="24"/>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8"/>
    </row>
    <row r="72" spans="1:95" s="69" customFormat="1" ht="13.5" thickBot="1" x14ac:dyDescent="0.25">
      <c r="A72" s="101">
        <v>1</v>
      </c>
      <c r="B72" s="46"/>
      <c r="C72" s="46"/>
      <c r="D72" s="46"/>
      <c r="E72" s="46"/>
      <c r="F72" s="46"/>
      <c r="G72" s="47"/>
      <c r="H72" s="230"/>
      <c r="I72" s="230"/>
      <c r="J72" s="46"/>
      <c r="K72" s="46"/>
      <c r="L72" s="46"/>
      <c r="M72" s="46"/>
      <c r="N72" s="46"/>
      <c r="O72" s="46"/>
      <c r="P72" s="194"/>
      <c r="Q72" s="194"/>
      <c r="R72" s="195"/>
      <c r="S72" s="195"/>
      <c r="T72" s="195"/>
      <c r="U72" s="195"/>
      <c r="V72" s="195"/>
      <c r="W72" s="195"/>
      <c r="X72" s="195"/>
      <c r="Y72" s="196"/>
      <c r="Z72" s="24"/>
      <c r="AA72" s="75"/>
      <c r="AB72" s="75"/>
      <c r="AC72" s="75"/>
      <c r="AD72" s="75"/>
      <c r="AE72" s="75"/>
      <c r="AF72" s="24"/>
      <c r="AG72" s="24"/>
      <c r="AH72" s="24"/>
      <c r="AI72" s="24"/>
      <c r="AJ72" s="24"/>
      <c r="AK72" s="24"/>
      <c r="AL72" s="24"/>
      <c r="AM72" s="24"/>
      <c r="AN72" s="24"/>
      <c r="AO72" s="24"/>
      <c r="AP72" s="24"/>
      <c r="AQ72" s="24"/>
      <c r="AR72" s="24"/>
      <c r="AS72" s="24"/>
      <c r="AT72" s="24"/>
      <c r="AU72" s="24"/>
      <c r="AV72" s="24"/>
      <c r="AW72" s="24"/>
      <c r="AX72" s="24"/>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8"/>
    </row>
    <row r="73" spans="1:95" s="67" customFormat="1" ht="17.25" customHeight="1" thickBot="1" x14ac:dyDescent="0.25">
      <c r="A73" s="118" t="s">
        <v>83</v>
      </c>
      <c r="B73" s="119"/>
      <c r="C73" s="119"/>
      <c r="D73" s="119"/>
      <c r="E73" s="119"/>
      <c r="F73" s="119"/>
      <c r="G73" s="119"/>
      <c r="H73" s="119"/>
      <c r="I73" s="119"/>
      <c r="J73" s="119"/>
      <c r="K73" s="119"/>
      <c r="L73" s="119"/>
      <c r="M73" s="119"/>
      <c r="N73" s="119"/>
      <c r="O73" s="119"/>
      <c r="P73" s="179">
        <v>0</v>
      </c>
      <c r="Q73" s="179">
        <v>0</v>
      </c>
      <c r="R73" s="179">
        <v>0</v>
      </c>
      <c r="S73" s="179">
        <v>0</v>
      </c>
      <c r="T73" s="179">
        <v>0</v>
      </c>
      <c r="U73" s="179">
        <v>0</v>
      </c>
      <c r="V73" s="179"/>
      <c r="W73" s="179"/>
      <c r="X73" s="179">
        <v>0</v>
      </c>
      <c r="Y73" s="181">
        <v>0</v>
      </c>
      <c r="Z73" s="24"/>
      <c r="AA73" s="75"/>
      <c r="AB73" s="75"/>
      <c r="AC73" s="75"/>
      <c r="AD73" s="75"/>
      <c r="AE73" s="75"/>
      <c r="AF73" s="24"/>
      <c r="AG73" s="24"/>
      <c r="AH73" s="24"/>
      <c r="AI73" s="24"/>
      <c r="AJ73" s="24"/>
      <c r="AK73" s="24"/>
      <c r="AL73" s="24"/>
      <c r="AM73" s="24"/>
      <c r="AN73" s="24"/>
      <c r="AO73" s="24"/>
      <c r="AP73" s="24"/>
      <c r="AQ73" s="24"/>
      <c r="AR73" s="24"/>
      <c r="AS73" s="24"/>
      <c r="AT73" s="24"/>
      <c r="AU73" s="24"/>
      <c r="AV73" s="24"/>
      <c r="AW73" s="24"/>
      <c r="AX73" s="24"/>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6"/>
    </row>
    <row r="74" spans="1:95" s="69" customFormat="1" ht="15.75" customHeight="1" thickBot="1" x14ac:dyDescent="0.25">
      <c r="A74" s="128" t="s">
        <v>44</v>
      </c>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30"/>
      <c r="Z74" s="24"/>
      <c r="AA74" s="75"/>
      <c r="AB74" s="75"/>
      <c r="AC74" s="75"/>
      <c r="AD74" s="75"/>
      <c r="AE74" s="75"/>
      <c r="AF74" s="24"/>
      <c r="AG74" s="24"/>
      <c r="AH74" s="24"/>
      <c r="AI74" s="24"/>
      <c r="AJ74" s="24"/>
      <c r="AK74" s="24"/>
      <c r="AL74" s="24"/>
      <c r="AM74" s="24"/>
      <c r="AN74" s="24"/>
      <c r="AO74" s="24"/>
      <c r="AP74" s="24"/>
      <c r="AQ74" s="24"/>
      <c r="AR74" s="24"/>
      <c r="AS74" s="24"/>
      <c r="AT74" s="24"/>
      <c r="AU74" s="24"/>
      <c r="AV74" s="24"/>
      <c r="AW74" s="24"/>
      <c r="AX74" s="24"/>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8"/>
    </row>
    <row r="75" spans="1:95" s="67" customFormat="1" ht="17.25" customHeight="1" thickBot="1" x14ac:dyDescent="0.25">
      <c r="A75" s="115" t="s">
        <v>84</v>
      </c>
      <c r="B75" s="116"/>
      <c r="C75" s="116"/>
      <c r="D75" s="116"/>
      <c r="E75" s="116"/>
      <c r="F75" s="116"/>
      <c r="G75" s="116"/>
      <c r="H75" s="116"/>
      <c r="I75" s="116"/>
      <c r="J75" s="116"/>
      <c r="K75" s="116"/>
      <c r="L75" s="116"/>
      <c r="M75" s="116"/>
      <c r="N75" s="116"/>
      <c r="O75" s="117"/>
      <c r="P75" s="179">
        <v>0</v>
      </c>
      <c r="Q75" s="179">
        <v>0</v>
      </c>
      <c r="R75" s="179">
        <v>0</v>
      </c>
      <c r="S75" s="179">
        <v>0</v>
      </c>
      <c r="T75" s="179">
        <v>0</v>
      </c>
      <c r="U75" s="179">
        <v>0</v>
      </c>
      <c r="V75" s="179"/>
      <c r="W75" s="179"/>
      <c r="X75" s="179">
        <v>0</v>
      </c>
      <c r="Y75" s="181">
        <v>0</v>
      </c>
      <c r="Z75" s="24"/>
      <c r="AA75" s="75"/>
      <c r="AB75" s="75"/>
      <c r="AC75" s="75"/>
      <c r="AD75" s="75"/>
      <c r="AE75" s="75"/>
      <c r="AF75" s="24"/>
      <c r="AG75" s="24"/>
      <c r="AH75" s="24"/>
      <c r="AI75" s="24"/>
      <c r="AJ75" s="24"/>
      <c r="AK75" s="24"/>
      <c r="AL75" s="24"/>
      <c r="AM75" s="24"/>
      <c r="AN75" s="24"/>
      <c r="AO75" s="24"/>
      <c r="AP75" s="24"/>
      <c r="AQ75" s="24"/>
      <c r="AR75" s="24"/>
      <c r="AS75" s="24"/>
      <c r="AT75" s="24"/>
      <c r="AU75" s="24"/>
      <c r="AV75" s="24"/>
      <c r="AW75" s="24"/>
      <c r="AX75" s="24"/>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6"/>
    </row>
    <row r="76" spans="1:95" s="69" customFormat="1" ht="15.75" customHeight="1" x14ac:dyDescent="0.2">
      <c r="A76" s="132" t="s">
        <v>45</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4"/>
      <c r="Z76" s="24"/>
      <c r="AA76" s="75"/>
      <c r="AB76" s="75"/>
      <c r="AC76" s="75"/>
      <c r="AD76" s="75"/>
      <c r="AE76" s="75"/>
      <c r="AF76" s="24"/>
      <c r="AG76" s="24"/>
      <c r="AH76" s="24"/>
      <c r="AI76" s="24"/>
      <c r="AJ76" s="24"/>
      <c r="AK76" s="24"/>
      <c r="AL76" s="24"/>
      <c r="AM76" s="24"/>
      <c r="AN76" s="24"/>
      <c r="AO76" s="24"/>
      <c r="AP76" s="24"/>
      <c r="AQ76" s="24"/>
      <c r="AR76" s="24"/>
      <c r="AS76" s="24"/>
      <c r="AT76" s="24"/>
      <c r="AU76" s="24"/>
      <c r="AV76" s="24"/>
      <c r="AW76" s="24"/>
      <c r="AX76" s="24"/>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8"/>
    </row>
    <row r="77" spans="1:95" s="70" customFormat="1" ht="64.5" thickBot="1" x14ac:dyDescent="0.25">
      <c r="A77" s="94">
        <v>1</v>
      </c>
      <c r="B77" s="29" t="s">
        <v>145</v>
      </c>
      <c r="C77" s="29" t="s">
        <v>606</v>
      </c>
      <c r="D77" s="29" t="s">
        <v>341</v>
      </c>
      <c r="E77" s="30" t="s">
        <v>183</v>
      </c>
      <c r="F77" s="22" t="s">
        <v>184</v>
      </c>
      <c r="G77" s="15" t="s">
        <v>185</v>
      </c>
      <c r="H77" s="225">
        <v>42370</v>
      </c>
      <c r="I77" s="225">
        <v>43465</v>
      </c>
      <c r="J77" s="22" t="s">
        <v>111</v>
      </c>
      <c r="K77" s="16" t="s">
        <v>186</v>
      </c>
      <c r="L77" s="16" t="s">
        <v>187</v>
      </c>
      <c r="M77" s="16"/>
      <c r="N77" s="22" t="s">
        <v>176</v>
      </c>
      <c r="O77" s="22">
        <v>121</v>
      </c>
      <c r="P77" s="177">
        <v>1170059.75</v>
      </c>
      <c r="Q77" s="177">
        <v>211438.27000000002</v>
      </c>
      <c r="R77" s="177">
        <v>0</v>
      </c>
      <c r="S77" s="177">
        <v>0</v>
      </c>
      <c r="T77" s="177">
        <v>0</v>
      </c>
      <c r="U77" s="177">
        <f>P77+Q77+R77+S77+T77</f>
        <v>1381498.02</v>
      </c>
      <c r="V77" s="177" t="s">
        <v>517</v>
      </c>
      <c r="W77" s="177">
        <v>2</v>
      </c>
      <c r="X77" s="177">
        <v>1170059.75</v>
      </c>
      <c r="Y77" s="183">
        <v>211438.27</v>
      </c>
      <c r="Z77" s="24"/>
      <c r="AA77" s="75"/>
      <c r="AB77" s="75"/>
      <c r="AC77" s="75"/>
      <c r="AD77" s="75"/>
      <c r="AE77" s="75"/>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row>
    <row r="78" spans="1:95" s="67" customFormat="1" ht="17.25" customHeight="1" thickBot="1" x14ac:dyDescent="0.25">
      <c r="A78" s="115" t="s">
        <v>85</v>
      </c>
      <c r="B78" s="116"/>
      <c r="C78" s="116"/>
      <c r="D78" s="116"/>
      <c r="E78" s="116"/>
      <c r="F78" s="116"/>
      <c r="G78" s="26"/>
      <c r="H78" s="226"/>
      <c r="I78" s="226"/>
      <c r="J78" s="26"/>
      <c r="K78" s="26"/>
      <c r="L78" s="26"/>
      <c r="M78" s="26"/>
      <c r="N78" s="26"/>
      <c r="O78" s="28"/>
      <c r="P78" s="179">
        <f t="shared" ref="P78:U78" si="10">P77</f>
        <v>1170059.75</v>
      </c>
      <c r="Q78" s="179">
        <f t="shared" si="10"/>
        <v>211438.27000000002</v>
      </c>
      <c r="R78" s="179">
        <f t="shared" si="10"/>
        <v>0</v>
      </c>
      <c r="S78" s="179">
        <f t="shared" si="10"/>
        <v>0</v>
      </c>
      <c r="T78" s="179">
        <f t="shared" si="10"/>
        <v>0</v>
      </c>
      <c r="U78" s="179">
        <f t="shared" si="10"/>
        <v>1381498.02</v>
      </c>
      <c r="V78" s="179"/>
      <c r="W78" s="179"/>
      <c r="X78" s="180">
        <f>X77</f>
        <v>1170059.75</v>
      </c>
      <c r="Y78" s="202">
        <f>Y77</f>
        <v>211438.27</v>
      </c>
      <c r="Z78" s="24"/>
      <c r="AA78" s="75"/>
      <c r="AB78" s="75"/>
      <c r="AC78" s="75"/>
      <c r="AD78" s="75"/>
      <c r="AE78" s="75"/>
      <c r="AF78" s="24"/>
      <c r="AG78" s="24"/>
      <c r="AH78" s="24"/>
      <c r="AI78" s="24"/>
      <c r="AJ78" s="24"/>
      <c r="AK78" s="24"/>
      <c r="AL78" s="24"/>
      <c r="AM78" s="24"/>
      <c r="AN78" s="24"/>
      <c r="AO78" s="24"/>
      <c r="AP78" s="24"/>
      <c r="AQ78" s="24"/>
      <c r="AR78" s="24"/>
      <c r="AS78" s="24"/>
      <c r="AT78" s="24"/>
      <c r="AU78" s="24"/>
      <c r="AV78" s="24"/>
      <c r="AW78" s="24"/>
      <c r="AX78" s="24"/>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6"/>
    </row>
    <row r="79" spans="1:95" s="69" customFormat="1" ht="15.75" customHeight="1" x14ac:dyDescent="0.2">
      <c r="A79" s="120" t="s">
        <v>46</v>
      </c>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2"/>
      <c r="Z79" s="24"/>
      <c r="AA79" s="75"/>
      <c r="AB79" s="75"/>
      <c r="AC79" s="75"/>
      <c r="AD79" s="75"/>
      <c r="AE79" s="75"/>
      <c r="AF79" s="24"/>
      <c r="AG79" s="24"/>
      <c r="AH79" s="24"/>
      <c r="AI79" s="24"/>
      <c r="AJ79" s="24"/>
      <c r="AK79" s="24"/>
      <c r="AL79" s="24"/>
      <c r="AM79" s="24"/>
      <c r="AN79" s="24"/>
      <c r="AO79" s="24"/>
      <c r="AP79" s="24"/>
      <c r="AQ79" s="24"/>
      <c r="AR79" s="24"/>
      <c r="AS79" s="24"/>
      <c r="AT79" s="24"/>
      <c r="AU79" s="24"/>
      <c r="AV79" s="24"/>
      <c r="AW79" s="24"/>
      <c r="AX79" s="24"/>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8"/>
    </row>
    <row r="80" spans="1:95" s="72" customFormat="1" ht="13.5" thickBot="1" x14ac:dyDescent="0.25">
      <c r="A80" s="99">
        <v>1</v>
      </c>
      <c r="B80" s="29"/>
      <c r="C80" s="29"/>
      <c r="D80" s="29"/>
      <c r="E80" s="30"/>
      <c r="F80" s="22"/>
      <c r="G80" s="48"/>
      <c r="H80" s="234"/>
      <c r="I80" s="234"/>
      <c r="J80" s="49"/>
      <c r="K80" s="42"/>
      <c r="L80" s="42"/>
      <c r="M80" s="42"/>
      <c r="N80" s="50"/>
      <c r="O80" s="50"/>
      <c r="P80" s="177"/>
      <c r="Q80" s="177"/>
      <c r="R80" s="203"/>
      <c r="S80" s="203"/>
      <c r="T80" s="203"/>
      <c r="U80" s="197"/>
      <c r="V80" s="197"/>
      <c r="W80" s="203"/>
      <c r="X80" s="203"/>
      <c r="Y80" s="204"/>
      <c r="Z80" s="24"/>
      <c r="AA80" s="75"/>
      <c r="AB80" s="75"/>
      <c r="AC80" s="75"/>
      <c r="AD80" s="75"/>
      <c r="AE80" s="75"/>
      <c r="AF80" s="24"/>
      <c r="AG80" s="24"/>
      <c r="AH80" s="24"/>
      <c r="AI80" s="24"/>
      <c r="AJ80" s="24"/>
      <c r="AK80" s="24"/>
      <c r="AL80" s="24"/>
      <c r="AM80" s="24"/>
      <c r="AN80" s="24"/>
      <c r="AO80" s="24"/>
      <c r="AP80" s="24"/>
      <c r="AQ80" s="24"/>
      <c r="AR80" s="24"/>
      <c r="AS80" s="24"/>
      <c r="AT80" s="24"/>
      <c r="AU80" s="24"/>
      <c r="AV80" s="24"/>
      <c r="AW80" s="24"/>
      <c r="AX80" s="24"/>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8"/>
    </row>
    <row r="81" spans="1:95" s="67" customFormat="1" ht="17.25" customHeight="1" thickBot="1" x14ac:dyDescent="0.25">
      <c r="A81" s="115" t="s">
        <v>86</v>
      </c>
      <c r="B81" s="116"/>
      <c r="C81" s="116"/>
      <c r="D81" s="116"/>
      <c r="E81" s="116"/>
      <c r="F81" s="116"/>
      <c r="G81" s="116"/>
      <c r="H81" s="116"/>
      <c r="I81" s="116"/>
      <c r="J81" s="116"/>
      <c r="K81" s="116"/>
      <c r="L81" s="116"/>
      <c r="M81" s="116"/>
      <c r="N81" s="116"/>
      <c r="O81" s="117"/>
      <c r="P81" s="179">
        <f t="shared" ref="P81:U81" si="11">P80</f>
        <v>0</v>
      </c>
      <c r="Q81" s="179">
        <f t="shared" si="11"/>
        <v>0</v>
      </c>
      <c r="R81" s="179">
        <f t="shared" si="11"/>
        <v>0</v>
      </c>
      <c r="S81" s="179">
        <f t="shared" si="11"/>
        <v>0</v>
      </c>
      <c r="T81" s="179">
        <f t="shared" si="11"/>
        <v>0</v>
      </c>
      <c r="U81" s="179">
        <f t="shared" si="11"/>
        <v>0</v>
      </c>
      <c r="V81" s="179"/>
      <c r="W81" s="179"/>
      <c r="X81" s="179">
        <f>X80</f>
        <v>0</v>
      </c>
      <c r="Y81" s="181">
        <f>Y80</f>
        <v>0</v>
      </c>
      <c r="Z81" s="24"/>
      <c r="AA81" s="75"/>
      <c r="AB81" s="75"/>
      <c r="AC81" s="75"/>
      <c r="AD81" s="75"/>
      <c r="AE81" s="75"/>
      <c r="AF81" s="24"/>
      <c r="AG81" s="24"/>
      <c r="AH81" s="24"/>
      <c r="AI81" s="24"/>
      <c r="AJ81" s="24"/>
      <c r="AK81" s="24"/>
      <c r="AL81" s="24"/>
      <c r="AM81" s="24"/>
      <c r="AN81" s="24"/>
      <c r="AO81" s="24"/>
      <c r="AP81" s="24"/>
      <c r="AQ81" s="24"/>
      <c r="AR81" s="24"/>
      <c r="AS81" s="24"/>
      <c r="AT81" s="24"/>
      <c r="AU81" s="24"/>
      <c r="AV81" s="24"/>
      <c r="AW81" s="24"/>
      <c r="AX81" s="24"/>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6"/>
    </row>
    <row r="82" spans="1:95" s="69" customFormat="1" ht="15.75" customHeight="1" x14ac:dyDescent="0.2">
      <c r="A82" s="120" t="s">
        <v>47</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2"/>
      <c r="Z82" s="24"/>
      <c r="AA82" s="75"/>
      <c r="AB82" s="75"/>
      <c r="AC82" s="75"/>
      <c r="AD82" s="75"/>
      <c r="AE82" s="75"/>
      <c r="AF82" s="24"/>
      <c r="AG82" s="24"/>
      <c r="AH82" s="24"/>
      <c r="AI82" s="24"/>
      <c r="AJ82" s="24"/>
      <c r="AK82" s="24"/>
      <c r="AL82" s="24"/>
      <c r="AM82" s="24"/>
      <c r="AN82" s="24"/>
      <c r="AO82" s="24"/>
      <c r="AP82" s="24"/>
      <c r="AQ82" s="24"/>
      <c r="AR82" s="24"/>
      <c r="AS82" s="24"/>
      <c r="AT82" s="24"/>
      <c r="AU82" s="24"/>
      <c r="AV82" s="24"/>
      <c r="AW82" s="24"/>
      <c r="AX82" s="24"/>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8"/>
    </row>
    <row r="83" spans="1:95" s="69" customFormat="1" ht="15.75" customHeight="1" thickBot="1" x14ac:dyDescent="0.25">
      <c r="A83" s="99">
        <v>1</v>
      </c>
      <c r="B83" s="42"/>
      <c r="C83" s="42"/>
      <c r="D83" s="42"/>
      <c r="E83" s="42"/>
      <c r="F83" s="42"/>
      <c r="G83" s="43"/>
      <c r="H83" s="233"/>
      <c r="I83" s="233"/>
      <c r="J83" s="42"/>
      <c r="K83" s="42"/>
      <c r="L83" s="42"/>
      <c r="M83" s="42"/>
      <c r="N83" s="42"/>
      <c r="O83" s="42"/>
      <c r="P83" s="182"/>
      <c r="Q83" s="182"/>
      <c r="R83" s="197"/>
      <c r="S83" s="197"/>
      <c r="T83" s="197"/>
      <c r="U83" s="197"/>
      <c r="V83" s="197"/>
      <c r="W83" s="197"/>
      <c r="X83" s="197"/>
      <c r="Y83" s="198"/>
      <c r="Z83" s="24"/>
      <c r="AA83" s="75"/>
      <c r="AB83" s="75"/>
      <c r="AC83" s="75"/>
      <c r="AD83" s="75"/>
      <c r="AE83" s="75"/>
      <c r="AF83" s="24"/>
      <c r="AG83" s="24"/>
      <c r="AH83" s="24"/>
      <c r="AI83" s="24"/>
      <c r="AJ83" s="24"/>
      <c r="AK83" s="24"/>
      <c r="AL83" s="24"/>
      <c r="AM83" s="24"/>
      <c r="AN83" s="24"/>
      <c r="AO83" s="24"/>
      <c r="AP83" s="24"/>
      <c r="AQ83" s="24"/>
      <c r="AR83" s="24"/>
      <c r="AS83" s="24"/>
      <c r="AT83" s="24"/>
      <c r="AU83" s="24"/>
      <c r="AV83" s="24"/>
      <c r="AW83" s="24"/>
      <c r="AX83" s="24"/>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8"/>
    </row>
    <row r="84" spans="1:95" s="67" customFormat="1" ht="17.25" customHeight="1" thickBot="1" x14ac:dyDescent="0.25">
      <c r="A84" s="115" t="s">
        <v>87</v>
      </c>
      <c r="B84" s="116"/>
      <c r="C84" s="116"/>
      <c r="D84" s="116"/>
      <c r="E84" s="116"/>
      <c r="F84" s="116"/>
      <c r="G84" s="116"/>
      <c r="H84" s="116"/>
      <c r="I84" s="116"/>
      <c r="J84" s="116"/>
      <c r="K84" s="116"/>
      <c r="L84" s="116"/>
      <c r="M84" s="116"/>
      <c r="N84" s="116"/>
      <c r="O84" s="117"/>
      <c r="P84" s="179">
        <f t="shared" ref="P84:U84" si="12">P83</f>
        <v>0</v>
      </c>
      <c r="Q84" s="179">
        <f t="shared" si="12"/>
        <v>0</v>
      </c>
      <c r="R84" s="179">
        <f t="shared" si="12"/>
        <v>0</v>
      </c>
      <c r="S84" s="179">
        <f t="shared" si="12"/>
        <v>0</v>
      </c>
      <c r="T84" s="179">
        <f t="shared" si="12"/>
        <v>0</v>
      </c>
      <c r="U84" s="179">
        <f t="shared" si="12"/>
        <v>0</v>
      </c>
      <c r="V84" s="179"/>
      <c r="W84" s="179"/>
      <c r="X84" s="179">
        <f>X83</f>
        <v>0</v>
      </c>
      <c r="Y84" s="181">
        <f>Y83</f>
        <v>0</v>
      </c>
      <c r="Z84" s="24"/>
      <c r="AA84" s="75"/>
      <c r="AB84" s="75"/>
      <c r="AC84" s="75"/>
      <c r="AD84" s="75"/>
      <c r="AE84" s="75"/>
      <c r="AF84" s="24"/>
      <c r="AG84" s="24"/>
      <c r="AH84" s="24"/>
      <c r="AI84" s="24"/>
      <c r="AJ84" s="24"/>
      <c r="AK84" s="24"/>
      <c r="AL84" s="24"/>
      <c r="AM84" s="24"/>
      <c r="AN84" s="24"/>
      <c r="AO84" s="24"/>
      <c r="AP84" s="24"/>
      <c r="AQ84" s="24"/>
      <c r="AR84" s="24"/>
      <c r="AS84" s="24"/>
      <c r="AT84" s="24"/>
      <c r="AU84" s="24"/>
      <c r="AV84" s="24"/>
      <c r="AW84" s="24"/>
      <c r="AX84" s="24"/>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6"/>
    </row>
    <row r="85" spans="1:95" s="69" customFormat="1" ht="15.75" customHeight="1" x14ac:dyDescent="0.2">
      <c r="A85" s="120" t="s">
        <v>48</v>
      </c>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2"/>
      <c r="Z85" s="24"/>
      <c r="AA85" s="75"/>
      <c r="AB85" s="75"/>
      <c r="AC85" s="75"/>
      <c r="AD85" s="75"/>
      <c r="AE85" s="75"/>
      <c r="AF85" s="24"/>
      <c r="AG85" s="24"/>
      <c r="AH85" s="24"/>
      <c r="AI85" s="24"/>
      <c r="AJ85" s="24"/>
      <c r="AK85" s="24"/>
      <c r="AL85" s="24"/>
      <c r="AM85" s="24"/>
      <c r="AN85" s="24"/>
      <c r="AO85" s="24"/>
      <c r="AP85" s="24"/>
      <c r="AQ85" s="24"/>
      <c r="AR85" s="24"/>
      <c r="AS85" s="24"/>
      <c r="AT85" s="24"/>
      <c r="AU85" s="24"/>
      <c r="AV85" s="24"/>
      <c r="AW85" s="24"/>
      <c r="AX85" s="24"/>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8"/>
    </row>
    <row r="86" spans="1:95" s="72" customFormat="1" ht="13.5" thickBot="1" x14ac:dyDescent="0.25">
      <c r="A86" s="99">
        <v>1</v>
      </c>
      <c r="B86" s="29"/>
      <c r="C86" s="29"/>
      <c r="D86" s="29"/>
      <c r="E86" s="30"/>
      <c r="F86" s="22"/>
      <c r="G86" s="48"/>
      <c r="H86" s="234"/>
      <c r="I86" s="234"/>
      <c r="J86" s="49"/>
      <c r="K86" s="42"/>
      <c r="L86" s="42"/>
      <c r="M86" s="42"/>
      <c r="N86" s="50"/>
      <c r="O86" s="50"/>
      <c r="P86" s="177"/>
      <c r="Q86" s="177"/>
      <c r="R86" s="203"/>
      <c r="S86" s="203"/>
      <c r="T86" s="203"/>
      <c r="U86" s="197"/>
      <c r="V86" s="197"/>
      <c r="W86" s="203"/>
      <c r="X86" s="203"/>
      <c r="Y86" s="204"/>
      <c r="Z86" s="24"/>
      <c r="AA86" s="75"/>
      <c r="AB86" s="75"/>
      <c r="AC86" s="75"/>
      <c r="AD86" s="75"/>
      <c r="AE86" s="75"/>
      <c r="AF86" s="24"/>
      <c r="AG86" s="24"/>
      <c r="AH86" s="24"/>
      <c r="AI86" s="24"/>
      <c r="AJ86" s="24"/>
      <c r="AK86" s="24"/>
      <c r="AL86" s="24"/>
      <c r="AM86" s="24"/>
      <c r="AN86" s="24"/>
      <c r="AO86" s="24"/>
      <c r="AP86" s="24"/>
      <c r="AQ86" s="24"/>
      <c r="AR86" s="24"/>
      <c r="AS86" s="24"/>
      <c r="AT86" s="24"/>
      <c r="AU86" s="24"/>
      <c r="AV86" s="24"/>
      <c r="AW86" s="24"/>
      <c r="AX86" s="24"/>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8"/>
    </row>
    <row r="87" spans="1:95" s="67" customFormat="1" ht="17.25" customHeight="1" thickBot="1" x14ac:dyDescent="0.25">
      <c r="A87" s="118" t="s">
        <v>88</v>
      </c>
      <c r="B87" s="119"/>
      <c r="C87" s="119"/>
      <c r="D87" s="119"/>
      <c r="E87" s="119"/>
      <c r="F87" s="119"/>
      <c r="G87" s="119"/>
      <c r="H87" s="119"/>
      <c r="I87" s="119"/>
      <c r="J87" s="119"/>
      <c r="K87" s="119"/>
      <c r="L87" s="119"/>
      <c r="M87" s="119"/>
      <c r="N87" s="119"/>
      <c r="O87" s="119"/>
      <c r="P87" s="179">
        <f t="shared" ref="P87:U87" si="13">P86</f>
        <v>0</v>
      </c>
      <c r="Q87" s="179">
        <f t="shared" si="13"/>
        <v>0</v>
      </c>
      <c r="R87" s="179">
        <f t="shared" si="13"/>
        <v>0</v>
      </c>
      <c r="S87" s="179">
        <f t="shared" si="13"/>
        <v>0</v>
      </c>
      <c r="T87" s="179">
        <f t="shared" si="13"/>
        <v>0</v>
      </c>
      <c r="U87" s="179">
        <f t="shared" si="13"/>
        <v>0</v>
      </c>
      <c r="V87" s="179"/>
      <c r="W87" s="179"/>
      <c r="X87" s="179">
        <f>X86</f>
        <v>0</v>
      </c>
      <c r="Y87" s="181">
        <f>Y86</f>
        <v>0</v>
      </c>
      <c r="Z87" s="24"/>
      <c r="AA87" s="75"/>
      <c r="AB87" s="75"/>
      <c r="AC87" s="75"/>
      <c r="AD87" s="75"/>
      <c r="AE87" s="75"/>
      <c r="AF87" s="24"/>
      <c r="AG87" s="24"/>
      <c r="AH87" s="24"/>
      <c r="AI87" s="24"/>
      <c r="AJ87" s="24"/>
      <c r="AK87" s="24"/>
      <c r="AL87" s="24"/>
      <c r="AM87" s="24"/>
      <c r="AN87" s="24"/>
      <c r="AO87" s="24"/>
      <c r="AP87" s="24"/>
      <c r="AQ87" s="24"/>
      <c r="AR87" s="24"/>
      <c r="AS87" s="24"/>
      <c r="AT87" s="24"/>
      <c r="AU87" s="24"/>
      <c r="AV87" s="24"/>
      <c r="AW87" s="24"/>
      <c r="AX87" s="24"/>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6"/>
    </row>
    <row r="88" spans="1:95" s="69" customFormat="1" ht="15.75" customHeight="1" x14ac:dyDescent="0.2">
      <c r="A88" s="128" t="s">
        <v>49</v>
      </c>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30"/>
      <c r="Z88" s="24"/>
      <c r="AA88" s="75"/>
      <c r="AB88" s="75"/>
      <c r="AC88" s="75"/>
      <c r="AD88" s="75"/>
      <c r="AE88" s="75"/>
      <c r="AF88" s="24"/>
      <c r="AG88" s="24"/>
      <c r="AH88" s="24"/>
      <c r="AI88" s="24"/>
      <c r="AJ88" s="24"/>
      <c r="AK88" s="24"/>
      <c r="AL88" s="24"/>
      <c r="AM88" s="24"/>
      <c r="AN88" s="24"/>
      <c r="AO88" s="24"/>
      <c r="AP88" s="24"/>
      <c r="AQ88" s="24"/>
      <c r="AR88" s="24"/>
      <c r="AS88" s="24"/>
      <c r="AT88" s="24"/>
      <c r="AU88" s="24"/>
      <c r="AV88" s="24"/>
      <c r="AW88" s="24"/>
      <c r="AX88" s="24"/>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8"/>
    </row>
    <row r="89" spans="1:95" s="72" customFormat="1" ht="12.75" x14ac:dyDescent="0.2">
      <c r="A89" s="96">
        <v>1</v>
      </c>
      <c r="B89" s="19"/>
      <c r="C89" s="19"/>
      <c r="D89" s="19"/>
      <c r="E89" s="20"/>
      <c r="F89" s="21"/>
      <c r="G89" s="37"/>
      <c r="H89" s="229"/>
      <c r="I89" s="229"/>
      <c r="J89" s="38"/>
      <c r="K89" s="36"/>
      <c r="L89" s="36"/>
      <c r="M89" s="36"/>
      <c r="N89" s="39"/>
      <c r="O89" s="39"/>
      <c r="P89" s="185"/>
      <c r="Q89" s="185"/>
      <c r="R89" s="191"/>
      <c r="S89" s="205"/>
      <c r="T89" s="205"/>
      <c r="U89" s="206"/>
      <c r="V89" s="206"/>
      <c r="W89" s="205"/>
      <c r="X89" s="191"/>
      <c r="Y89" s="193"/>
      <c r="Z89" s="24"/>
      <c r="AA89" s="75"/>
      <c r="AB89" s="75"/>
      <c r="AC89" s="75"/>
      <c r="AD89" s="75"/>
      <c r="AE89" s="75"/>
      <c r="AF89" s="24"/>
      <c r="AG89" s="24"/>
      <c r="AH89" s="24"/>
      <c r="AI89" s="24"/>
      <c r="AJ89" s="24"/>
      <c r="AK89" s="24"/>
      <c r="AL89" s="24"/>
      <c r="AM89" s="24"/>
      <c r="AN89" s="24"/>
      <c r="AO89" s="24"/>
      <c r="AP89" s="24"/>
      <c r="AQ89" s="24"/>
      <c r="AR89" s="24"/>
      <c r="AS89" s="24"/>
      <c r="AT89" s="24"/>
      <c r="AU89" s="24"/>
      <c r="AV89" s="24"/>
      <c r="AW89" s="24"/>
      <c r="AX89" s="24"/>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8"/>
    </row>
    <row r="90" spans="1:95" s="69" customFormat="1" ht="13.5" thickBot="1" x14ac:dyDescent="0.25">
      <c r="A90" s="101">
        <v>2</v>
      </c>
      <c r="B90" s="46"/>
      <c r="C90" s="46"/>
      <c r="D90" s="46"/>
      <c r="E90" s="46"/>
      <c r="F90" s="46"/>
      <c r="G90" s="47"/>
      <c r="H90" s="230"/>
      <c r="I90" s="230"/>
      <c r="J90" s="46"/>
      <c r="K90" s="46"/>
      <c r="L90" s="46"/>
      <c r="M90" s="46"/>
      <c r="N90" s="46"/>
      <c r="O90" s="46"/>
      <c r="P90" s="194"/>
      <c r="Q90" s="194"/>
      <c r="R90" s="195"/>
      <c r="S90" s="195"/>
      <c r="T90" s="195"/>
      <c r="U90" s="195"/>
      <c r="V90" s="195"/>
      <c r="W90" s="195"/>
      <c r="X90" s="195"/>
      <c r="Y90" s="196"/>
      <c r="Z90" s="24"/>
      <c r="AA90" s="75"/>
      <c r="AB90" s="75"/>
      <c r="AC90" s="75"/>
      <c r="AD90" s="75"/>
      <c r="AE90" s="75"/>
      <c r="AF90" s="24"/>
      <c r="AG90" s="24"/>
      <c r="AH90" s="24"/>
      <c r="AI90" s="24"/>
      <c r="AJ90" s="24"/>
      <c r="AK90" s="24"/>
      <c r="AL90" s="24"/>
      <c r="AM90" s="24"/>
      <c r="AN90" s="24"/>
      <c r="AO90" s="24"/>
      <c r="AP90" s="24"/>
      <c r="AQ90" s="24"/>
      <c r="AR90" s="24"/>
      <c r="AS90" s="24"/>
      <c r="AT90" s="24"/>
      <c r="AU90" s="24"/>
      <c r="AV90" s="24"/>
      <c r="AW90" s="24"/>
      <c r="AX90" s="24"/>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8"/>
    </row>
    <row r="91" spans="1:95" s="67" customFormat="1" ht="17.25" customHeight="1" thickBot="1" x14ac:dyDescent="0.25">
      <c r="A91" s="118" t="s">
        <v>89</v>
      </c>
      <c r="B91" s="119"/>
      <c r="C91" s="119"/>
      <c r="D91" s="119"/>
      <c r="E91" s="119"/>
      <c r="F91" s="119"/>
      <c r="G91" s="119"/>
      <c r="H91" s="119"/>
      <c r="I91" s="119"/>
      <c r="J91" s="119"/>
      <c r="K91" s="119"/>
      <c r="L91" s="119"/>
      <c r="M91" s="119"/>
      <c r="N91" s="119"/>
      <c r="O91" s="119"/>
      <c r="P91" s="179">
        <f t="shared" ref="P91:U91" si="14">P89</f>
        <v>0</v>
      </c>
      <c r="Q91" s="179">
        <f t="shared" si="14"/>
        <v>0</v>
      </c>
      <c r="R91" s="179">
        <f t="shared" si="14"/>
        <v>0</v>
      </c>
      <c r="S91" s="179">
        <f t="shared" si="14"/>
        <v>0</v>
      </c>
      <c r="T91" s="179">
        <f t="shared" si="14"/>
        <v>0</v>
      </c>
      <c r="U91" s="179">
        <f t="shared" si="14"/>
        <v>0</v>
      </c>
      <c r="V91" s="179"/>
      <c r="W91" s="179"/>
      <c r="X91" s="179">
        <f>X89</f>
        <v>0</v>
      </c>
      <c r="Y91" s="181">
        <f>Y89</f>
        <v>0</v>
      </c>
      <c r="Z91" s="24"/>
      <c r="AA91" s="75"/>
      <c r="AB91" s="75"/>
      <c r="AC91" s="75"/>
      <c r="AD91" s="75"/>
      <c r="AE91" s="75"/>
      <c r="AF91" s="24"/>
      <c r="AG91" s="24"/>
      <c r="AH91" s="24"/>
      <c r="AI91" s="24"/>
      <c r="AJ91" s="24"/>
      <c r="AK91" s="24"/>
      <c r="AL91" s="24"/>
      <c r="AM91" s="24"/>
      <c r="AN91" s="24"/>
      <c r="AO91" s="24"/>
      <c r="AP91" s="24"/>
      <c r="AQ91" s="24"/>
      <c r="AR91" s="24"/>
      <c r="AS91" s="24"/>
      <c r="AT91" s="24"/>
      <c r="AU91" s="24"/>
      <c r="AV91" s="24"/>
      <c r="AW91" s="24"/>
      <c r="AX91" s="24"/>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6"/>
    </row>
    <row r="92" spans="1:95" s="69" customFormat="1" ht="15.75" customHeight="1" x14ac:dyDescent="0.2">
      <c r="A92" s="128" t="s">
        <v>50</v>
      </c>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30"/>
      <c r="Z92" s="24"/>
      <c r="AA92" s="75"/>
      <c r="AB92" s="75"/>
      <c r="AC92" s="75"/>
      <c r="AD92" s="75"/>
      <c r="AE92" s="75"/>
      <c r="AF92" s="24"/>
      <c r="AG92" s="24"/>
      <c r="AH92" s="24"/>
      <c r="AI92" s="24"/>
      <c r="AJ92" s="24"/>
      <c r="AK92" s="24"/>
      <c r="AL92" s="24"/>
      <c r="AM92" s="24"/>
      <c r="AN92" s="24"/>
      <c r="AO92" s="24"/>
      <c r="AP92" s="24"/>
      <c r="AQ92" s="24"/>
      <c r="AR92" s="24"/>
      <c r="AS92" s="24"/>
      <c r="AT92" s="24"/>
      <c r="AU92" s="24"/>
      <c r="AV92" s="24"/>
      <c r="AW92" s="24"/>
      <c r="AX92" s="24"/>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8"/>
    </row>
    <row r="93" spans="1:95" s="72" customFormat="1" ht="12.75" x14ac:dyDescent="0.2">
      <c r="A93" s="96">
        <v>1</v>
      </c>
      <c r="B93" s="19"/>
      <c r="C93" s="19"/>
      <c r="D93" s="19"/>
      <c r="E93" s="20"/>
      <c r="F93" s="21"/>
      <c r="G93" s="37"/>
      <c r="H93" s="229"/>
      <c r="I93" s="229"/>
      <c r="J93" s="38"/>
      <c r="K93" s="36"/>
      <c r="L93" s="36"/>
      <c r="M93" s="36"/>
      <c r="N93" s="39"/>
      <c r="O93" s="39"/>
      <c r="P93" s="185"/>
      <c r="Q93" s="185"/>
      <c r="R93" s="191"/>
      <c r="S93" s="191"/>
      <c r="T93" s="191"/>
      <c r="U93" s="192"/>
      <c r="V93" s="192"/>
      <c r="W93" s="191"/>
      <c r="X93" s="191"/>
      <c r="Y93" s="193"/>
      <c r="Z93" s="24"/>
      <c r="AA93" s="75"/>
      <c r="AB93" s="75"/>
      <c r="AC93" s="75"/>
      <c r="AD93" s="75"/>
      <c r="AE93" s="75"/>
      <c r="AF93" s="24"/>
      <c r="AG93" s="24"/>
      <c r="AH93" s="24"/>
      <c r="AI93" s="24"/>
      <c r="AJ93" s="24"/>
      <c r="AK93" s="24"/>
      <c r="AL93" s="24"/>
      <c r="AM93" s="24"/>
      <c r="AN93" s="24"/>
      <c r="AO93" s="24"/>
      <c r="AP93" s="24"/>
      <c r="AQ93" s="24"/>
      <c r="AR93" s="24"/>
      <c r="AS93" s="24"/>
      <c r="AT93" s="24"/>
      <c r="AU93" s="24"/>
      <c r="AV93" s="24"/>
      <c r="AW93" s="24"/>
      <c r="AX93" s="24"/>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8"/>
    </row>
    <row r="94" spans="1:95" s="69" customFormat="1" ht="13.5" thickBot="1" x14ac:dyDescent="0.25">
      <c r="A94" s="101">
        <v>2</v>
      </c>
      <c r="B94" s="46"/>
      <c r="C94" s="46"/>
      <c r="D94" s="46"/>
      <c r="E94" s="46"/>
      <c r="F94" s="46"/>
      <c r="G94" s="47"/>
      <c r="H94" s="230"/>
      <c r="I94" s="230"/>
      <c r="J94" s="46"/>
      <c r="K94" s="46"/>
      <c r="L94" s="46"/>
      <c r="M94" s="46"/>
      <c r="N94" s="46"/>
      <c r="O94" s="46"/>
      <c r="P94" s="194"/>
      <c r="Q94" s="194"/>
      <c r="R94" s="195"/>
      <c r="S94" s="195"/>
      <c r="T94" s="195"/>
      <c r="U94" s="195"/>
      <c r="V94" s="195"/>
      <c r="W94" s="195"/>
      <c r="X94" s="195"/>
      <c r="Y94" s="196"/>
      <c r="Z94" s="24"/>
      <c r="AA94" s="75"/>
      <c r="AB94" s="75"/>
      <c r="AC94" s="75"/>
      <c r="AD94" s="75"/>
      <c r="AE94" s="75"/>
      <c r="AF94" s="24"/>
      <c r="AG94" s="24"/>
      <c r="AH94" s="24"/>
      <c r="AI94" s="24"/>
      <c r="AJ94" s="24"/>
      <c r="AK94" s="24"/>
      <c r="AL94" s="24"/>
      <c r="AM94" s="24"/>
      <c r="AN94" s="24"/>
      <c r="AO94" s="24"/>
      <c r="AP94" s="24"/>
      <c r="AQ94" s="24"/>
      <c r="AR94" s="24"/>
      <c r="AS94" s="24"/>
      <c r="AT94" s="24"/>
      <c r="AU94" s="24"/>
      <c r="AV94" s="24"/>
      <c r="AW94" s="24"/>
      <c r="AX94" s="24"/>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8"/>
    </row>
    <row r="95" spans="1:95" s="67" customFormat="1" ht="17.25" customHeight="1" thickBot="1" x14ac:dyDescent="0.25">
      <c r="A95" s="118" t="s">
        <v>90</v>
      </c>
      <c r="B95" s="119"/>
      <c r="C95" s="119"/>
      <c r="D95" s="119"/>
      <c r="E95" s="119"/>
      <c r="F95" s="119"/>
      <c r="G95" s="119"/>
      <c r="H95" s="119"/>
      <c r="I95" s="119"/>
      <c r="J95" s="119"/>
      <c r="K95" s="119"/>
      <c r="L95" s="119"/>
      <c r="M95" s="119"/>
      <c r="N95" s="119"/>
      <c r="O95" s="119"/>
      <c r="P95" s="179">
        <f t="shared" ref="P95:U95" si="15">P93</f>
        <v>0</v>
      </c>
      <c r="Q95" s="179">
        <f t="shared" si="15"/>
        <v>0</v>
      </c>
      <c r="R95" s="179">
        <f t="shared" si="15"/>
        <v>0</v>
      </c>
      <c r="S95" s="179">
        <f t="shared" si="15"/>
        <v>0</v>
      </c>
      <c r="T95" s="179">
        <f t="shared" si="15"/>
        <v>0</v>
      </c>
      <c r="U95" s="179">
        <f t="shared" si="15"/>
        <v>0</v>
      </c>
      <c r="V95" s="179"/>
      <c r="W95" s="179"/>
      <c r="X95" s="179">
        <f>X93</f>
        <v>0</v>
      </c>
      <c r="Y95" s="181">
        <f>Y93</f>
        <v>0</v>
      </c>
      <c r="Z95" s="24"/>
      <c r="AA95" s="75"/>
      <c r="AB95" s="75"/>
      <c r="AC95" s="75"/>
      <c r="AD95" s="75"/>
      <c r="AE95" s="75"/>
      <c r="AF95" s="24"/>
      <c r="AG95" s="24"/>
      <c r="AH95" s="24"/>
      <c r="AI95" s="24"/>
      <c r="AJ95" s="24"/>
      <c r="AK95" s="24"/>
      <c r="AL95" s="24"/>
      <c r="AM95" s="24"/>
      <c r="AN95" s="24"/>
      <c r="AO95" s="24"/>
      <c r="AP95" s="24"/>
      <c r="AQ95" s="24"/>
      <c r="AR95" s="24"/>
      <c r="AS95" s="24"/>
      <c r="AT95" s="24"/>
      <c r="AU95" s="24"/>
      <c r="AV95" s="24"/>
      <c r="AW95" s="24"/>
      <c r="AX95" s="24"/>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6"/>
    </row>
    <row r="96" spans="1:95" s="69" customFormat="1" ht="15.75" customHeight="1" x14ac:dyDescent="0.2">
      <c r="A96" s="128" t="s">
        <v>51</v>
      </c>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30"/>
      <c r="Z96" s="24"/>
      <c r="AA96" s="75"/>
      <c r="AB96" s="75"/>
      <c r="AC96" s="75"/>
      <c r="AD96" s="75"/>
      <c r="AE96" s="75"/>
      <c r="AF96" s="24"/>
      <c r="AG96" s="24"/>
      <c r="AH96" s="24"/>
      <c r="AI96" s="24"/>
      <c r="AJ96" s="24"/>
      <c r="AK96" s="24"/>
      <c r="AL96" s="24"/>
      <c r="AM96" s="24"/>
      <c r="AN96" s="24"/>
      <c r="AO96" s="24"/>
      <c r="AP96" s="24"/>
      <c r="AQ96" s="24"/>
      <c r="AR96" s="24"/>
      <c r="AS96" s="24"/>
      <c r="AT96" s="24"/>
      <c r="AU96" s="24"/>
      <c r="AV96" s="24"/>
      <c r="AW96" s="24"/>
      <c r="AX96" s="24"/>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8"/>
    </row>
    <row r="97" spans="1:95" s="69" customFormat="1" ht="12.75" x14ac:dyDescent="0.2">
      <c r="A97" s="96">
        <v>1</v>
      </c>
      <c r="B97" s="17"/>
      <c r="C97" s="17"/>
      <c r="D97" s="17"/>
      <c r="E97" s="17"/>
      <c r="F97" s="17"/>
      <c r="G97" s="41"/>
      <c r="H97" s="232"/>
      <c r="I97" s="232"/>
      <c r="J97" s="36"/>
      <c r="K97" s="36"/>
      <c r="L97" s="36"/>
      <c r="M97" s="36"/>
      <c r="N97" s="36"/>
      <c r="O97" s="36"/>
      <c r="P97" s="200"/>
      <c r="Q97" s="200"/>
      <c r="R97" s="192"/>
      <c r="S97" s="192"/>
      <c r="T97" s="192"/>
      <c r="U97" s="192"/>
      <c r="V97" s="192"/>
      <c r="W97" s="192"/>
      <c r="X97" s="192"/>
      <c r="Y97" s="201"/>
      <c r="Z97" s="24"/>
      <c r="AA97" s="75"/>
      <c r="AB97" s="75"/>
      <c r="AC97" s="75"/>
      <c r="AD97" s="75"/>
      <c r="AE97" s="75"/>
      <c r="AF97" s="24"/>
      <c r="AG97" s="24"/>
      <c r="AH97" s="24"/>
      <c r="AI97" s="24"/>
      <c r="AJ97" s="24"/>
      <c r="AK97" s="24"/>
      <c r="AL97" s="24"/>
      <c r="AM97" s="24"/>
      <c r="AN97" s="24"/>
      <c r="AO97" s="24"/>
      <c r="AP97" s="24"/>
      <c r="AQ97" s="24"/>
      <c r="AR97" s="24"/>
      <c r="AS97" s="24"/>
      <c r="AT97" s="24"/>
      <c r="AU97" s="24"/>
      <c r="AV97" s="24"/>
      <c r="AW97" s="24"/>
      <c r="AX97" s="24"/>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8"/>
    </row>
    <row r="98" spans="1:95" s="69" customFormat="1" ht="13.5" thickBot="1" x14ac:dyDescent="0.25">
      <c r="A98" s="99">
        <v>2</v>
      </c>
      <c r="B98" s="18"/>
      <c r="C98" s="18"/>
      <c r="D98" s="18"/>
      <c r="E98" s="18"/>
      <c r="F98" s="18"/>
      <c r="G98" s="43"/>
      <c r="H98" s="233"/>
      <c r="I98" s="233"/>
      <c r="J98" s="42"/>
      <c r="K98" s="42"/>
      <c r="L98" s="42"/>
      <c r="M98" s="42"/>
      <c r="N98" s="42"/>
      <c r="O98" s="42"/>
      <c r="P98" s="182"/>
      <c r="Q98" s="182"/>
      <c r="R98" s="197"/>
      <c r="S98" s="197"/>
      <c r="T98" s="197"/>
      <c r="U98" s="197"/>
      <c r="V98" s="197"/>
      <c r="W98" s="197"/>
      <c r="X98" s="197"/>
      <c r="Y98" s="198"/>
      <c r="Z98" s="24"/>
      <c r="AA98" s="75"/>
      <c r="AB98" s="75"/>
      <c r="AC98" s="75"/>
      <c r="AD98" s="75"/>
      <c r="AE98" s="75"/>
      <c r="AF98" s="24"/>
      <c r="AG98" s="24"/>
      <c r="AH98" s="24"/>
      <c r="AI98" s="24"/>
      <c r="AJ98" s="24"/>
      <c r="AK98" s="24"/>
      <c r="AL98" s="24"/>
      <c r="AM98" s="24"/>
      <c r="AN98" s="24"/>
      <c r="AO98" s="24"/>
      <c r="AP98" s="24"/>
      <c r="AQ98" s="24"/>
      <c r="AR98" s="24"/>
      <c r="AS98" s="24"/>
      <c r="AT98" s="24"/>
      <c r="AU98" s="24"/>
      <c r="AV98" s="24"/>
      <c r="AW98" s="24"/>
      <c r="AX98" s="24"/>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8"/>
    </row>
    <row r="99" spans="1:95" s="67" customFormat="1" ht="17.25" customHeight="1" thickBot="1" x14ac:dyDescent="0.25">
      <c r="A99" s="115" t="s">
        <v>91</v>
      </c>
      <c r="B99" s="116"/>
      <c r="C99" s="116"/>
      <c r="D99" s="116"/>
      <c r="E99" s="116"/>
      <c r="F99" s="116"/>
      <c r="G99" s="116"/>
      <c r="H99" s="116"/>
      <c r="I99" s="116"/>
      <c r="J99" s="116"/>
      <c r="K99" s="116"/>
      <c r="L99" s="116"/>
      <c r="M99" s="116"/>
      <c r="N99" s="116"/>
      <c r="O99" s="117"/>
      <c r="P99" s="179">
        <v>0</v>
      </c>
      <c r="Q99" s="179">
        <v>0</v>
      </c>
      <c r="R99" s="179">
        <v>0</v>
      </c>
      <c r="S99" s="179">
        <v>0</v>
      </c>
      <c r="T99" s="179">
        <v>0</v>
      </c>
      <c r="U99" s="179">
        <v>0</v>
      </c>
      <c r="V99" s="179"/>
      <c r="W99" s="179"/>
      <c r="X99" s="179">
        <v>0</v>
      </c>
      <c r="Y99" s="181">
        <v>0</v>
      </c>
      <c r="Z99" s="24"/>
      <c r="AA99" s="75"/>
      <c r="AB99" s="75"/>
      <c r="AC99" s="75"/>
      <c r="AD99" s="75"/>
      <c r="AE99" s="75"/>
      <c r="AF99" s="24"/>
      <c r="AG99" s="24"/>
      <c r="AH99" s="24"/>
      <c r="AI99" s="24"/>
      <c r="AJ99" s="24"/>
      <c r="AK99" s="24"/>
      <c r="AL99" s="24"/>
      <c r="AM99" s="24"/>
      <c r="AN99" s="24"/>
      <c r="AO99" s="24"/>
      <c r="AP99" s="24"/>
      <c r="AQ99" s="24"/>
      <c r="AR99" s="24"/>
      <c r="AS99" s="24"/>
      <c r="AT99" s="24"/>
      <c r="AU99" s="24"/>
      <c r="AV99" s="24"/>
      <c r="AW99" s="24"/>
      <c r="AX99" s="24"/>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6"/>
    </row>
    <row r="100" spans="1:95" s="69" customFormat="1" ht="15.75" customHeight="1" x14ac:dyDescent="0.2">
      <c r="A100" s="120" t="s">
        <v>52</v>
      </c>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2"/>
      <c r="Z100" s="24"/>
      <c r="AA100" s="75"/>
      <c r="AB100" s="75"/>
      <c r="AC100" s="75"/>
      <c r="AD100" s="75"/>
      <c r="AE100" s="75"/>
      <c r="AF100" s="24"/>
      <c r="AG100" s="24"/>
      <c r="AH100" s="24"/>
      <c r="AI100" s="24"/>
      <c r="AJ100" s="24"/>
      <c r="AK100" s="24"/>
      <c r="AL100" s="24"/>
      <c r="AM100" s="24"/>
      <c r="AN100" s="24"/>
      <c r="AO100" s="24"/>
      <c r="AP100" s="24"/>
      <c r="AQ100" s="24"/>
      <c r="AR100" s="24"/>
      <c r="AS100" s="24"/>
      <c r="AT100" s="24"/>
      <c r="AU100" s="24"/>
      <c r="AV100" s="24"/>
      <c r="AW100" s="24"/>
      <c r="AX100" s="24"/>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8"/>
    </row>
    <row r="101" spans="1:95" s="69" customFormat="1" ht="12.75" x14ac:dyDescent="0.2">
      <c r="A101" s="96">
        <v>1</v>
      </c>
      <c r="B101" s="36"/>
      <c r="C101" s="36"/>
      <c r="D101" s="36"/>
      <c r="E101" s="36"/>
      <c r="F101" s="36"/>
      <c r="G101" s="41"/>
      <c r="H101" s="232"/>
      <c r="I101" s="232"/>
      <c r="J101" s="36"/>
      <c r="K101" s="36"/>
      <c r="L101" s="36"/>
      <c r="M101" s="36"/>
      <c r="N101" s="36"/>
      <c r="O101" s="36"/>
      <c r="P101" s="200"/>
      <c r="Q101" s="200"/>
      <c r="R101" s="192"/>
      <c r="S101" s="192"/>
      <c r="T101" s="192"/>
      <c r="U101" s="192"/>
      <c r="V101" s="192"/>
      <c r="W101" s="192"/>
      <c r="X101" s="192"/>
      <c r="Y101" s="201"/>
      <c r="Z101" s="24"/>
      <c r="AA101" s="75"/>
      <c r="AB101" s="75"/>
      <c r="AC101" s="75"/>
      <c r="AD101" s="75"/>
      <c r="AE101" s="75"/>
      <c r="AF101" s="24"/>
      <c r="AG101" s="24"/>
      <c r="AH101" s="24"/>
      <c r="AI101" s="24"/>
      <c r="AJ101" s="24"/>
      <c r="AK101" s="24"/>
      <c r="AL101" s="24"/>
      <c r="AM101" s="24"/>
      <c r="AN101" s="24"/>
      <c r="AO101" s="24"/>
      <c r="AP101" s="24"/>
      <c r="AQ101" s="24"/>
      <c r="AR101" s="24"/>
      <c r="AS101" s="24"/>
      <c r="AT101" s="24"/>
      <c r="AU101" s="24"/>
      <c r="AV101" s="24"/>
      <c r="AW101" s="24"/>
      <c r="AX101" s="24"/>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8"/>
    </row>
    <row r="102" spans="1:95" s="69" customFormat="1" ht="13.5" thickBot="1" x14ac:dyDescent="0.25">
      <c r="A102" s="99">
        <v>2</v>
      </c>
      <c r="B102" s="42"/>
      <c r="C102" s="42"/>
      <c r="D102" s="42"/>
      <c r="E102" s="42"/>
      <c r="F102" s="42"/>
      <c r="G102" s="43"/>
      <c r="H102" s="233"/>
      <c r="I102" s="233"/>
      <c r="J102" s="42"/>
      <c r="K102" s="42"/>
      <c r="L102" s="42"/>
      <c r="M102" s="42"/>
      <c r="N102" s="42"/>
      <c r="O102" s="42"/>
      <c r="P102" s="182"/>
      <c r="Q102" s="182"/>
      <c r="R102" s="197"/>
      <c r="S102" s="197"/>
      <c r="T102" s="197"/>
      <c r="U102" s="197"/>
      <c r="V102" s="197"/>
      <c r="W102" s="197"/>
      <c r="X102" s="197"/>
      <c r="Y102" s="198"/>
      <c r="Z102" s="24"/>
      <c r="AA102" s="75"/>
      <c r="AB102" s="75"/>
      <c r="AC102" s="75"/>
      <c r="AD102" s="75"/>
      <c r="AE102" s="75"/>
      <c r="AF102" s="24"/>
      <c r="AG102" s="24"/>
      <c r="AH102" s="24"/>
      <c r="AI102" s="24"/>
      <c r="AJ102" s="24"/>
      <c r="AK102" s="24"/>
      <c r="AL102" s="24"/>
      <c r="AM102" s="24"/>
      <c r="AN102" s="24"/>
      <c r="AO102" s="24"/>
      <c r="AP102" s="24"/>
      <c r="AQ102" s="24"/>
      <c r="AR102" s="24"/>
      <c r="AS102" s="24"/>
      <c r="AT102" s="24"/>
      <c r="AU102" s="24"/>
      <c r="AV102" s="24"/>
      <c r="AW102" s="24"/>
      <c r="AX102" s="24"/>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8"/>
    </row>
    <row r="103" spans="1:95" s="67" customFormat="1" ht="17.25" customHeight="1" thickBot="1" x14ac:dyDescent="0.25">
      <c r="A103" s="115" t="s">
        <v>92</v>
      </c>
      <c r="B103" s="116"/>
      <c r="C103" s="116"/>
      <c r="D103" s="116"/>
      <c r="E103" s="116"/>
      <c r="F103" s="116"/>
      <c r="G103" s="116"/>
      <c r="H103" s="116"/>
      <c r="I103" s="116"/>
      <c r="J103" s="116"/>
      <c r="K103" s="116"/>
      <c r="L103" s="116"/>
      <c r="M103" s="116"/>
      <c r="N103" s="116"/>
      <c r="O103" s="117"/>
      <c r="P103" s="179">
        <v>0</v>
      </c>
      <c r="Q103" s="179">
        <v>0</v>
      </c>
      <c r="R103" s="179">
        <v>0</v>
      </c>
      <c r="S103" s="179">
        <v>0</v>
      </c>
      <c r="T103" s="179">
        <v>0</v>
      </c>
      <c r="U103" s="179">
        <v>0</v>
      </c>
      <c r="V103" s="179"/>
      <c r="W103" s="179"/>
      <c r="X103" s="179">
        <v>0</v>
      </c>
      <c r="Y103" s="181">
        <v>0</v>
      </c>
      <c r="Z103" s="24"/>
      <c r="AA103" s="75"/>
      <c r="AB103" s="75"/>
      <c r="AC103" s="75"/>
      <c r="AD103" s="75"/>
      <c r="AE103" s="75"/>
      <c r="AF103" s="24"/>
      <c r="AG103" s="24"/>
      <c r="AH103" s="24"/>
      <c r="AI103" s="24"/>
      <c r="AJ103" s="24"/>
      <c r="AK103" s="24"/>
      <c r="AL103" s="24"/>
      <c r="AM103" s="24"/>
      <c r="AN103" s="24"/>
      <c r="AO103" s="24"/>
      <c r="AP103" s="24"/>
      <c r="AQ103" s="24"/>
      <c r="AR103" s="24"/>
      <c r="AS103" s="24"/>
      <c r="AT103" s="24"/>
      <c r="AU103" s="24"/>
      <c r="AV103" s="24"/>
      <c r="AW103" s="24"/>
      <c r="AX103" s="24"/>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6"/>
    </row>
    <row r="104" spans="1:95" s="69" customFormat="1" ht="15.75" customHeight="1" x14ac:dyDescent="0.2">
      <c r="A104" s="120" t="s">
        <v>53</v>
      </c>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2"/>
      <c r="Z104" s="24"/>
      <c r="AA104" s="75"/>
      <c r="AB104" s="75"/>
      <c r="AC104" s="75"/>
      <c r="AD104" s="75"/>
      <c r="AE104" s="75"/>
      <c r="AF104" s="24"/>
      <c r="AG104" s="24"/>
      <c r="AH104" s="24"/>
      <c r="AI104" s="24"/>
      <c r="AJ104" s="24"/>
      <c r="AK104" s="24"/>
      <c r="AL104" s="24"/>
      <c r="AM104" s="24"/>
      <c r="AN104" s="24"/>
      <c r="AO104" s="24"/>
      <c r="AP104" s="24"/>
      <c r="AQ104" s="24"/>
      <c r="AR104" s="24"/>
      <c r="AS104" s="24"/>
      <c r="AT104" s="24"/>
      <c r="AU104" s="24"/>
      <c r="AV104" s="24"/>
      <c r="AW104" s="24"/>
      <c r="AX104" s="24"/>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8"/>
    </row>
    <row r="105" spans="1:95" s="69" customFormat="1" ht="12.75" x14ac:dyDescent="0.2">
      <c r="A105" s="96">
        <v>1</v>
      </c>
      <c r="B105" s="36"/>
      <c r="C105" s="36"/>
      <c r="D105" s="36"/>
      <c r="E105" s="36"/>
      <c r="F105" s="36"/>
      <c r="G105" s="41"/>
      <c r="H105" s="232"/>
      <c r="I105" s="232"/>
      <c r="J105" s="36"/>
      <c r="K105" s="36"/>
      <c r="L105" s="36"/>
      <c r="M105" s="36"/>
      <c r="N105" s="36"/>
      <c r="O105" s="36"/>
      <c r="P105" s="200"/>
      <c r="Q105" s="200"/>
      <c r="R105" s="192"/>
      <c r="S105" s="192"/>
      <c r="T105" s="192"/>
      <c r="U105" s="192"/>
      <c r="V105" s="192"/>
      <c r="W105" s="192"/>
      <c r="X105" s="192"/>
      <c r="Y105" s="201"/>
      <c r="Z105" s="24"/>
      <c r="AA105" s="75"/>
      <c r="AB105" s="75"/>
      <c r="AC105" s="75"/>
      <c r="AD105" s="75"/>
      <c r="AE105" s="75"/>
      <c r="AF105" s="24"/>
      <c r="AG105" s="24"/>
      <c r="AH105" s="24"/>
      <c r="AI105" s="24"/>
      <c r="AJ105" s="24"/>
      <c r="AK105" s="24"/>
      <c r="AL105" s="24"/>
      <c r="AM105" s="24"/>
      <c r="AN105" s="24"/>
      <c r="AO105" s="24"/>
      <c r="AP105" s="24"/>
      <c r="AQ105" s="24"/>
      <c r="AR105" s="24"/>
      <c r="AS105" s="24"/>
      <c r="AT105" s="24"/>
      <c r="AU105" s="24"/>
      <c r="AV105" s="24"/>
      <c r="AW105" s="24"/>
      <c r="AX105" s="24"/>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8"/>
    </row>
    <row r="106" spans="1:95" s="69" customFormat="1" ht="12.75" x14ac:dyDescent="0.2">
      <c r="A106" s="96">
        <v>2</v>
      </c>
      <c r="B106" s="36"/>
      <c r="C106" s="36"/>
      <c r="D106" s="36"/>
      <c r="E106" s="36"/>
      <c r="F106" s="36"/>
      <c r="G106" s="41"/>
      <c r="H106" s="232"/>
      <c r="I106" s="232"/>
      <c r="J106" s="36"/>
      <c r="K106" s="36"/>
      <c r="L106" s="36"/>
      <c r="M106" s="36"/>
      <c r="N106" s="36"/>
      <c r="O106" s="36"/>
      <c r="P106" s="200"/>
      <c r="Q106" s="200"/>
      <c r="R106" s="192"/>
      <c r="S106" s="192"/>
      <c r="T106" s="192"/>
      <c r="U106" s="192"/>
      <c r="V106" s="192"/>
      <c r="W106" s="192"/>
      <c r="X106" s="192"/>
      <c r="Y106" s="201"/>
      <c r="Z106" s="24"/>
      <c r="AA106" s="75"/>
      <c r="AB106" s="75"/>
      <c r="AC106" s="75"/>
      <c r="AD106" s="75"/>
      <c r="AE106" s="75"/>
      <c r="AF106" s="24"/>
      <c r="AG106" s="24"/>
      <c r="AH106" s="24"/>
      <c r="AI106" s="24"/>
      <c r="AJ106" s="24"/>
      <c r="AK106" s="24"/>
      <c r="AL106" s="24"/>
      <c r="AM106" s="24"/>
      <c r="AN106" s="24"/>
      <c r="AO106" s="24"/>
      <c r="AP106" s="24"/>
      <c r="AQ106" s="24"/>
      <c r="AR106" s="24"/>
      <c r="AS106" s="24"/>
      <c r="AT106" s="24"/>
      <c r="AU106" s="24"/>
      <c r="AV106" s="24"/>
      <c r="AW106" s="24"/>
      <c r="AX106" s="24"/>
      <c r="AY106" s="65"/>
      <c r="AZ106" s="65"/>
      <c r="BA106" s="65"/>
      <c r="BB106" s="65"/>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8"/>
    </row>
    <row r="107" spans="1:95" s="69" customFormat="1" ht="13.5" thickBot="1" x14ac:dyDescent="0.25">
      <c r="A107" s="99">
        <v>3</v>
      </c>
      <c r="B107" s="46"/>
      <c r="C107" s="46"/>
      <c r="D107" s="46"/>
      <c r="E107" s="42"/>
      <c r="F107" s="42"/>
      <c r="G107" s="47"/>
      <c r="H107" s="230"/>
      <c r="I107" s="230"/>
      <c r="J107" s="46"/>
      <c r="K107" s="42"/>
      <c r="L107" s="42"/>
      <c r="M107" s="42"/>
      <c r="N107" s="42"/>
      <c r="O107" s="46"/>
      <c r="P107" s="182"/>
      <c r="Q107" s="182"/>
      <c r="R107" s="197"/>
      <c r="S107" s="195"/>
      <c r="T107" s="197"/>
      <c r="U107" s="197"/>
      <c r="V107" s="197"/>
      <c r="W107" s="197"/>
      <c r="X107" s="197"/>
      <c r="Y107" s="198"/>
      <c r="Z107" s="24"/>
      <c r="AA107" s="75"/>
      <c r="AB107" s="75"/>
      <c r="AC107" s="75"/>
      <c r="AD107" s="75"/>
      <c r="AE107" s="75"/>
      <c r="AF107" s="24"/>
      <c r="AG107" s="24"/>
      <c r="AH107" s="24"/>
      <c r="AI107" s="24"/>
      <c r="AJ107" s="24"/>
      <c r="AK107" s="24"/>
      <c r="AL107" s="24"/>
      <c r="AM107" s="24"/>
      <c r="AN107" s="24"/>
      <c r="AO107" s="24"/>
      <c r="AP107" s="24"/>
      <c r="AQ107" s="24"/>
      <c r="AR107" s="24"/>
      <c r="AS107" s="24"/>
      <c r="AT107" s="24"/>
      <c r="AU107" s="24"/>
      <c r="AV107" s="24"/>
      <c r="AW107" s="24"/>
      <c r="AX107" s="24"/>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8"/>
    </row>
    <row r="108" spans="1:95" s="67" customFormat="1" ht="17.25" customHeight="1" thickBot="1" x14ac:dyDescent="0.25">
      <c r="A108" s="115" t="s">
        <v>93</v>
      </c>
      <c r="B108" s="116"/>
      <c r="C108" s="116"/>
      <c r="D108" s="116"/>
      <c r="E108" s="116"/>
      <c r="F108" s="116"/>
      <c r="G108" s="116"/>
      <c r="H108" s="116"/>
      <c r="I108" s="116"/>
      <c r="J108" s="116"/>
      <c r="K108" s="116"/>
      <c r="L108" s="116"/>
      <c r="M108" s="116"/>
      <c r="N108" s="116"/>
      <c r="O108" s="117"/>
      <c r="P108" s="179">
        <f t="shared" ref="P108:U108" si="16">P105</f>
        <v>0</v>
      </c>
      <c r="Q108" s="179">
        <f t="shared" si="16"/>
        <v>0</v>
      </c>
      <c r="R108" s="179">
        <f t="shared" si="16"/>
        <v>0</v>
      </c>
      <c r="S108" s="179">
        <f t="shared" si="16"/>
        <v>0</v>
      </c>
      <c r="T108" s="179">
        <f t="shared" si="16"/>
        <v>0</v>
      </c>
      <c r="U108" s="179">
        <f t="shared" si="16"/>
        <v>0</v>
      </c>
      <c r="V108" s="179"/>
      <c r="W108" s="179"/>
      <c r="X108" s="179">
        <f>X105</f>
        <v>0</v>
      </c>
      <c r="Y108" s="181">
        <f>Y105</f>
        <v>0</v>
      </c>
      <c r="Z108" s="24"/>
      <c r="AA108" s="75"/>
      <c r="AB108" s="75"/>
      <c r="AC108" s="75"/>
      <c r="AD108" s="75"/>
      <c r="AE108" s="75"/>
      <c r="AF108" s="24"/>
      <c r="AG108" s="24"/>
      <c r="AH108" s="24"/>
      <c r="AI108" s="24"/>
      <c r="AJ108" s="24"/>
      <c r="AK108" s="24"/>
      <c r="AL108" s="24"/>
      <c r="AM108" s="24"/>
      <c r="AN108" s="24"/>
      <c r="AO108" s="24"/>
      <c r="AP108" s="24"/>
      <c r="AQ108" s="24"/>
      <c r="AR108" s="24"/>
      <c r="AS108" s="24"/>
      <c r="AT108" s="24"/>
      <c r="AU108" s="24"/>
      <c r="AV108" s="24"/>
      <c r="AW108" s="24"/>
      <c r="AX108" s="24"/>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6"/>
    </row>
    <row r="109" spans="1:95" s="69" customFormat="1" ht="15.75" customHeight="1" x14ac:dyDescent="0.2">
      <c r="A109" s="120" t="s">
        <v>54</v>
      </c>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2"/>
      <c r="Z109" s="24"/>
      <c r="AA109" s="75"/>
      <c r="AB109" s="75"/>
      <c r="AC109" s="75"/>
      <c r="AD109" s="75"/>
      <c r="AE109" s="75"/>
      <c r="AF109" s="24"/>
      <c r="AG109" s="24"/>
      <c r="AH109" s="24"/>
      <c r="AI109" s="24"/>
      <c r="AJ109" s="24"/>
      <c r="AK109" s="24"/>
      <c r="AL109" s="24"/>
      <c r="AM109" s="24"/>
      <c r="AN109" s="24"/>
      <c r="AO109" s="24"/>
      <c r="AP109" s="24"/>
      <c r="AQ109" s="24"/>
      <c r="AR109" s="24"/>
      <c r="AS109" s="24"/>
      <c r="AT109" s="24"/>
      <c r="AU109" s="24"/>
      <c r="AV109" s="24"/>
      <c r="AW109" s="24"/>
      <c r="AX109" s="24"/>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8"/>
    </row>
    <row r="110" spans="1:95" s="69" customFormat="1" ht="12.75" x14ac:dyDescent="0.2">
      <c r="A110" s="96">
        <v>1</v>
      </c>
      <c r="B110" s="36"/>
      <c r="C110" s="36"/>
      <c r="D110" s="36"/>
      <c r="E110" s="36"/>
      <c r="F110" s="36"/>
      <c r="G110" s="41"/>
      <c r="H110" s="232"/>
      <c r="I110" s="232"/>
      <c r="J110" s="36"/>
      <c r="K110" s="36"/>
      <c r="L110" s="36"/>
      <c r="M110" s="36"/>
      <c r="N110" s="36"/>
      <c r="O110" s="36"/>
      <c r="P110" s="200"/>
      <c r="Q110" s="200"/>
      <c r="R110" s="192"/>
      <c r="S110" s="192"/>
      <c r="T110" s="192"/>
      <c r="U110" s="192"/>
      <c r="V110" s="192"/>
      <c r="W110" s="192"/>
      <c r="X110" s="192"/>
      <c r="Y110" s="201"/>
      <c r="Z110" s="24"/>
      <c r="AA110" s="75"/>
      <c r="AB110" s="75"/>
      <c r="AC110" s="75"/>
      <c r="AD110" s="75"/>
      <c r="AE110" s="75"/>
      <c r="AF110" s="24"/>
      <c r="AG110" s="24"/>
      <c r="AH110" s="24"/>
      <c r="AI110" s="24"/>
      <c r="AJ110" s="24"/>
      <c r="AK110" s="24"/>
      <c r="AL110" s="24"/>
      <c r="AM110" s="24"/>
      <c r="AN110" s="24"/>
      <c r="AO110" s="24"/>
      <c r="AP110" s="24"/>
      <c r="AQ110" s="24"/>
      <c r="AR110" s="24"/>
      <c r="AS110" s="24"/>
      <c r="AT110" s="24"/>
      <c r="AU110" s="24"/>
      <c r="AV110" s="24"/>
      <c r="AW110" s="24"/>
      <c r="AX110" s="24"/>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8"/>
    </row>
    <row r="111" spans="1:95" s="69" customFormat="1" ht="12.75" x14ac:dyDescent="0.2">
      <c r="A111" s="96">
        <v>2</v>
      </c>
      <c r="B111" s="34"/>
      <c r="C111" s="34"/>
      <c r="D111" s="34"/>
      <c r="E111" s="36"/>
      <c r="F111" s="36"/>
      <c r="G111" s="35"/>
      <c r="H111" s="228"/>
      <c r="I111" s="228"/>
      <c r="J111" s="34"/>
      <c r="K111" s="36"/>
      <c r="L111" s="36"/>
      <c r="M111" s="36"/>
      <c r="N111" s="36"/>
      <c r="O111" s="34"/>
      <c r="P111" s="200"/>
      <c r="Q111" s="200"/>
      <c r="R111" s="192"/>
      <c r="S111" s="189"/>
      <c r="T111" s="192"/>
      <c r="U111" s="192"/>
      <c r="V111" s="192"/>
      <c r="W111" s="192"/>
      <c r="X111" s="192"/>
      <c r="Y111" s="201"/>
      <c r="Z111" s="24"/>
      <c r="AA111" s="75"/>
      <c r="AB111" s="75"/>
      <c r="AC111" s="75"/>
      <c r="AD111" s="75"/>
      <c r="AE111" s="75"/>
      <c r="AF111" s="24"/>
      <c r="AG111" s="24"/>
      <c r="AH111" s="24"/>
      <c r="AI111" s="24"/>
      <c r="AJ111" s="24"/>
      <c r="AK111" s="24"/>
      <c r="AL111" s="24"/>
      <c r="AM111" s="24"/>
      <c r="AN111" s="24"/>
      <c r="AO111" s="24"/>
      <c r="AP111" s="24"/>
      <c r="AQ111" s="24"/>
      <c r="AR111" s="24"/>
      <c r="AS111" s="24"/>
      <c r="AT111" s="24"/>
      <c r="AU111" s="24"/>
      <c r="AV111" s="24"/>
      <c r="AW111" s="24"/>
      <c r="AX111" s="24"/>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8"/>
    </row>
    <row r="112" spans="1:95" s="69" customFormat="1" ht="13.5" thickBot="1" x14ac:dyDescent="0.25">
      <c r="A112" s="99">
        <v>3</v>
      </c>
      <c r="B112" s="46"/>
      <c r="C112" s="46"/>
      <c r="D112" s="46"/>
      <c r="E112" s="42"/>
      <c r="F112" s="42"/>
      <c r="G112" s="47"/>
      <c r="H112" s="230"/>
      <c r="I112" s="230"/>
      <c r="J112" s="46"/>
      <c r="K112" s="42"/>
      <c r="L112" s="42"/>
      <c r="M112" s="42"/>
      <c r="N112" s="42"/>
      <c r="O112" s="46"/>
      <c r="P112" s="182"/>
      <c r="Q112" s="182"/>
      <c r="R112" s="197"/>
      <c r="S112" s="195"/>
      <c r="T112" s="197"/>
      <c r="U112" s="197"/>
      <c r="V112" s="197"/>
      <c r="W112" s="197"/>
      <c r="X112" s="197"/>
      <c r="Y112" s="198"/>
      <c r="Z112" s="24"/>
      <c r="AA112" s="75"/>
      <c r="AB112" s="75"/>
      <c r="AC112" s="75"/>
      <c r="AD112" s="75"/>
      <c r="AE112" s="75"/>
      <c r="AF112" s="24"/>
      <c r="AG112" s="24"/>
      <c r="AH112" s="24"/>
      <c r="AI112" s="24"/>
      <c r="AJ112" s="24"/>
      <c r="AK112" s="24"/>
      <c r="AL112" s="24"/>
      <c r="AM112" s="24"/>
      <c r="AN112" s="24"/>
      <c r="AO112" s="24"/>
      <c r="AP112" s="24"/>
      <c r="AQ112" s="24"/>
      <c r="AR112" s="24"/>
      <c r="AS112" s="24"/>
      <c r="AT112" s="24"/>
      <c r="AU112" s="24"/>
      <c r="AV112" s="24"/>
      <c r="AW112" s="24"/>
      <c r="AX112" s="24"/>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8"/>
    </row>
    <row r="113" spans="1:95" s="67" customFormat="1" ht="17.25" customHeight="1" thickBot="1" x14ac:dyDescent="0.25">
      <c r="A113" s="115" t="s">
        <v>94</v>
      </c>
      <c r="B113" s="116"/>
      <c r="C113" s="116"/>
      <c r="D113" s="116"/>
      <c r="E113" s="116"/>
      <c r="F113" s="116"/>
      <c r="G113" s="116"/>
      <c r="H113" s="116"/>
      <c r="I113" s="116"/>
      <c r="J113" s="116"/>
      <c r="K113" s="116"/>
      <c r="L113" s="116"/>
      <c r="M113" s="116"/>
      <c r="N113" s="116"/>
      <c r="O113" s="117"/>
      <c r="P113" s="179">
        <f t="shared" ref="P113:U113" si="17">P110</f>
        <v>0</v>
      </c>
      <c r="Q113" s="179">
        <f t="shared" si="17"/>
        <v>0</v>
      </c>
      <c r="R113" s="179">
        <f t="shared" si="17"/>
        <v>0</v>
      </c>
      <c r="S113" s="179">
        <f t="shared" si="17"/>
        <v>0</v>
      </c>
      <c r="T113" s="179">
        <f t="shared" si="17"/>
        <v>0</v>
      </c>
      <c r="U113" s="179">
        <f t="shared" si="17"/>
        <v>0</v>
      </c>
      <c r="V113" s="179"/>
      <c r="W113" s="179"/>
      <c r="X113" s="179">
        <f>X110</f>
        <v>0</v>
      </c>
      <c r="Y113" s="181">
        <f>Y110</f>
        <v>0</v>
      </c>
      <c r="Z113" s="24"/>
      <c r="AA113" s="75"/>
      <c r="AB113" s="75"/>
      <c r="AC113" s="75"/>
      <c r="AD113" s="75"/>
      <c r="AE113" s="75"/>
      <c r="AF113" s="24"/>
      <c r="AG113" s="24"/>
      <c r="AH113" s="24"/>
      <c r="AI113" s="24"/>
      <c r="AJ113" s="24"/>
      <c r="AK113" s="24"/>
      <c r="AL113" s="24"/>
      <c r="AM113" s="24"/>
      <c r="AN113" s="24"/>
      <c r="AO113" s="24"/>
      <c r="AP113" s="24"/>
      <c r="AQ113" s="24"/>
      <c r="AR113" s="24"/>
      <c r="AS113" s="24"/>
      <c r="AT113" s="24"/>
      <c r="AU113" s="24"/>
      <c r="AV113" s="24"/>
      <c r="AW113" s="24"/>
      <c r="AX113" s="24"/>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65"/>
      <c r="BU113" s="65"/>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6"/>
    </row>
    <row r="114" spans="1:95" s="69" customFormat="1" ht="15.75" customHeight="1" x14ac:dyDescent="0.2">
      <c r="A114" s="120" t="s">
        <v>55</v>
      </c>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2"/>
      <c r="Z114" s="24"/>
      <c r="AA114" s="75"/>
      <c r="AB114" s="75"/>
      <c r="AC114" s="75"/>
      <c r="AD114" s="75"/>
      <c r="AE114" s="75"/>
      <c r="AF114" s="24"/>
      <c r="AG114" s="24"/>
      <c r="AH114" s="24"/>
      <c r="AI114" s="24"/>
      <c r="AJ114" s="24"/>
      <c r="AK114" s="24"/>
      <c r="AL114" s="24"/>
      <c r="AM114" s="24"/>
      <c r="AN114" s="24"/>
      <c r="AO114" s="24"/>
      <c r="AP114" s="24"/>
      <c r="AQ114" s="24"/>
      <c r="AR114" s="24"/>
      <c r="AS114" s="24"/>
      <c r="AT114" s="24"/>
      <c r="AU114" s="24"/>
      <c r="AV114" s="24"/>
      <c r="AW114" s="24"/>
      <c r="AX114" s="24"/>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8"/>
    </row>
    <row r="115" spans="1:95" s="69" customFormat="1" ht="12.75" x14ac:dyDescent="0.2">
      <c r="A115" s="96">
        <v>1</v>
      </c>
      <c r="B115" s="36"/>
      <c r="C115" s="36"/>
      <c r="D115" s="36"/>
      <c r="E115" s="36"/>
      <c r="F115" s="36"/>
      <c r="G115" s="41"/>
      <c r="H115" s="232"/>
      <c r="I115" s="232"/>
      <c r="J115" s="36"/>
      <c r="K115" s="36"/>
      <c r="L115" s="36"/>
      <c r="M115" s="36"/>
      <c r="N115" s="36"/>
      <c r="O115" s="36"/>
      <c r="P115" s="200"/>
      <c r="Q115" s="200"/>
      <c r="R115" s="192"/>
      <c r="S115" s="192"/>
      <c r="T115" s="192"/>
      <c r="U115" s="192"/>
      <c r="V115" s="192"/>
      <c r="W115" s="192"/>
      <c r="X115" s="192"/>
      <c r="Y115" s="201"/>
      <c r="Z115" s="24"/>
      <c r="AA115" s="75"/>
      <c r="AB115" s="75"/>
      <c r="AC115" s="75"/>
      <c r="AD115" s="75"/>
      <c r="AE115" s="75"/>
      <c r="AF115" s="24"/>
      <c r="AG115" s="24"/>
      <c r="AH115" s="24"/>
      <c r="AI115" s="24"/>
      <c r="AJ115" s="24"/>
      <c r="AK115" s="24"/>
      <c r="AL115" s="24"/>
      <c r="AM115" s="24"/>
      <c r="AN115" s="24"/>
      <c r="AO115" s="24"/>
      <c r="AP115" s="24"/>
      <c r="AQ115" s="24"/>
      <c r="AR115" s="24"/>
      <c r="AS115" s="24"/>
      <c r="AT115" s="24"/>
      <c r="AU115" s="24"/>
      <c r="AV115" s="24"/>
      <c r="AW115" s="24"/>
      <c r="AX115" s="24"/>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8"/>
    </row>
    <row r="116" spans="1:95" s="69" customFormat="1" ht="13.5" thickBot="1" x14ac:dyDescent="0.25">
      <c r="A116" s="99">
        <v>2</v>
      </c>
      <c r="B116" s="46"/>
      <c r="C116" s="46"/>
      <c r="D116" s="46"/>
      <c r="E116" s="42"/>
      <c r="F116" s="42"/>
      <c r="G116" s="47"/>
      <c r="H116" s="230"/>
      <c r="I116" s="230"/>
      <c r="J116" s="46"/>
      <c r="K116" s="42"/>
      <c r="L116" s="42"/>
      <c r="M116" s="42"/>
      <c r="N116" s="42"/>
      <c r="O116" s="46"/>
      <c r="P116" s="182"/>
      <c r="Q116" s="182"/>
      <c r="R116" s="197"/>
      <c r="S116" s="195"/>
      <c r="T116" s="197"/>
      <c r="U116" s="197"/>
      <c r="V116" s="197"/>
      <c r="W116" s="197"/>
      <c r="X116" s="197"/>
      <c r="Y116" s="198"/>
      <c r="Z116" s="24"/>
      <c r="AA116" s="75"/>
      <c r="AB116" s="75"/>
      <c r="AC116" s="75"/>
      <c r="AD116" s="75"/>
      <c r="AE116" s="75"/>
      <c r="AF116" s="24"/>
      <c r="AG116" s="24"/>
      <c r="AH116" s="24"/>
      <c r="AI116" s="24"/>
      <c r="AJ116" s="24"/>
      <c r="AK116" s="24"/>
      <c r="AL116" s="24"/>
      <c r="AM116" s="24"/>
      <c r="AN116" s="24"/>
      <c r="AO116" s="24"/>
      <c r="AP116" s="24"/>
      <c r="AQ116" s="24"/>
      <c r="AR116" s="24"/>
      <c r="AS116" s="24"/>
      <c r="AT116" s="24"/>
      <c r="AU116" s="24"/>
      <c r="AV116" s="24"/>
      <c r="AW116" s="24"/>
      <c r="AX116" s="24"/>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8"/>
    </row>
    <row r="117" spans="1:95" s="67" customFormat="1" ht="17.25" customHeight="1" thickBot="1" x14ac:dyDescent="0.25">
      <c r="A117" s="115" t="s">
        <v>95</v>
      </c>
      <c r="B117" s="116"/>
      <c r="C117" s="116"/>
      <c r="D117" s="116"/>
      <c r="E117" s="116"/>
      <c r="F117" s="116"/>
      <c r="G117" s="116"/>
      <c r="H117" s="116"/>
      <c r="I117" s="116"/>
      <c r="J117" s="116"/>
      <c r="K117" s="116"/>
      <c r="L117" s="116"/>
      <c r="M117" s="116"/>
      <c r="N117" s="116"/>
      <c r="O117" s="117"/>
      <c r="P117" s="179">
        <v>0</v>
      </c>
      <c r="Q117" s="179">
        <v>0</v>
      </c>
      <c r="R117" s="179">
        <v>0</v>
      </c>
      <c r="S117" s="179">
        <v>0</v>
      </c>
      <c r="T117" s="179">
        <v>0</v>
      </c>
      <c r="U117" s="179">
        <v>0</v>
      </c>
      <c r="V117" s="179"/>
      <c r="W117" s="179"/>
      <c r="X117" s="179">
        <v>0</v>
      </c>
      <c r="Y117" s="181">
        <v>0</v>
      </c>
      <c r="Z117" s="24"/>
      <c r="AA117" s="75"/>
      <c r="AB117" s="75"/>
      <c r="AC117" s="75"/>
      <c r="AD117" s="75"/>
      <c r="AE117" s="75"/>
      <c r="AF117" s="24"/>
      <c r="AG117" s="24"/>
      <c r="AH117" s="24"/>
      <c r="AI117" s="24"/>
      <c r="AJ117" s="24"/>
      <c r="AK117" s="24"/>
      <c r="AL117" s="24"/>
      <c r="AM117" s="24"/>
      <c r="AN117" s="24"/>
      <c r="AO117" s="24"/>
      <c r="AP117" s="24"/>
      <c r="AQ117" s="24"/>
      <c r="AR117" s="24"/>
      <c r="AS117" s="24"/>
      <c r="AT117" s="24"/>
      <c r="AU117" s="24"/>
      <c r="AV117" s="24"/>
      <c r="AW117" s="24"/>
      <c r="AX117" s="24"/>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6"/>
    </row>
    <row r="118" spans="1:95" s="69" customFormat="1" ht="15.75" customHeight="1" x14ac:dyDescent="0.2">
      <c r="A118" s="120" t="s">
        <v>56</v>
      </c>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2"/>
      <c r="Z118" s="24"/>
      <c r="AA118" s="75"/>
      <c r="AB118" s="75"/>
      <c r="AC118" s="75"/>
      <c r="AD118" s="75"/>
      <c r="AE118" s="75"/>
      <c r="AF118" s="24"/>
      <c r="AG118" s="24"/>
      <c r="AH118" s="24"/>
      <c r="AI118" s="24"/>
      <c r="AJ118" s="24"/>
      <c r="AK118" s="24"/>
      <c r="AL118" s="24"/>
      <c r="AM118" s="24"/>
      <c r="AN118" s="24"/>
      <c r="AO118" s="24"/>
      <c r="AP118" s="24"/>
      <c r="AQ118" s="24"/>
      <c r="AR118" s="24"/>
      <c r="AS118" s="24"/>
      <c r="AT118" s="24"/>
      <c r="AU118" s="24"/>
      <c r="AV118" s="24"/>
      <c r="AW118" s="24"/>
      <c r="AX118" s="24"/>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8"/>
    </row>
    <row r="119" spans="1:95" s="69" customFormat="1" ht="12.75" x14ac:dyDescent="0.2">
      <c r="A119" s="96">
        <v>1</v>
      </c>
      <c r="B119" s="87"/>
      <c r="C119" s="87"/>
      <c r="D119" s="87"/>
      <c r="E119" s="87"/>
      <c r="F119" s="87"/>
      <c r="G119" s="37"/>
      <c r="H119" s="235"/>
      <c r="I119" s="235"/>
      <c r="J119" s="87"/>
      <c r="K119" s="87"/>
      <c r="L119" s="87"/>
      <c r="M119" s="87"/>
      <c r="N119" s="87"/>
      <c r="O119" s="87"/>
      <c r="P119" s="185"/>
      <c r="Q119" s="185"/>
      <c r="R119" s="191"/>
      <c r="S119" s="191"/>
      <c r="T119" s="191"/>
      <c r="U119" s="191"/>
      <c r="V119" s="191"/>
      <c r="W119" s="191"/>
      <c r="X119" s="191"/>
      <c r="Y119" s="207"/>
      <c r="Z119" s="24"/>
      <c r="AA119" s="75"/>
      <c r="AB119" s="75"/>
      <c r="AC119" s="75"/>
      <c r="AD119" s="75"/>
      <c r="AE119" s="75"/>
      <c r="AF119" s="24"/>
      <c r="AG119" s="24"/>
      <c r="AH119" s="24"/>
      <c r="AI119" s="24"/>
      <c r="AJ119" s="24"/>
      <c r="AK119" s="24"/>
      <c r="AL119" s="24"/>
      <c r="AM119" s="24"/>
      <c r="AN119" s="24"/>
      <c r="AO119" s="24"/>
      <c r="AP119" s="24"/>
      <c r="AQ119" s="24"/>
      <c r="AR119" s="24"/>
      <c r="AS119" s="24"/>
      <c r="AT119" s="24"/>
      <c r="AU119" s="24"/>
      <c r="AV119" s="24"/>
      <c r="AW119" s="24"/>
      <c r="AX119" s="24"/>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8"/>
    </row>
    <row r="120" spans="1:95" s="69" customFormat="1" ht="13.5" thickBot="1" x14ac:dyDescent="0.25">
      <c r="A120" s="99">
        <v>2</v>
      </c>
      <c r="B120" s="90"/>
      <c r="C120" s="90"/>
      <c r="D120" s="90"/>
      <c r="E120" s="88"/>
      <c r="F120" s="88"/>
      <c r="G120" s="91"/>
      <c r="H120" s="236"/>
      <c r="I120" s="236"/>
      <c r="J120" s="90"/>
      <c r="K120" s="88"/>
      <c r="L120" s="88"/>
      <c r="M120" s="88"/>
      <c r="N120" s="88"/>
      <c r="O120" s="90"/>
      <c r="P120" s="177"/>
      <c r="Q120" s="177"/>
      <c r="R120" s="203"/>
      <c r="S120" s="208"/>
      <c r="T120" s="203"/>
      <c r="U120" s="203"/>
      <c r="V120" s="203"/>
      <c r="W120" s="203"/>
      <c r="X120" s="203"/>
      <c r="Y120" s="209"/>
      <c r="Z120" s="24"/>
      <c r="AA120" s="75"/>
      <c r="AB120" s="75"/>
      <c r="AC120" s="75"/>
      <c r="AD120" s="75"/>
      <c r="AE120" s="75"/>
      <c r="AF120" s="24"/>
      <c r="AG120" s="24"/>
      <c r="AH120" s="24"/>
      <c r="AI120" s="24"/>
      <c r="AJ120" s="24"/>
      <c r="AK120" s="24"/>
      <c r="AL120" s="24"/>
      <c r="AM120" s="24"/>
      <c r="AN120" s="24"/>
      <c r="AO120" s="24"/>
      <c r="AP120" s="24"/>
      <c r="AQ120" s="24"/>
      <c r="AR120" s="24"/>
      <c r="AS120" s="24"/>
      <c r="AT120" s="24"/>
      <c r="AU120" s="24"/>
      <c r="AV120" s="24"/>
      <c r="AW120" s="24"/>
      <c r="AX120" s="24"/>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8"/>
    </row>
    <row r="121" spans="1:95" s="67" customFormat="1" ht="17.25" customHeight="1" thickBot="1" x14ac:dyDescent="0.25">
      <c r="A121" s="115" t="s">
        <v>96</v>
      </c>
      <c r="B121" s="116"/>
      <c r="C121" s="116"/>
      <c r="D121" s="116"/>
      <c r="E121" s="116"/>
      <c r="F121" s="116"/>
      <c r="G121" s="116"/>
      <c r="H121" s="116"/>
      <c r="I121" s="116"/>
      <c r="J121" s="116"/>
      <c r="K121" s="116"/>
      <c r="L121" s="116"/>
      <c r="M121" s="116"/>
      <c r="N121" s="116"/>
      <c r="O121" s="117"/>
      <c r="P121" s="179">
        <v>0</v>
      </c>
      <c r="Q121" s="179">
        <v>0</v>
      </c>
      <c r="R121" s="179">
        <v>0</v>
      </c>
      <c r="S121" s="179">
        <v>0</v>
      </c>
      <c r="T121" s="179">
        <v>0</v>
      </c>
      <c r="U121" s="179">
        <v>0</v>
      </c>
      <c r="V121" s="179"/>
      <c r="W121" s="179"/>
      <c r="X121" s="179">
        <v>0</v>
      </c>
      <c r="Y121" s="181">
        <v>0</v>
      </c>
      <c r="Z121" s="24"/>
      <c r="AA121" s="75"/>
      <c r="AB121" s="75"/>
      <c r="AC121" s="75"/>
      <c r="AD121" s="75"/>
      <c r="AE121" s="75"/>
      <c r="AF121" s="24"/>
      <c r="AG121" s="24"/>
      <c r="AH121" s="24"/>
      <c r="AI121" s="24"/>
      <c r="AJ121" s="24"/>
      <c r="AK121" s="24"/>
      <c r="AL121" s="24"/>
      <c r="AM121" s="24"/>
      <c r="AN121" s="24"/>
      <c r="AO121" s="24"/>
      <c r="AP121" s="24"/>
      <c r="AQ121" s="24"/>
      <c r="AR121" s="24"/>
      <c r="AS121" s="24"/>
      <c r="AT121" s="24"/>
      <c r="AU121" s="24"/>
      <c r="AV121" s="24"/>
      <c r="AW121" s="24"/>
      <c r="AX121" s="24"/>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6"/>
    </row>
    <row r="122" spans="1:95" s="69" customFormat="1" ht="15.75" customHeight="1" x14ac:dyDescent="0.2">
      <c r="A122" s="120" t="s">
        <v>57</v>
      </c>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2"/>
      <c r="Z122" s="24"/>
      <c r="AA122" s="75"/>
      <c r="AB122" s="75"/>
      <c r="AC122" s="75"/>
      <c r="AD122" s="75"/>
      <c r="AE122" s="75"/>
      <c r="AF122" s="24"/>
      <c r="AG122" s="24"/>
      <c r="AH122" s="24"/>
      <c r="AI122" s="24"/>
      <c r="AJ122" s="24"/>
      <c r="AK122" s="24"/>
      <c r="AL122" s="24"/>
      <c r="AM122" s="24"/>
      <c r="AN122" s="24"/>
      <c r="AO122" s="24"/>
      <c r="AP122" s="24"/>
      <c r="AQ122" s="24"/>
      <c r="AR122" s="24"/>
      <c r="AS122" s="24"/>
      <c r="AT122" s="24"/>
      <c r="AU122" s="24"/>
      <c r="AV122" s="24"/>
      <c r="AW122" s="24"/>
      <c r="AX122" s="24"/>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8"/>
    </row>
    <row r="123" spans="1:95" s="69" customFormat="1" ht="12.75" x14ac:dyDescent="0.2">
      <c r="A123" s="96">
        <v>1</v>
      </c>
      <c r="B123" s="36"/>
      <c r="C123" s="36"/>
      <c r="D123" s="36"/>
      <c r="E123" s="36"/>
      <c r="F123" s="36"/>
      <c r="G123" s="41"/>
      <c r="H123" s="232"/>
      <c r="I123" s="232"/>
      <c r="J123" s="36"/>
      <c r="K123" s="36"/>
      <c r="L123" s="36"/>
      <c r="M123" s="36"/>
      <c r="N123" s="36"/>
      <c r="O123" s="36"/>
      <c r="P123" s="200"/>
      <c r="Q123" s="200"/>
      <c r="R123" s="192"/>
      <c r="S123" s="192"/>
      <c r="T123" s="192"/>
      <c r="U123" s="192"/>
      <c r="V123" s="192"/>
      <c r="W123" s="192"/>
      <c r="X123" s="192"/>
      <c r="Y123" s="201"/>
      <c r="Z123" s="24"/>
      <c r="AA123" s="75"/>
      <c r="AB123" s="75"/>
      <c r="AC123" s="75"/>
      <c r="AD123" s="75"/>
      <c r="AE123" s="75"/>
      <c r="AF123" s="24"/>
      <c r="AG123" s="24"/>
      <c r="AH123" s="24"/>
      <c r="AI123" s="24"/>
      <c r="AJ123" s="24"/>
      <c r="AK123" s="24"/>
      <c r="AL123" s="24"/>
      <c r="AM123" s="24"/>
      <c r="AN123" s="24"/>
      <c r="AO123" s="24"/>
      <c r="AP123" s="24"/>
      <c r="AQ123" s="24"/>
      <c r="AR123" s="24"/>
      <c r="AS123" s="24"/>
      <c r="AT123" s="24"/>
      <c r="AU123" s="24"/>
      <c r="AV123" s="24"/>
      <c r="AW123" s="24"/>
      <c r="AX123" s="24"/>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8"/>
    </row>
    <row r="124" spans="1:95" s="69" customFormat="1" ht="13.5" thickBot="1" x14ac:dyDescent="0.25">
      <c r="A124" s="102">
        <v>2</v>
      </c>
      <c r="B124" s="46"/>
      <c r="C124" s="46"/>
      <c r="D124" s="46"/>
      <c r="E124" s="42"/>
      <c r="F124" s="42"/>
      <c r="G124" s="47"/>
      <c r="H124" s="230"/>
      <c r="I124" s="230"/>
      <c r="J124" s="46"/>
      <c r="K124" s="42"/>
      <c r="L124" s="42"/>
      <c r="M124" s="42"/>
      <c r="N124" s="42"/>
      <c r="O124" s="46"/>
      <c r="P124" s="182"/>
      <c r="Q124" s="182"/>
      <c r="R124" s="197"/>
      <c r="S124" s="195"/>
      <c r="T124" s="197"/>
      <c r="U124" s="197"/>
      <c r="V124" s="197"/>
      <c r="W124" s="197"/>
      <c r="X124" s="197"/>
      <c r="Y124" s="198"/>
      <c r="Z124" s="24"/>
      <c r="AA124" s="75"/>
      <c r="AB124" s="75"/>
      <c r="AC124" s="75"/>
      <c r="AD124" s="75"/>
      <c r="AE124" s="75"/>
      <c r="AF124" s="24"/>
      <c r="AG124" s="24"/>
      <c r="AH124" s="24"/>
      <c r="AI124" s="24"/>
      <c r="AJ124" s="24"/>
      <c r="AK124" s="24"/>
      <c r="AL124" s="24"/>
      <c r="AM124" s="24"/>
      <c r="AN124" s="24"/>
      <c r="AO124" s="24"/>
      <c r="AP124" s="24"/>
      <c r="AQ124" s="24"/>
      <c r="AR124" s="24"/>
      <c r="AS124" s="24"/>
      <c r="AT124" s="24"/>
      <c r="AU124" s="24"/>
      <c r="AV124" s="24"/>
      <c r="AW124" s="24"/>
      <c r="AX124" s="24"/>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8"/>
    </row>
    <row r="125" spans="1:95" s="67" customFormat="1" ht="17.25" customHeight="1" thickBot="1" x14ac:dyDescent="0.25">
      <c r="A125" s="115" t="s">
        <v>97</v>
      </c>
      <c r="B125" s="116"/>
      <c r="C125" s="116"/>
      <c r="D125" s="116"/>
      <c r="E125" s="116"/>
      <c r="F125" s="116"/>
      <c r="G125" s="116"/>
      <c r="H125" s="116"/>
      <c r="I125" s="116"/>
      <c r="J125" s="116"/>
      <c r="K125" s="116"/>
      <c r="L125" s="116"/>
      <c r="M125" s="116"/>
      <c r="N125" s="116"/>
      <c r="O125" s="117"/>
      <c r="P125" s="179">
        <v>0</v>
      </c>
      <c r="Q125" s="179">
        <v>0</v>
      </c>
      <c r="R125" s="210">
        <v>0</v>
      </c>
      <c r="S125" s="210">
        <v>0</v>
      </c>
      <c r="T125" s="210">
        <v>0</v>
      </c>
      <c r="U125" s="210">
        <v>0</v>
      </c>
      <c r="V125" s="179"/>
      <c r="W125" s="179"/>
      <c r="X125" s="179">
        <v>0</v>
      </c>
      <c r="Y125" s="181">
        <v>0</v>
      </c>
      <c r="Z125" s="24"/>
      <c r="AA125" s="75"/>
      <c r="AB125" s="75"/>
      <c r="AC125" s="75"/>
      <c r="AD125" s="75"/>
      <c r="AE125" s="75"/>
      <c r="AF125" s="24"/>
      <c r="AG125" s="24"/>
      <c r="AH125" s="24"/>
      <c r="AI125" s="24"/>
      <c r="AJ125" s="24"/>
      <c r="AK125" s="24"/>
      <c r="AL125" s="24"/>
      <c r="AM125" s="24"/>
      <c r="AN125" s="24"/>
      <c r="AO125" s="24"/>
      <c r="AP125" s="24"/>
      <c r="AQ125" s="24"/>
      <c r="AR125" s="24"/>
      <c r="AS125" s="24"/>
      <c r="AT125" s="24"/>
      <c r="AU125" s="24"/>
      <c r="AV125" s="24"/>
      <c r="AW125" s="24"/>
      <c r="AX125" s="24"/>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6"/>
    </row>
    <row r="126" spans="1:95" s="69" customFormat="1" ht="15.75" customHeight="1" x14ac:dyDescent="0.2">
      <c r="A126" s="120" t="s">
        <v>58</v>
      </c>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2"/>
      <c r="Z126" s="24"/>
      <c r="AA126" s="75"/>
      <c r="AB126" s="75"/>
      <c r="AC126" s="75"/>
      <c r="AD126" s="75"/>
      <c r="AE126" s="75"/>
      <c r="AF126" s="24"/>
      <c r="AG126" s="24"/>
      <c r="AH126" s="24"/>
      <c r="AI126" s="24"/>
      <c r="AJ126" s="24"/>
      <c r="AK126" s="24"/>
      <c r="AL126" s="24"/>
      <c r="AM126" s="24"/>
      <c r="AN126" s="24"/>
      <c r="AO126" s="24"/>
      <c r="AP126" s="24"/>
      <c r="AQ126" s="24"/>
      <c r="AR126" s="24"/>
      <c r="AS126" s="24"/>
      <c r="AT126" s="24"/>
      <c r="AU126" s="24"/>
      <c r="AV126" s="24"/>
      <c r="AW126" s="24"/>
      <c r="AX126" s="24"/>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8"/>
    </row>
    <row r="127" spans="1:95" s="70" customFormat="1" ht="90" thickBot="1" x14ac:dyDescent="0.25">
      <c r="A127" s="94">
        <v>1</v>
      </c>
      <c r="B127" s="16" t="s">
        <v>145</v>
      </c>
      <c r="C127" s="16">
        <v>116370</v>
      </c>
      <c r="D127" s="16" t="s">
        <v>342</v>
      </c>
      <c r="E127" s="30" t="s">
        <v>170</v>
      </c>
      <c r="F127" s="22" t="s">
        <v>171</v>
      </c>
      <c r="G127" s="15" t="s">
        <v>172</v>
      </c>
      <c r="H127" s="225">
        <v>42370</v>
      </c>
      <c r="I127" s="225">
        <v>43465</v>
      </c>
      <c r="J127" s="22" t="s">
        <v>111</v>
      </c>
      <c r="K127" s="16" t="s">
        <v>173</v>
      </c>
      <c r="L127" s="16" t="s">
        <v>174</v>
      </c>
      <c r="M127" s="16" t="s">
        <v>175</v>
      </c>
      <c r="N127" s="22" t="s">
        <v>176</v>
      </c>
      <c r="O127" s="22">
        <v>121</v>
      </c>
      <c r="P127" s="177">
        <v>2097177.87</v>
      </c>
      <c r="Q127" s="177">
        <v>378975.24</v>
      </c>
      <c r="R127" s="177">
        <v>0</v>
      </c>
      <c r="S127" s="177">
        <v>0</v>
      </c>
      <c r="T127" s="177">
        <v>0</v>
      </c>
      <c r="U127" s="177">
        <f>P127+Q127+R127+S127+T127</f>
        <v>2476153.1100000003</v>
      </c>
      <c r="V127" s="177" t="s">
        <v>301</v>
      </c>
      <c r="W127" s="211">
        <v>2</v>
      </c>
      <c r="X127" s="177">
        <f>1979977.81+117200.06</f>
        <v>2097177.87</v>
      </c>
      <c r="Y127" s="183">
        <f>357796.34+21178.9</f>
        <v>378975.24000000005</v>
      </c>
      <c r="Z127" s="24"/>
      <c r="AA127" s="75"/>
      <c r="AB127" s="75"/>
      <c r="AC127" s="75"/>
      <c r="AD127" s="75"/>
      <c r="AE127" s="75"/>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row>
    <row r="128" spans="1:95" s="67" customFormat="1" ht="17.25" customHeight="1" thickBot="1" x14ac:dyDescent="0.25">
      <c r="A128" s="118" t="s">
        <v>98</v>
      </c>
      <c r="B128" s="119"/>
      <c r="C128" s="119"/>
      <c r="D128" s="119"/>
      <c r="E128" s="119"/>
      <c r="F128" s="119"/>
      <c r="G128" s="119"/>
      <c r="H128" s="231"/>
      <c r="I128" s="231"/>
      <c r="J128" s="89"/>
      <c r="K128" s="89"/>
      <c r="L128" s="89"/>
      <c r="M128" s="89"/>
      <c r="N128" s="89"/>
      <c r="O128" s="89"/>
      <c r="P128" s="179">
        <f t="shared" ref="P128:U128" si="18">P127</f>
        <v>2097177.87</v>
      </c>
      <c r="Q128" s="179">
        <f t="shared" si="18"/>
        <v>378975.24</v>
      </c>
      <c r="R128" s="179">
        <f t="shared" si="18"/>
        <v>0</v>
      </c>
      <c r="S128" s="179">
        <f t="shared" si="18"/>
        <v>0</v>
      </c>
      <c r="T128" s="179">
        <f t="shared" si="18"/>
        <v>0</v>
      </c>
      <c r="U128" s="179">
        <f t="shared" si="18"/>
        <v>2476153.1100000003</v>
      </c>
      <c r="V128" s="179"/>
      <c r="W128" s="179"/>
      <c r="X128" s="179">
        <f>X127</f>
        <v>2097177.87</v>
      </c>
      <c r="Y128" s="181">
        <f>Y127</f>
        <v>378975.24000000005</v>
      </c>
      <c r="Z128" s="24"/>
      <c r="AA128" s="75"/>
      <c r="AB128" s="75"/>
      <c r="AC128" s="75"/>
      <c r="AD128" s="75"/>
      <c r="AE128" s="75"/>
      <c r="AF128" s="24"/>
      <c r="AG128" s="24"/>
      <c r="AH128" s="24"/>
      <c r="AI128" s="24"/>
      <c r="AJ128" s="24"/>
      <c r="AK128" s="24"/>
      <c r="AL128" s="24"/>
      <c r="AM128" s="24"/>
      <c r="AN128" s="24"/>
      <c r="AO128" s="24"/>
      <c r="AP128" s="24"/>
      <c r="AQ128" s="24"/>
      <c r="AR128" s="24"/>
      <c r="AS128" s="24"/>
      <c r="AT128" s="24"/>
      <c r="AU128" s="24"/>
      <c r="AV128" s="24"/>
      <c r="AW128" s="24"/>
      <c r="AX128" s="24"/>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6"/>
    </row>
    <row r="129" spans="1:95" s="69" customFormat="1" ht="15.75" customHeight="1" x14ac:dyDescent="0.2">
      <c r="A129" s="128" t="s">
        <v>59</v>
      </c>
      <c r="B129" s="129"/>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30"/>
      <c r="Z129" s="24"/>
      <c r="AA129" s="75"/>
      <c r="AB129" s="75"/>
      <c r="AC129" s="75"/>
      <c r="AD129" s="75"/>
      <c r="AE129" s="75"/>
      <c r="AF129" s="24"/>
      <c r="AG129" s="24"/>
      <c r="AH129" s="24"/>
      <c r="AI129" s="24"/>
      <c r="AJ129" s="24"/>
      <c r="AK129" s="24"/>
      <c r="AL129" s="24"/>
      <c r="AM129" s="24"/>
      <c r="AN129" s="24"/>
      <c r="AO129" s="24"/>
      <c r="AP129" s="24"/>
      <c r="AQ129" s="24"/>
      <c r="AR129" s="24"/>
      <c r="AS129" s="24"/>
      <c r="AT129" s="24"/>
      <c r="AU129" s="24"/>
      <c r="AV129" s="24"/>
      <c r="AW129" s="24"/>
      <c r="AX129" s="24"/>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8"/>
    </row>
    <row r="130" spans="1:95" s="69" customFormat="1" ht="12.75" x14ac:dyDescent="0.2">
      <c r="A130" s="96">
        <v>1</v>
      </c>
      <c r="B130" s="36"/>
      <c r="C130" s="36"/>
      <c r="D130" s="36"/>
      <c r="E130" s="36"/>
      <c r="F130" s="36"/>
      <c r="G130" s="41"/>
      <c r="H130" s="232"/>
      <c r="I130" s="232"/>
      <c r="J130" s="36"/>
      <c r="K130" s="36"/>
      <c r="L130" s="36"/>
      <c r="M130" s="36"/>
      <c r="N130" s="36"/>
      <c r="O130" s="36"/>
      <c r="P130" s="200"/>
      <c r="Q130" s="200"/>
      <c r="R130" s="192"/>
      <c r="S130" s="192"/>
      <c r="T130" s="192"/>
      <c r="U130" s="192"/>
      <c r="V130" s="192"/>
      <c r="W130" s="192"/>
      <c r="X130" s="192"/>
      <c r="Y130" s="201"/>
      <c r="Z130" s="24"/>
      <c r="AA130" s="75"/>
      <c r="AB130" s="75"/>
      <c r="AC130" s="75"/>
      <c r="AD130" s="75"/>
      <c r="AE130" s="75"/>
      <c r="AF130" s="24"/>
      <c r="AG130" s="24"/>
      <c r="AH130" s="24"/>
      <c r="AI130" s="24"/>
      <c r="AJ130" s="24"/>
      <c r="AK130" s="24"/>
      <c r="AL130" s="24"/>
      <c r="AM130" s="24"/>
      <c r="AN130" s="24"/>
      <c r="AO130" s="24"/>
      <c r="AP130" s="24"/>
      <c r="AQ130" s="24"/>
      <c r="AR130" s="24"/>
      <c r="AS130" s="24"/>
      <c r="AT130" s="24"/>
      <c r="AU130" s="24"/>
      <c r="AV130" s="24"/>
      <c r="AW130" s="24"/>
      <c r="AX130" s="24"/>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8"/>
    </row>
    <row r="131" spans="1:95" s="69" customFormat="1" ht="13.5" thickBot="1" x14ac:dyDescent="0.25">
      <c r="A131" s="99">
        <v>2</v>
      </c>
      <c r="B131" s="46"/>
      <c r="C131" s="46"/>
      <c r="D131" s="46"/>
      <c r="E131" s="42"/>
      <c r="F131" s="42"/>
      <c r="G131" s="47"/>
      <c r="H131" s="230"/>
      <c r="I131" s="230"/>
      <c r="J131" s="46"/>
      <c r="K131" s="42"/>
      <c r="L131" s="42"/>
      <c r="M131" s="42"/>
      <c r="N131" s="42"/>
      <c r="O131" s="46"/>
      <c r="P131" s="182"/>
      <c r="Q131" s="182"/>
      <c r="R131" s="197"/>
      <c r="S131" s="195"/>
      <c r="T131" s="197"/>
      <c r="U131" s="197"/>
      <c r="V131" s="197"/>
      <c r="W131" s="197"/>
      <c r="X131" s="197"/>
      <c r="Y131" s="198"/>
      <c r="Z131" s="24"/>
      <c r="AA131" s="75"/>
      <c r="AB131" s="75"/>
      <c r="AC131" s="75"/>
      <c r="AD131" s="75"/>
      <c r="AE131" s="75"/>
      <c r="AF131" s="24"/>
      <c r="AG131" s="24"/>
      <c r="AH131" s="24"/>
      <c r="AI131" s="24"/>
      <c r="AJ131" s="24"/>
      <c r="AK131" s="24"/>
      <c r="AL131" s="24"/>
      <c r="AM131" s="24"/>
      <c r="AN131" s="24"/>
      <c r="AO131" s="24"/>
      <c r="AP131" s="24"/>
      <c r="AQ131" s="24"/>
      <c r="AR131" s="24"/>
      <c r="AS131" s="24"/>
      <c r="AT131" s="24"/>
      <c r="AU131" s="24"/>
      <c r="AV131" s="24"/>
      <c r="AW131" s="24"/>
      <c r="AX131" s="24"/>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8"/>
    </row>
    <row r="132" spans="1:95" s="67" customFormat="1" ht="17.25" customHeight="1" thickBot="1" x14ac:dyDescent="0.25">
      <c r="A132" s="115" t="s">
        <v>99</v>
      </c>
      <c r="B132" s="116"/>
      <c r="C132" s="116"/>
      <c r="D132" s="116"/>
      <c r="E132" s="116"/>
      <c r="F132" s="116"/>
      <c r="G132" s="116"/>
      <c r="H132" s="116"/>
      <c r="I132" s="116"/>
      <c r="J132" s="116"/>
      <c r="K132" s="116"/>
      <c r="L132" s="116"/>
      <c r="M132" s="116"/>
      <c r="N132" s="116"/>
      <c r="O132" s="117"/>
      <c r="P132" s="179">
        <v>0</v>
      </c>
      <c r="Q132" s="179">
        <v>0</v>
      </c>
      <c r="R132" s="179">
        <v>0</v>
      </c>
      <c r="S132" s="179">
        <v>0</v>
      </c>
      <c r="T132" s="179">
        <v>0</v>
      </c>
      <c r="U132" s="179">
        <v>0</v>
      </c>
      <c r="V132" s="179"/>
      <c r="W132" s="179"/>
      <c r="X132" s="179">
        <v>0</v>
      </c>
      <c r="Y132" s="181">
        <v>0</v>
      </c>
      <c r="Z132" s="24"/>
      <c r="AA132" s="75"/>
      <c r="AB132" s="75"/>
      <c r="AC132" s="75"/>
      <c r="AD132" s="75"/>
      <c r="AE132" s="75"/>
      <c r="AF132" s="24"/>
      <c r="AG132" s="24"/>
      <c r="AH132" s="24"/>
      <c r="AI132" s="24"/>
      <c r="AJ132" s="24"/>
      <c r="AK132" s="24"/>
      <c r="AL132" s="24"/>
      <c r="AM132" s="24"/>
      <c r="AN132" s="24"/>
      <c r="AO132" s="24"/>
      <c r="AP132" s="24"/>
      <c r="AQ132" s="24"/>
      <c r="AR132" s="24"/>
      <c r="AS132" s="24"/>
      <c r="AT132" s="24"/>
      <c r="AU132" s="24"/>
      <c r="AV132" s="24"/>
      <c r="AW132" s="24"/>
      <c r="AX132" s="24"/>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c r="CI132" s="65"/>
      <c r="CJ132" s="65"/>
      <c r="CK132" s="65"/>
      <c r="CL132" s="65"/>
      <c r="CM132" s="65"/>
      <c r="CN132" s="65"/>
      <c r="CO132" s="65"/>
      <c r="CP132" s="65"/>
      <c r="CQ132" s="66"/>
    </row>
    <row r="133" spans="1:95" s="69" customFormat="1" ht="15.75" customHeight="1" x14ac:dyDescent="0.2">
      <c r="A133" s="120" t="s">
        <v>60</v>
      </c>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2"/>
      <c r="Z133" s="24"/>
      <c r="AA133" s="75"/>
      <c r="AB133" s="75"/>
      <c r="AC133" s="75"/>
      <c r="AD133" s="75"/>
      <c r="AE133" s="75"/>
      <c r="AF133" s="24"/>
      <c r="AG133" s="24"/>
      <c r="AH133" s="24"/>
      <c r="AI133" s="24"/>
      <c r="AJ133" s="24"/>
      <c r="AK133" s="24"/>
      <c r="AL133" s="24"/>
      <c r="AM133" s="24"/>
      <c r="AN133" s="24"/>
      <c r="AO133" s="24"/>
      <c r="AP133" s="24"/>
      <c r="AQ133" s="24"/>
      <c r="AR133" s="24"/>
      <c r="AS133" s="24"/>
      <c r="AT133" s="24"/>
      <c r="AU133" s="24"/>
      <c r="AV133" s="24"/>
      <c r="AW133" s="24"/>
      <c r="AX133" s="24"/>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c r="CI133" s="65"/>
      <c r="CJ133" s="65"/>
      <c r="CK133" s="65"/>
      <c r="CL133" s="65"/>
      <c r="CM133" s="65"/>
      <c r="CN133" s="65"/>
      <c r="CO133" s="65"/>
      <c r="CP133" s="65"/>
      <c r="CQ133" s="68"/>
    </row>
    <row r="134" spans="1:95" s="69" customFormat="1" ht="12.75" x14ac:dyDescent="0.2">
      <c r="A134" s="96">
        <v>1</v>
      </c>
      <c r="B134" s="36"/>
      <c r="C134" s="36"/>
      <c r="D134" s="36"/>
      <c r="E134" s="36"/>
      <c r="F134" s="36"/>
      <c r="G134" s="41"/>
      <c r="H134" s="232"/>
      <c r="I134" s="232"/>
      <c r="J134" s="36"/>
      <c r="K134" s="36"/>
      <c r="L134" s="36"/>
      <c r="M134" s="36"/>
      <c r="N134" s="36"/>
      <c r="O134" s="36"/>
      <c r="P134" s="200"/>
      <c r="Q134" s="200"/>
      <c r="R134" s="192"/>
      <c r="S134" s="192"/>
      <c r="T134" s="192"/>
      <c r="U134" s="192"/>
      <c r="V134" s="192"/>
      <c r="W134" s="192"/>
      <c r="X134" s="192"/>
      <c r="Y134" s="201"/>
      <c r="Z134" s="24"/>
      <c r="AA134" s="75"/>
      <c r="AB134" s="75"/>
      <c r="AC134" s="75"/>
      <c r="AD134" s="75"/>
      <c r="AE134" s="75"/>
      <c r="AF134" s="24"/>
      <c r="AG134" s="24"/>
      <c r="AH134" s="24"/>
      <c r="AI134" s="24"/>
      <c r="AJ134" s="24"/>
      <c r="AK134" s="24"/>
      <c r="AL134" s="24"/>
      <c r="AM134" s="24"/>
      <c r="AN134" s="24"/>
      <c r="AO134" s="24"/>
      <c r="AP134" s="24"/>
      <c r="AQ134" s="24"/>
      <c r="AR134" s="24"/>
      <c r="AS134" s="24"/>
      <c r="AT134" s="24"/>
      <c r="AU134" s="24"/>
      <c r="AV134" s="24"/>
      <c r="AW134" s="24"/>
      <c r="AX134" s="24"/>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8"/>
    </row>
    <row r="135" spans="1:95" s="69" customFormat="1" ht="13.5" thickBot="1" x14ac:dyDescent="0.25">
      <c r="A135" s="99">
        <v>2</v>
      </c>
      <c r="B135" s="46"/>
      <c r="C135" s="46"/>
      <c r="D135" s="46"/>
      <c r="E135" s="42"/>
      <c r="F135" s="42"/>
      <c r="G135" s="47"/>
      <c r="H135" s="230"/>
      <c r="I135" s="230"/>
      <c r="J135" s="46"/>
      <c r="K135" s="42"/>
      <c r="L135" s="42"/>
      <c r="M135" s="42"/>
      <c r="N135" s="42"/>
      <c r="O135" s="46"/>
      <c r="P135" s="182"/>
      <c r="Q135" s="182"/>
      <c r="R135" s="197"/>
      <c r="S135" s="195"/>
      <c r="T135" s="197"/>
      <c r="U135" s="197"/>
      <c r="V135" s="197"/>
      <c r="W135" s="197"/>
      <c r="X135" s="197"/>
      <c r="Y135" s="198"/>
      <c r="Z135" s="24"/>
      <c r="AA135" s="75"/>
      <c r="AB135" s="75"/>
      <c r="AC135" s="75"/>
      <c r="AD135" s="75"/>
      <c r="AE135" s="75"/>
      <c r="AF135" s="24"/>
      <c r="AG135" s="24"/>
      <c r="AH135" s="24"/>
      <c r="AI135" s="24"/>
      <c r="AJ135" s="24"/>
      <c r="AK135" s="24"/>
      <c r="AL135" s="24"/>
      <c r="AM135" s="24"/>
      <c r="AN135" s="24"/>
      <c r="AO135" s="24"/>
      <c r="AP135" s="24"/>
      <c r="AQ135" s="24"/>
      <c r="AR135" s="24"/>
      <c r="AS135" s="24"/>
      <c r="AT135" s="24"/>
      <c r="AU135" s="24"/>
      <c r="AV135" s="24"/>
      <c r="AW135" s="24"/>
      <c r="AX135" s="24"/>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8"/>
    </row>
    <row r="136" spans="1:95" s="67" customFormat="1" ht="17.25" customHeight="1" thickBot="1" x14ac:dyDescent="0.25">
      <c r="A136" s="115" t="s">
        <v>100</v>
      </c>
      <c r="B136" s="116"/>
      <c r="C136" s="116"/>
      <c r="D136" s="116"/>
      <c r="E136" s="116"/>
      <c r="F136" s="116"/>
      <c r="G136" s="116"/>
      <c r="H136" s="116"/>
      <c r="I136" s="116"/>
      <c r="J136" s="116"/>
      <c r="K136" s="116"/>
      <c r="L136" s="116"/>
      <c r="M136" s="116"/>
      <c r="N136" s="116"/>
      <c r="O136" s="117"/>
      <c r="P136" s="179">
        <v>0</v>
      </c>
      <c r="Q136" s="179">
        <v>0</v>
      </c>
      <c r="R136" s="179">
        <v>0</v>
      </c>
      <c r="S136" s="179">
        <v>0</v>
      </c>
      <c r="T136" s="179">
        <v>0</v>
      </c>
      <c r="U136" s="179">
        <v>0</v>
      </c>
      <c r="V136" s="179"/>
      <c r="W136" s="179"/>
      <c r="X136" s="179">
        <v>0</v>
      </c>
      <c r="Y136" s="181">
        <v>0</v>
      </c>
      <c r="Z136" s="24"/>
      <c r="AA136" s="75"/>
      <c r="AB136" s="75"/>
      <c r="AC136" s="75"/>
      <c r="AD136" s="75"/>
      <c r="AE136" s="75"/>
      <c r="AF136" s="24"/>
      <c r="AG136" s="24"/>
      <c r="AH136" s="24"/>
      <c r="AI136" s="24"/>
      <c r="AJ136" s="24"/>
      <c r="AK136" s="24"/>
      <c r="AL136" s="24"/>
      <c r="AM136" s="24"/>
      <c r="AN136" s="24"/>
      <c r="AO136" s="24"/>
      <c r="AP136" s="24"/>
      <c r="AQ136" s="24"/>
      <c r="AR136" s="24"/>
      <c r="AS136" s="24"/>
      <c r="AT136" s="24"/>
      <c r="AU136" s="24"/>
      <c r="AV136" s="24"/>
      <c r="AW136" s="24"/>
      <c r="AX136" s="24"/>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6"/>
    </row>
    <row r="137" spans="1:95" s="69" customFormat="1" ht="15.75" customHeight="1" x14ac:dyDescent="0.2">
      <c r="A137" s="120" t="s">
        <v>61</v>
      </c>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2"/>
      <c r="Z137" s="24"/>
      <c r="AA137" s="75"/>
      <c r="AB137" s="75"/>
      <c r="AC137" s="75"/>
      <c r="AD137" s="75"/>
      <c r="AE137" s="75"/>
      <c r="AF137" s="24"/>
      <c r="AG137" s="24"/>
      <c r="AH137" s="24"/>
      <c r="AI137" s="24"/>
      <c r="AJ137" s="24"/>
      <c r="AK137" s="24"/>
      <c r="AL137" s="24"/>
      <c r="AM137" s="24"/>
      <c r="AN137" s="24"/>
      <c r="AO137" s="24"/>
      <c r="AP137" s="24"/>
      <c r="AQ137" s="24"/>
      <c r="AR137" s="24"/>
      <c r="AS137" s="24"/>
      <c r="AT137" s="24"/>
      <c r="AU137" s="24"/>
      <c r="AV137" s="24"/>
      <c r="AW137" s="24"/>
      <c r="AX137" s="24"/>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c r="CO137" s="65"/>
      <c r="CP137" s="65"/>
      <c r="CQ137" s="68"/>
    </row>
    <row r="138" spans="1:95" s="69" customFormat="1" ht="12.75" x14ac:dyDescent="0.2">
      <c r="A138" s="96">
        <v>1</v>
      </c>
      <c r="B138" s="36"/>
      <c r="C138" s="36"/>
      <c r="D138" s="36"/>
      <c r="E138" s="36"/>
      <c r="F138" s="36"/>
      <c r="G138" s="41"/>
      <c r="H138" s="232"/>
      <c r="I138" s="232"/>
      <c r="J138" s="36"/>
      <c r="K138" s="36"/>
      <c r="L138" s="36"/>
      <c r="M138" s="36"/>
      <c r="N138" s="36"/>
      <c r="O138" s="36"/>
      <c r="P138" s="200"/>
      <c r="Q138" s="200"/>
      <c r="R138" s="192"/>
      <c r="S138" s="192"/>
      <c r="T138" s="192"/>
      <c r="U138" s="192"/>
      <c r="V138" s="192"/>
      <c r="W138" s="192"/>
      <c r="X138" s="192"/>
      <c r="Y138" s="201"/>
      <c r="Z138" s="24"/>
      <c r="AA138" s="75"/>
      <c r="AB138" s="75"/>
      <c r="AC138" s="75"/>
      <c r="AD138" s="75"/>
      <c r="AE138" s="75"/>
      <c r="AF138" s="24"/>
      <c r="AG138" s="24"/>
      <c r="AH138" s="24"/>
      <c r="AI138" s="24"/>
      <c r="AJ138" s="24"/>
      <c r="AK138" s="24"/>
      <c r="AL138" s="24"/>
      <c r="AM138" s="24"/>
      <c r="AN138" s="24"/>
      <c r="AO138" s="24"/>
      <c r="AP138" s="24"/>
      <c r="AQ138" s="24"/>
      <c r="AR138" s="24"/>
      <c r="AS138" s="24"/>
      <c r="AT138" s="24"/>
      <c r="AU138" s="24"/>
      <c r="AV138" s="24"/>
      <c r="AW138" s="24"/>
      <c r="AX138" s="24"/>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c r="CO138" s="65"/>
      <c r="CP138" s="65"/>
      <c r="CQ138" s="68"/>
    </row>
    <row r="139" spans="1:95" s="69" customFormat="1" ht="13.5" thickBot="1" x14ac:dyDescent="0.25">
      <c r="A139" s="99">
        <v>2</v>
      </c>
      <c r="B139" s="46"/>
      <c r="C139" s="46"/>
      <c r="D139" s="46"/>
      <c r="E139" s="42"/>
      <c r="F139" s="42"/>
      <c r="G139" s="47"/>
      <c r="H139" s="230"/>
      <c r="I139" s="230"/>
      <c r="J139" s="46"/>
      <c r="K139" s="42"/>
      <c r="L139" s="42"/>
      <c r="M139" s="42"/>
      <c r="N139" s="42"/>
      <c r="O139" s="46"/>
      <c r="P139" s="182"/>
      <c r="Q139" s="182"/>
      <c r="R139" s="197"/>
      <c r="S139" s="195"/>
      <c r="T139" s="197"/>
      <c r="U139" s="197"/>
      <c r="V139" s="197"/>
      <c r="W139" s="197"/>
      <c r="X139" s="197"/>
      <c r="Y139" s="198"/>
      <c r="Z139" s="24"/>
      <c r="AA139" s="75"/>
      <c r="AB139" s="75"/>
      <c r="AC139" s="75"/>
      <c r="AD139" s="75"/>
      <c r="AE139" s="75"/>
      <c r="AF139" s="24"/>
      <c r="AG139" s="24"/>
      <c r="AH139" s="24"/>
      <c r="AI139" s="24"/>
      <c r="AJ139" s="24"/>
      <c r="AK139" s="24"/>
      <c r="AL139" s="24"/>
      <c r="AM139" s="24"/>
      <c r="AN139" s="24"/>
      <c r="AO139" s="24"/>
      <c r="AP139" s="24"/>
      <c r="AQ139" s="24"/>
      <c r="AR139" s="24"/>
      <c r="AS139" s="24"/>
      <c r="AT139" s="24"/>
      <c r="AU139" s="24"/>
      <c r="AV139" s="24"/>
      <c r="AW139" s="24"/>
      <c r="AX139" s="24"/>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c r="CO139" s="65"/>
      <c r="CP139" s="65"/>
      <c r="CQ139" s="68"/>
    </row>
    <row r="140" spans="1:95" s="67" customFormat="1" ht="17.25" customHeight="1" thickBot="1" x14ac:dyDescent="0.25">
      <c r="A140" s="115" t="s">
        <v>101</v>
      </c>
      <c r="B140" s="116"/>
      <c r="C140" s="116"/>
      <c r="D140" s="116"/>
      <c r="E140" s="116"/>
      <c r="F140" s="116"/>
      <c r="G140" s="116"/>
      <c r="H140" s="116"/>
      <c r="I140" s="116"/>
      <c r="J140" s="116"/>
      <c r="K140" s="116"/>
      <c r="L140" s="116"/>
      <c r="M140" s="116"/>
      <c r="N140" s="116"/>
      <c r="O140" s="117"/>
      <c r="P140" s="179">
        <v>0</v>
      </c>
      <c r="Q140" s="179">
        <v>0</v>
      </c>
      <c r="R140" s="179">
        <v>0</v>
      </c>
      <c r="S140" s="179">
        <v>0</v>
      </c>
      <c r="T140" s="179">
        <v>0</v>
      </c>
      <c r="U140" s="179">
        <v>0</v>
      </c>
      <c r="V140" s="179"/>
      <c r="W140" s="179"/>
      <c r="X140" s="179">
        <v>0</v>
      </c>
      <c r="Y140" s="181">
        <v>0</v>
      </c>
      <c r="Z140" s="24"/>
      <c r="AA140" s="75"/>
      <c r="AB140" s="75"/>
      <c r="AC140" s="75"/>
      <c r="AD140" s="75"/>
      <c r="AE140" s="75"/>
      <c r="AF140" s="24"/>
      <c r="AG140" s="24"/>
      <c r="AH140" s="24"/>
      <c r="AI140" s="24"/>
      <c r="AJ140" s="24"/>
      <c r="AK140" s="24"/>
      <c r="AL140" s="24"/>
      <c r="AM140" s="24"/>
      <c r="AN140" s="24"/>
      <c r="AO140" s="24"/>
      <c r="AP140" s="24"/>
      <c r="AQ140" s="24"/>
      <c r="AR140" s="24"/>
      <c r="AS140" s="24"/>
      <c r="AT140" s="24"/>
      <c r="AU140" s="24"/>
      <c r="AV140" s="24"/>
      <c r="AW140" s="24"/>
      <c r="AX140" s="24"/>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c r="CO140" s="65"/>
      <c r="CP140" s="65"/>
      <c r="CQ140" s="66"/>
    </row>
    <row r="141" spans="1:95" s="69" customFormat="1" ht="15.75" customHeight="1" x14ac:dyDescent="0.2">
      <c r="A141" s="120" t="s">
        <v>62</v>
      </c>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2"/>
      <c r="Z141" s="24"/>
      <c r="AA141" s="75"/>
      <c r="AB141" s="75"/>
      <c r="AC141" s="75"/>
      <c r="AD141" s="75"/>
      <c r="AE141" s="75"/>
      <c r="AF141" s="24"/>
      <c r="AG141" s="24"/>
      <c r="AH141" s="24"/>
      <c r="AI141" s="24"/>
      <c r="AJ141" s="24"/>
      <c r="AK141" s="24"/>
      <c r="AL141" s="24"/>
      <c r="AM141" s="24"/>
      <c r="AN141" s="24"/>
      <c r="AO141" s="24"/>
      <c r="AP141" s="24"/>
      <c r="AQ141" s="24"/>
      <c r="AR141" s="24"/>
      <c r="AS141" s="24"/>
      <c r="AT141" s="24"/>
      <c r="AU141" s="24"/>
      <c r="AV141" s="24"/>
      <c r="AW141" s="24"/>
      <c r="AX141" s="24"/>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5"/>
      <c r="CF141" s="65"/>
      <c r="CG141" s="65"/>
      <c r="CH141" s="65"/>
      <c r="CI141" s="65"/>
      <c r="CJ141" s="65"/>
      <c r="CK141" s="65"/>
      <c r="CL141" s="65"/>
      <c r="CM141" s="65"/>
      <c r="CN141" s="65"/>
      <c r="CO141" s="65"/>
      <c r="CP141" s="65"/>
      <c r="CQ141" s="68"/>
    </row>
    <row r="142" spans="1:95" s="72" customFormat="1" ht="13.5" thickBot="1" x14ac:dyDescent="0.25">
      <c r="A142" s="99">
        <v>1</v>
      </c>
      <c r="B142" s="29"/>
      <c r="C142" s="29"/>
      <c r="D142" s="29"/>
      <c r="E142" s="30"/>
      <c r="F142" s="22"/>
      <c r="G142" s="48"/>
      <c r="H142" s="234"/>
      <c r="I142" s="234"/>
      <c r="J142" s="49"/>
      <c r="K142" s="42"/>
      <c r="L142" s="42"/>
      <c r="M142" s="42"/>
      <c r="N142" s="50"/>
      <c r="O142" s="50"/>
      <c r="P142" s="177"/>
      <c r="Q142" s="177"/>
      <c r="R142" s="203"/>
      <c r="S142" s="203"/>
      <c r="T142" s="203"/>
      <c r="U142" s="197"/>
      <c r="V142" s="197"/>
      <c r="W142" s="203"/>
      <c r="X142" s="203"/>
      <c r="Y142" s="204"/>
      <c r="Z142" s="24"/>
      <c r="AA142" s="75"/>
      <c r="AB142" s="75"/>
      <c r="AC142" s="75"/>
      <c r="AD142" s="75"/>
      <c r="AE142" s="75"/>
      <c r="AF142" s="24"/>
      <c r="AG142" s="24"/>
      <c r="AH142" s="24"/>
      <c r="AI142" s="24"/>
      <c r="AJ142" s="24"/>
      <c r="AK142" s="24"/>
      <c r="AL142" s="24"/>
      <c r="AM142" s="24"/>
      <c r="AN142" s="24"/>
      <c r="AO142" s="24"/>
      <c r="AP142" s="24"/>
      <c r="AQ142" s="24"/>
      <c r="AR142" s="24"/>
      <c r="AS142" s="24"/>
      <c r="AT142" s="24"/>
      <c r="AU142" s="24"/>
      <c r="AV142" s="24"/>
      <c r="AW142" s="24"/>
      <c r="AX142" s="24"/>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c r="BU142" s="65"/>
      <c r="BV142" s="65"/>
      <c r="BW142" s="65"/>
      <c r="BX142" s="65"/>
      <c r="BY142" s="65"/>
      <c r="BZ142" s="65"/>
      <c r="CA142" s="65"/>
      <c r="CB142" s="65"/>
      <c r="CC142" s="65"/>
      <c r="CD142" s="65"/>
      <c r="CE142" s="65"/>
      <c r="CF142" s="65"/>
      <c r="CG142" s="65"/>
      <c r="CH142" s="65"/>
      <c r="CI142" s="65"/>
      <c r="CJ142" s="65"/>
      <c r="CK142" s="65"/>
      <c r="CL142" s="65"/>
      <c r="CM142" s="65"/>
      <c r="CN142" s="65"/>
      <c r="CO142" s="65"/>
      <c r="CP142" s="65"/>
      <c r="CQ142" s="68"/>
    </row>
    <row r="143" spans="1:95" s="67" customFormat="1" ht="17.25" customHeight="1" thickBot="1" x14ac:dyDescent="0.25">
      <c r="A143" s="115" t="s">
        <v>102</v>
      </c>
      <c r="B143" s="116"/>
      <c r="C143" s="116"/>
      <c r="D143" s="116"/>
      <c r="E143" s="116"/>
      <c r="F143" s="116"/>
      <c r="G143" s="116"/>
      <c r="H143" s="116"/>
      <c r="I143" s="116"/>
      <c r="J143" s="116"/>
      <c r="K143" s="116"/>
      <c r="L143" s="116"/>
      <c r="M143" s="116"/>
      <c r="N143" s="116"/>
      <c r="O143" s="117"/>
      <c r="P143" s="179">
        <v>0</v>
      </c>
      <c r="Q143" s="179">
        <v>0</v>
      </c>
      <c r="R143" s="179">
        <v>0</v>
      </c>
      <c r="S143" s="179">
        <v>0</v>
      </c>
      <c r="T143" s="179">
        <v>0</v>
      </c>
      <c r="U143" s="179">
        <v>0</v>
      </c>
      <c r="V143" s="179"/>
      <c r="W143" s="179"/>
      <c r="X143" s="179">
        <v>0</v>
      </c>
      <c r="Y143" s="181">
        <v>0</v>
      </c>
      <c r="Z143" s="24"/>
      <c r="AA143" s="75"/>
      <c r="AB143" s="75"/>
      <c r="AC143" s="75"/>
      <c r="AD143" s="75"/>
      <c r="AE143" s="75"/>
      <c r="AF143" s="24"/>
      <c r="AG143" s="24"/>
      <c r="AH143" s="24"/>
      <c r="AI143" s="24"/>
      <c r="AJ143" s="24"/>
      <c r="AK143" s="24"/>
      <c r="AL143" s="24"/>
      <c r="AM143" s="24"/>
      <c r="AN143" s="24"/>
      <c r="AO143" s="24"/>
      <c r="AP143" s="24"/>
      <c r="AQ143" s="24"/>
      <c r="AR143" s="24"/>
      <c r="AS143" s="24"/>
      <c r="AT143" s="24"/>
      <c r="AU143" s="24"/>
      <c r="AV143" s="24"/>
      <c r="AW143" s="24"/>
      <c r="AX143" s="24"/>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65"/>
      <c r="BU143" s="65"/>
      <c r="BV143" s="65"/>
      <c r="BW143" s="65"/>
      <c r="BX143" s="65"/>
      <c r="BY143" s="65"/>
      <c r="BZ143" s="65"/>
      <c r="CA143" s="65"/>
      <c r="CB143" s="65"/>
      <c r="CC143" s="65"/>
      <c r="CD143" s="65"/>
      <c r="CE143" s="65"/>
      <c r="CF143" s="65"/>
      <c r="CG143" s="65"/>
      <c r="CH143" s="65"/>
      <c r="CI143" s="65"/>
      <c r="CJ143" s="65"/>
      <c r="CK143" s="65"/>
      <c r="CL143" s="65"/>
      <c r="CM143" s="65"/>
      <c r="CN143" s="65"/>
      <c r="CO143" s="65"/>
      <c r="CP143" s="65"/>
      <c r="CQ143" s="66"/>
    </row>
    <row r="144" spans="1:95" s="69" customFormat="1" ht="15.75" customHeight="1" x14ac:dyDescent="0.2">
      <c r="A144" s="120" t="s">
        <v>63</v>
      </c>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2"/>
      <c r="Z144" s="24"/>
      <c r="AA144" s="75"/>
      <c r="AB144" s="75"/>
      <c r="AC144" s="75"/>
      <c r="AD144" s="75"/>
      <c r="AE144" s="75"/>
      <c r="AF144" s="24"/>
      <c r="AG144" s="24"/>
      <c r="AH144" s="24"/>
      <c r="AI144" s="24"/>
      <c r="AJ144" s="24"/>
      <c r="AK144" s="24"/>
      <c r="AL144" s="24"/>
      <c r="AM144" s="24"/>
      <c r="AN144" s="24"/>
      <c r="AO144" s="24"/>
      <c r="AP144" s="24"/>
      <c r="AQ144" s="24"/>
      <c r="AR144" s="24"/>
      <c r="AS144" s="24"/>
      <c r="AT144" s="24"/>
      <c r="AU144" s="24"/>
      <c r="AV144" s="24"/>
      <c r="AW144" s="24"/>
      <c r="AX144" s="24"/>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c r="BU144" s="65"/>
      <c r="BV144" s="65"/>
      <c r="BW144" s="65"/>
      <c r="BX144" s="65"/>
      <c r="BY144" s="65"/>
      <c r="BZ144" s="65"/>
      <c r="CA144" s="65"/>
      <c r="CB144" s="65"/>
      <c r="CC144" s="65"/>
      <c r="CD144" s="65"/>
      <c r="CE144" s="65"/>
      <c r="CF144" s="65"/>
      <c r="CG144" s="65"/>
      <c r="CH144" s="65"/>
      <c r="CI144" s="65"/>
      <c r="CJ144" s="65"/>
      <c r="CK144" s="65"/>
      <c r="CL144" s="65"/>
      <c r="CM144" s="65"/>
      <c r="CN144" s="65"/>
      <c r="CO144" s="65"/>
      <c r="CP144" s="65"/>
      <c r="CQ144" s="68"/>
    </row>
    <row r="145" spans="1:95" s="69" customFormat="1" ht="12.75" x14ac:dyDescent="0.2">
      <c r="A145" s="96">
        <v>1</v>
      </c>
      <c r="B145" s="36"/>
      <c r="C145" s="36"/>
      <c r="D145" s="36"/>
      <c r="E145" s="36"/>
      <c r="F145" s="36"/>
      <c r="G145" s="41"/>
      <c r="H145" s="232"/>
      <c r="I145" s="232"/>
      <c r="J145" s="36"/>
      <c r="K145" s="36"/>
      <c r="L145" s="36"/>
      <c r="M145" s="36"/>
      <c r="N145" s="36"/>
      <c r="O145" s="36"/>
      <c r="P145" s="200"/>
      <c r="Q145" s="200"/>
      <c r="R145" s="192"/>
      <c r="S145" s="192"/>
      <c r="T145" s="192"/>
      <c r="U145" s="192"/>
      <c r="V145" s="192"/>
      <c r="W145" s="192"/>
      <c r="X145" s="192"/>
      <c r="Y145" s="201"/>
      <c r="Z145" s="24"/>
      <c r="AA145" s="75"/>
      <c r="AB145" s="75"/>
      <c r="AC145" s="75"/>
      <c r="AD145" s="75"/>
      <c r="AE145" s="75"/>
      <c r="AF145" s="24"/>
      <c r="AG145" s="24"/>
      <c r="AH145" s="24"/>
      <c r="AI145" s="24"/>
      <c r="AJ145" s="24"/>
      <c r="AK145" s="24"/>
      <c r="AL145" s="24"/>
      <c r="AM145" s="24"/>
      <c r="AN145" s="24"/>
      <c r="AO145" s="24"/>
      <c r="AP145" s="24"/>
      <c r="AQ145" s="24"/>
      <c r="AR145" s="24"/>
      <c r="AS145" s="24"/>
      <c r="AT145" s="24"/>
      <c r="AU145" s="24"/>
      <c r="AV145" s="24"/>
      <c r="AW145" s="24"/>
      <c r="AX145" s="24"/>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8"/>
    </row>
    <row r="146" spans="1:95" s="69" customFormat="1" ht="12.75" x14ac:dyDescent="0.2">
      <c r="A146" s="96">
        <v>2</v>
      </c>
      <c r="B146" s="34"/>
      <c r="C146" s="34"/>
      <c r="D146" s="34"/>
      <c r="E146" s="36"/>
      <c r="F146" s="36"/>
      <c r="G146" s="35"/>
      <c r="H146" s="228"/>
      <c r="I146" s="228"/>
      <c r="J146" s="34"/>
      <c r="K146" s="36"/>
      <c r="L146" s="36"/>
      <c r="M146" s="36"/>
      <c r="N146" s="36"/>
      <c r="O146" s="34"/>
      <c r="P146" s="200"/>
      <c r="Q146" s="200"/>
      <c r="R146" s="192"/>
      <c r="S146" s="189"/>
      <c r="T146" s="192"/>
      <c r="U146" s="192"/>
      <c r="V146" s="192"/>
      <c r="W146" s="192"/>
      <c r="X146" s="192"/>
      <c r="Y146" s="201"/>
      <c r="Z146" s="24"/>
      <c r="AA146" s="75"/>
      <c r="AB146" s="75"/>
      <c r="AC146" s="75"/>
      <c r="AD146" s="75"/>
      <c r="AE146" s="75"/>
      <c r="AF146" s="24"/>
      <c r="AG146" s="24"/>
      <c r="AH146" s="24"/>
      <c r="AI146" s="24"/>
      <c r="AJ146" s="24"/>
      <c r="AK146" s="24"/>
      <c r="AL146" s="24"/>
      <c r="AM146" s="24"/>
      <c r="AN146" s="24"/>
      <c r="AO146" s="24"/>
      <c r="AP146" s="24"/>
      <c r="AQ146" s="24"/>
      <c r="AR146" s="24"/>
      <c r="AS146" s="24"/>
      <c r="AT146" s="24"/>
      <c r="AU146" s="24"/>
      <c r="AV146" s="24"/>
      <c r="AW146" s="24"/>
      <c r="AX146" s="24"/>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8"/>
    </row>
    <row r="147" spans="1:95" s="69" customFormat="1" ht="13.5" thickBot="1" x14ac:dyDescent="0.25">
      <c r="A147" s="99">
        <v>3</v>
      </c>
      <c r="B147" s="46"/>
      <c r="C147" s="46"/>
      <c r="D147" s="46"/>
      <c r="E147" s="42"/>
      <c r="F147" s="42"/>
      <c r="G147" s="47"/>
      <c r="H147" s="230"/>
      <c r="I147" s="230"/>
      <c r="J147" s="46"/>
      <c r="K147" s="42"/>
      <c r="L147" s="42"/>
      <c r="M147" s="42"/>
      <c r="N147" s="42"/>
      <c r="O147" s="46"/>
      <c r="P147" s="182"/>
      <c r="Q147" s="182"/>
      <c r="R147" s="197"/>
      <c r="S147" s="195"/>
      <c r="T147" s="197"/>
      <c r="U147" s="197"/>
      <c r="V147" s="197"/>
      <c r="W147" s="197"/>
      <c r="X147" s="197"/>
      <c r="Y147" s="198"/>
      <c r="Z147" s="24"/>
      <c r="AA147" s="75"/>
      <c r="AB147" s="75"/>
      <c r="AC147" s="75"/>
      <c r="AD147" s="75"/>
      <c r="AE147" s="75"/>
      <c r="AF147" s="24"/>
      <c r="AG147" s="24"/>
      <c r="AH147" s="24"/>
      <c r="AI147" s="24"/>
      <c r="AJ147" s="24"/>
      <c r="AK147" s="24"/>
      <c r="AL147" s="24"/>
      <c r="AM147" s="24"/>
      <c r="AN147" s="24"/>
      <c r="AO147" s="24"/>
      <c r="AP147" s="24"/>
      <c r="AQ147" s="24"/>
      <c r="AR147" s="24"/>
      <c r="AS147" s="24"/>
      <c r="AT147" s="24"/>
      <c r="AU147" s="24"/>
      <c r="AV147" s="24"/>
      <c r="AW147" s="24"/>
      <c r="AX147" s="24"/>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8"/>
    </row>
    <row r="148" spans="1:95" s="67" customFormat="1" ht="17.25" customHeight="1" thickBot="1" x14ac:dyDescent="0.25">
      <c r="A148" s="115" t="s">
        <v>103</v>
      </c>
      <c r="B148" s="116"/>
      <c r="C148" s="116"/>
      <c r="D148" s="116"/>
      <c r="E148" s="116"/>
      <c r="F148" s="116"/>
      <c r="G148" s="116"/>
      <c r="H148" s="116"/>
      <c r="I148" s="116"/>
      <c r="J148" s="116"/>
      <c r="K148" s="116"/>
      <c r="L148" s="116"/>
      <c r="M148" s="116"/>
      <c r="N148" s="116"/>
      <c r="O148" s="117"/>
      <c r="P148" s="179">
        <f t="shared" ref="P148:U148" si="19">P145</f>
        <v>0</v>
      </c>
      <c r="Q148" s="179">
        <f t="shared" si="19"/>
        <v>0</v>
      </c>
      <c r="R148" s="179">
        <f t="shared" si="19"/>
        <v>0</v>
      </c>
      <c r="S148" s="179">
        <f t="shared" si="19"/>
        <v>0</v>
      </c>
      <c r="T148" s="179">
        <f t="shared" si="19"/>
        <v>0</v>
      </c>
      <c r="U148" s="179">
        <f t="shared" si="19"/>
        <v>0</v>
      </c>
      <c r="V148" s="179"/>
      <c r="W148" s="179"/>
      <c r="X148" s="179">
        <f>X146</f>
        <v>0</v>
      </c>
      <c r="Y148" s="181">
        <f>Y146</f>
        <v>0</v>
      </c>
      <c r="Z148" s="24"/>
      <c r="AA148" s="75"/>
      <c r="AB148" s="75"/>
      <c r="AC148" s="75"/>
      <c r="AD148" s="75"/>
      <c r="AE148" s="75"/>
      <c r="AF148" s="24"/>
      <c r="AG148" s="24"/>
      <c r="AH148" s="24"/>
      <c r="AI148" s="24"/>
      <c r="AJ148" s="24"/>
      <c r="AK148" s="24"/>
      <c r="AL148" s="24"/>
      <c r="AM148" s="24"/>
      <c r="AN148" s="24"/>
      <c r="AO148" s="24"/>
      <c r="AP148" s="24"/>
      <c r="AQ148" s="24"/>
      <c r="AR148" s="24"/>
      <c r="AS148" s="24"/>
      <c r="AT148" s="24"/>
      <c r="AU148" s="24"/>
      <c r="AV148" s="24"/>
      <c r="AW148" s="24"/>
      <c r="AX148" s="24"/>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6"/>
    </row>
    <row r="149" spans="1:95" s="69" customFormat="1" ht="15.75" customHeight="1" x14ac:dyDescent="0.2">
      <c r="A149" s="120" t="s">
        <v>64</v>
      </c>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2"/>
      <c r="Z149" s="24"/>
      <c r="AA149" s="75"/>
      <c r="AB149" s="75"/>
      <c r="AC149" s="75"/>
      <c r="AD149" s="75"/>
      <c r="AE149" s="75"/>
      <c r="AF149" s="24"/>
      <c r="AG149" s="24"/>
      <c r="AH149" s="24"/>
      <c r="AI149" s="24"/>
      <c r="AJ149" s="24"/>
      <c r="AK149" s="24"/>
      <c r="AL149" s="24"/>
      <c r="AM149" s="24"/>
      <c r="AN149" s="24"/>
      <c r="AO149" s="24"/>
      <c r="AP149" s="24"/>
      <c r="AQ149" s="24"/>
      <c r="AR149" s="24"/>
      <c r="AS149" s="24"/>
      <c r="AT149" s="24"/>
      <c r="AU149" s="24"/>
      <c r="AV149" s="24"/>
      <c r="AW149" s="24"/>
      <c r="AX149" s="24"/>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8"/>
    </row>
    <row r="150" spans="1:95" s="69" customFormat="1" ht="12.75" x14ac:dyDescent="0.2">
      <c r="A150" s="96">
        <v>1</v>
      </c>
      <c r="B150" s="36"/>
      <c r="C150" s="36"/>
      <c r="D150" s="36"/>
      <c r="E150" s="36"/>
      <c r="F150" s="36"/>
      <c r="G150" s="41"/>
      <c r="H150" s="232"/>
      <c r="I150" s="232"/>
      <c r="J150" s="36"/>
      <c r="K150" s="36"/>
      <c r="L150" s="36"/>
      <c r="M150" s="36"/>
      <c r="N150" s="36"/>
      <c r="O150" s="36"/>
      <c r="P150" s="200"/>
      <c r="Q150" s="200"/>
      <c r="R150" s="192"/>
      <c r="S150" s="192"/>
      <c r="T150" s="192"/>
      <c r="U150" s="192"/>
      <c r="V150" s="192"/>
      <c r="W150" s="192"/>
      <c r="X150" s="192"/>
      <c r="Y150" s="201"/>
      <c r="Z150" s="24"/>
      <c r="AA150" s="75"/>
      <c r="AB150" s="75"/>
      <c r="AC150" s="75"/>
      <c r="AD150" s="75"/>
      <c r="AE150" s="75"/>
      <c r="AF150" s="24"/>
      <c r="AG150" s="24"/>
      <c r="AH150" s="24"/>
      <c r="AI150" s="24"/>
      <c r="AJ150" s="24"/>
      <c r="AK150" s="24"/>
      <c r="AL150" s="24"/>
      <c r="AM150" s="24"/>
      <c r="AN150" s="24"/>
      <c r="AO150" s="24"/>
      <c r="AP150" s="24"/>
      <c r="AQ150" s="24"/>
      <c r="AR150" s="24"/>
      <c r="AS150" s="24"/>
      <c r="AT150" s="24"/>
      <c r="AU150" s="24"/>
      <c r="AV150" s="24"/>
      <c r="AW150" s="24"/>
      <c r="AX150" s="24"/>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8"/>
    </row>
    <row r="151" spans="1:95" s="69" customFormat="1" ht="13.5" thickBot="1" x14ac:dyDescent="0.25">
      <c r="A151" s="99">
        <v>2</v>
      </c>
      <c r="B151" s="42"/>
      <c r="C151" s="42"/>
      <c r="D151" s="42"/>
      <c r="E151" s="42"/>
      <c r="F151" s="42"/>
      <c r="G151" s="43"/>
      <c r="H151" s="233"/>
      <c r="I151" s="233"/>
      <c r="J151" s="42"/>
      <c r="K151" s="42"/>
      <c r="L151" s="42"/>
      <c r="M151" s="42"/>
      <c r="N151" s="42"/>
      <c r="O151" s="42"/>
      <c r="P151" s="182"/>
      <c r="Q151" s="182"/>
      <c r="R151" s="197"/>
      <c r="S151" s="197"/>
      <c r="T151" s="197"/>
      <c r="U151" s="197"/>
      <c r="V151" s="197"/>
      <c r="W151" s="197"/>
      <c r="X151" s="197"/>
      <c r="Y151" s="198"/>
      <c r="Z151" s="24"/>
      <c r="AA151" s="75"/>
      <c r="AB151" s="75"/>
      <c r="AC151" s="75"/>
      <c r="AD151" s="75"/>
      <c r="AE151" s="75"/>
      <c r="AF151" s="24"/>
      <c r="AG151" s="24"/>
      <c r="AH151" s="24"/>
      <c r="AI151" s="24"/>
      <c r="AJ151" s="24"/>
      <c r="AK151" s="24"/>
      <c r="AL151" s="24"/>
      <c r="AM151" s="24"/>
      <c r="AN151" s="24"/>
      <c r="AO151" s="24"/>
      <c r="AP151" s="24"/>
      <c r="AQ151" s="24"/>
      <c r="AR151" s="24"/>
      <c r="AS151" s="24"/>
      <c r="AT151" s="24"/>
      <c r="AU151" s="24"/>
      <c r="AV151" s="24"/>
      <c r="AW151" s="24"/>
      <c r="AX151" s="24"/>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8"/>
    </row>
    <row r="152" spans="1:95" s="67" customFormat="1" ht="17.25" customHeight="1" thickBot="1" x14ac:dyDescent="0.25">
      <c r="A152" s="115" t="s">
        <v>104</v>
      </c>
      <c r="B152" s="116"/>
      <c r="C152" s="116"/>
      <c r="D152" s="116"/>
      <c r="E152" s="116"/>
      <c r="F152" s="116"/>
      <c r="G152" s="116"/>
      <c r="H152" s="116"/>
      <c r="I152" s="116"/>
      <c r="J152" s="116"/>
      <c r="K152" s="116"/>
      <c r="L152" s="116"/>
      <c r="M152" s="116"/>
      <c r="N152" s="116"/>
      <c r="O152" s="117"/>
      <c r="P152" s="179">
        <v>0</v>
      </c>
      <c r="Q152" s="179">
        <v>0</v>
      </c>
      <c r="R152" s="179">
        <v>0</v>
      </c>
      <c r="S152" s="179">
        <v>0</v>
      </c>
      <c r="T152" s="179">
        <v>0</v>
      </c>
      <c r="U152" s="179">
        <v>0</v>
      </c>
      <c r="V152" s="179"/>
      <c r="W152" s="179"/>
      <c r="X152" s="179">
        <v>0</v>
      </c>
      <c r="Y152" s="181">
        <v>0</v>
      </c>
      <c r="Z152" s="24"/>
      <c r="AA152" s="75"/>
      <c r="AB152" s="75"/>
      <c r="AC152" s="75"/>
      <c r="AD152" s="75"/>
      <c r="AE152" s="75"/>
      <c r="AF152" s="24"/>
      <c r="AG152" s="24"/>
      <c r="AH152" s="24"/>
      <c r="AI152" s="24"/>
      <c r="AJ152" s="24"/>
      <c r="AK152" s="24"/>
      <c r="AL152" s="24"/>
      <c r="AM152" s="24"/>
      <c r="AN152" s="24"/>
      <c r="AO152" s="24"/>
      <c r="AP152" s="24"/>
      <c r="AQ152" s="24"/>
      <c r="AR152" s="24"/>
      <c r="AS152" s="24"/>
      <c r="AT152" s="24"/>
      <c r="AU152" s="24"/>
      <c r="AV152" s="24"/>
      <c r="AW152" s="24"/>
      <c r="AX152" s="24"/>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6"/>
    </row>
    <row r="153" spans="1:95" s="69" customFormat="1" ht="15.75" customHeight="1" x14ac:dyDescent="0.2">
      <c r="A153" s="120" t="s">
        <v>65</v>
      </c>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c r="Z153" s="24"/>
      <c r="AA153" s="75"/>
      <c r="AB153" s="75"/>
      <c r="AC153" s="75"/>
      <c r="AD153" s="75"/>
      <c r="AE153" s="75"/>
      <c r="AF153" s="24"/>
      <c r="AG153" s="24"/>
      <c r="AH153" s="24"/>
      <c r="AI153" s="24"/>
      <c r="AJ153" s="24"/>
      <c r="AK153" s="24"/>
      <c r="AL153" s="24"/>
      <c r="AM153" s="24"/>
      <c r="AN153" s="24"/>
      <c r="AO153" s="24"/>
      <c r="AP153" s="24"/>
      <c r="AQ153" s="24"/>
      <c r="AR153" s="24"/>
      <c r="AS153" s="24"/>
      <c r="AT153" s="24"/>
      <c r="AU153" s="24"/>
      <c r="AV153" s="24"/>
      <c r="AW153" s="24"/>
      <c r="AX153" s="24"/>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c r="BU153" s="65"/>
      <c r="BV153" s="65"/>
      <c r="BW153" s="65"/>
      <c r="BX153" s="65"/>
      <c r="BY153" s="65"/>
      <c r="BZ153" s="65"/>
      <c r="CA153" s="65"/>
      <c r="CB153" s="65"/>
      <c r="CC153" s="65"/>
      <c r="CD153" s="65"/>
      <c r="CE153" s="65"/>
      <c r="CF153" s="65"/>
      <c r="CG153" s="65"/>
      <c r="CH153" s="65"/>
      <c r="CI153" s="65"/>
      <c r="CJ153" s="65"/>
      <c r="CK153" s="65"/>
      <c r="CL153" s="65"/>
      <c r="CM153" s="65"/>
      <c r="CN153" s="65"/>
      <c r="CO153" s="65"/>
      <c r="CP153" s="65"/>
      <c r="CQ153" s="68"/>
    </row>
    <row r="154" spans="1:95" s="69" customFormat="1" ht="12.75" x14ac:dyDescent="0.2">
      <c r="A154" s="96">
        <v>1</v>
      </c>
      <c r="B154" s="36"/>
      <c r="C154" s="36"/>
      <c r="D154" s="36"/>
      <c r="E154" s="36"/>
      <c r="F154" s="36"/>
      <c r="G154" s="41"/>
      <c r="H154" s="232"/>
      <c r="I154" s="232"/>
      <c r="J154" s="36"/>
      <c r="K154" s="36"/>
      <c r="L154" s="36"/>
      <c r="M154" s="36"/>
      <c r="N154" s="36"/>
      <c r="O154" s="36"/>
      <c r="P154" s="200"/>
      <c r="Q154" s="200"/>
      <c r="R154" s="192"/>
      <c r="S154" s="192"/>
      <c r="T154" s="192"/>
      <c r="U154" s="192"/>
      <c r="V154" s="192"/>
      <c r="W154" s="192"/>
      <c r="X154" s="192"/>
      <c r="Y154" s="201"/>
      <c r="Z154" s="24"/>
      <c r="AA154" s="75"/>
      <c r="AB154" s="75"/>
      <c r="AC154" s="75"/>
      <c r="AD154" s="75"/>
      <c r="AE154" s="75"/>
      <c r="AF154" s="24"/>
      <c r="AG154" s="24"/>
      <c r="AH154" s="24"/>
      <c r="AI154" s="24"/>
      <c r="AJ154" s="24"/>
      <c r="AK154" s="24"/>
      <c r="AL154" s="24"/>
      <c r="AM154" s="24"/>
      <c r="AN154" s="24"/>
      <c r="AO154" s="24"/>
      <c r="AP154" s="24"/>
      <c r="AQ154" s="24"/>
      <c r="AR154" s="24"/>
      <c r="AS154" s="24"/>
      <c r="AT154" s="24"/>
      <c r="AU154" s="24"/>
      <c r="AV154" s="24"/>
      <c r="AW154" s="24"/>
      <c r="AX154" s="24"/>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c r="BU154" s="65"/>
      <c r="BV154" s="65"/>
      <c r="BW154" s="65"/>
      <c r="BX154" s="65"/>
      <c r="BY154" s="65"/>
      <c r="BZ154" s="65"/>
      <c r="CA154" s="65"/>
      <c r="CB154" s="65"/>
      <c r="CC154" s="65"/>
      <c r="CD154" s="65"/>
      <c r="CE154" s="65"/>
      <c r="CF154" s="65"/>
      <c r="CG154" s="65"/>
      <c r="CH154" s="65"/>
      <c r="CI154" s="65"/>
      <c r="CJ154" s="65"/>
      <c r="CK154" s="65"/>
      <c r="CL154" s="65"/>
      <c r="CM154" s="65"/>
      <c r="CN154" s="65"/>
      <c r="CO154" s="65"/>
      <c r="CP154" s="65"/>
      <c r="CQ154" s="68"/>
    </row>
    <row r="155" spans="1:95" s="69" customFormat="1" ht="13.5" thickBot="1" x14ac:dyDescent="0.25">
      <c r="A155" s="99">
        <v>2</v>
      </c>
      <c r="B155" s="46"/>
      <c r="C155" s="46"/>
      <c r="D155" s="46"/>
      <c r="E155" s="42"/>
      <c r="F155" s="42"/>
      <c r="G155" s="47"/>
      <c r="H155" s="230"/>
      <c r="I155" s="230"/>
      <c r="J155" s="46"/>
      <c r="K155" s="42"/>
      <c r="L155" s="42"/>
      <c r="M155" s="42"/>
      <c r="N155" s="42"/>
      <c r="O155" s="46"/>
      <c r="P155" s="182"/>
      <c r="Q155" s="182"/>
      <c r="R155" s="197"/>
      <c r="S155" s="195"/>
      <c r="T155" s="197"/>
      <c r="U155" s="197"/>
      <c r="V155" s="197"/>
      <c r="W155" s="197"/>
      <c r="X155" s="197"/>
      <c r="Y155" s="198"/>
      <c r="Z155" s="24"/>
      <c r="AA155" s="75"/>
      <c r="AB155" s="75"/>
      <c r="AC155" s="75"/>
      <c r="AD155" s="75"/>
      <c r="AE155" s="75"/>
      <c r="AF155" s="24"/>
      <c r="AG155" s="24"/>
      <c r="AH155" s="24"/>
      <c r="AI155" s="24"/>
      <c r="AJ155" s="24"/>
      <c r="AK155" s="24"/>
      <c r="AL155" s="24"/>
      <c r="AM155" s="24"/>
      <c r="AN155" s="24"/>
      <c r="AO155" s="24"/>
      <c r="AP155" s="24"/>
      <c r="AQ155" s="24"/>
      <c r="AR155" s="24"/>
      <c r="AS155" s="24"/>
      <c r="AT155" s="24"/>
      <c r="AU155" s="24"/>
      <c r="AV155" s="24"/>
      <c r="AW155" s="24"/>
      <c r="AX155" s="24"/>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5"/>
      <c r="CN155" s="65"/>
      <c r="CO155" s="65"/>
      <c r="CP155" s="65"/>
      <c r="CQ155" s="68"/>
    </row>
    <row r="156" spans="1:95" s="67" customFormat="1" ht="17.25" customHeight="1" thickBot="1" x14ac:dyDescent="0.25">
      <c r="A156" s="115" t="s">
        <v>105</v>
      </c>
      <c r="B156" s="116"/>
      <c r="C156" s="116"/>
      <c r="D156" s="116"/>
      <c r="E156" s="116"/>
      <c r="F156" s="116"/>
      <c r="G156" s="116"/>
      <c r="H156" s="116"/>
      <c r="I156" s="116"/>
      <c r="J156" s="116"/>
      <c r="K156" s="116"/>
      <c r="L156" s="116"/>
      <c r="M156" s="116"/>
      <c r="N156" s="116"/>
      <c r="O156" s="117"/>
      <c r="P156" s="179">
        <v>0</v>
      </c>
      <c r="Q156" s="179">
        <v>0</v>
      </c>
      <c r="R156" s="210">
        <v>0</v>
      </c>
      <c r="S156" s="210">
        <v>0</v>
      </c>
      <c r="T156" s="210">
        <v>0</v>
      </c>
      <c r="U156" s="210">
        <v>0</v>
      </c>
      <c r="V156" s="210"/>
      <c r="W156" s="210"/>
      <c r="X156" s="210">
        <v>0</v>
      </c>
      <c r="Y156" s="212">
        <v>0</v>
      </c>
      <c r="Z156" s="24"/>
      <c r="AA156" s="75"/>
      <c r="AB156" s="75"/>
      <c r="AC156" s="75"/>
      <c r="AD156" s="75"/>
      <c r="AE156" s="75"/>
      <c r="AF156" s="24"/>
      <c r="AG156" s="24"/>
      <c r="AH156" s="24"/>
      <c r="AI156" s="24"/>
      <c r="AJ156" s="24"/>
      <c r="AK156" s="24"/>
      <c r="AL156" s="24"/>
      <c r="AM156" s="24"/>
      <c r="AN156" s="24"/>
      <c r="AO156" s="24"/>
      <c r="AP156" s="24"/>
      <c r="AQ156" s="24"/>
      <c r="AR156" s="24"/>
      <c r="AS156" s="24"/>
      <c r="AT156" s="24"/>
      <c r="AU156" s="24"/>
      <c r="AV156" s="24"/>
      <c r="AW156" s="24"/>
      <c r="AX156" s="24"/>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6"/>
    </row>
    <row r="157" spans="1:95" s="69" customFormat="1" ht="15.75" customHeight="1" x14ac:dyDescent="0.2">
      <c r="A157" s="120" t="s">
        <v>66</v>
      </c>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2"/>
      <c r="Z157" s="24"/>
      <c r="AA157" s="75"/>
      <c r="AB157" s="75"/>
      <c r="AC157" s="75"/>
      <c r="AD157" s="75"/>
      <c r="AE157" s="75"/>
      <c r="AF157" s="24"/>
      <c r="AG157" s="24"/>
      <c r="AH157" s="24"/>
      <c r="AI157" s="24"/>
      <c r="AJ157" s="24"/>
      <c r="AK157" s="24"/>
      <c r="AL157" s="24"/>
      <c r="AM157" s="24"/>
      <c r="AN157" s="24"/>
      <c r="AO157" s="24"/>
      <c r="AP157" s="24"/>
      <c r="AQ157" s="24"/>
      <c r="AR157" s="24"/>
      <c r="AS157" s="24"/>
      <c r="AT157" s="24"/>
      <c r="AU157" s="24"/>
      <c r="AV157" s="24"/>
      <c r="AW157" s="24"/>
      <c r="AX157" s="24"/>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8"/>
    </row>
    <row r="158" spans="1:95" s="70" customFormat="1" ht="64.5" thickBot="1" x14ac:dyDescent="0.25">
      <c r="A158" s="92">
        <v>1</v>
      </c>
      <c r="B158" s="19" t="s">
        <v>145</v>
      </c>
      <c r="C158" s="19" t="s">
        <v>598</v>
      </c>
      <c r="D158" s="19" t="s">
        <v>325</v>
      </c>
      <c r="E158" s="20" t="s">
        <v>213</v>
      </c>
      <c r="F158" s="21" t="s">
        <v>214</v>
      </c>
      <c r="G158" s="23" t="s">
        <v>215</v>
      </c>
      <c r="H158" s="227">
        <v>42370</v>
      </c>
      <c r="I158" s="227">
        <v>43465</v>
      </c>
      <c r="J158" s="21" t="s">
        <v>111</v>
      </c>
      <c r="K158" s="13" t="s">
        <v>216</v>
      </c>
      <c r="L158" s="13" t="s">
        <v>688</v>
      </c>
      <c r="M158" s="13" t="s">
        <v>688</v>
      </c>
      <c r="N158" s="21" t="s">
        <v>176</v>
      </c>
      <c r="O158" s="21">
        <v>121</v>
      </c>
      <c r="P158" s="185">
        <v>749747.77</v>
      </c>
      <c r="Q158" s="185">
        <v>135484.84</v>
      </c>
      <c r="R158" s="185">
        <v>0</v>
      </c>
      <c r="S158" s="185">
        <v>0</v>
      </c>
      <c r="T158" s="185">
        <v>0</v>
      </c>
      <c r="U158" s="185">
        <f>P158+Q158+R158+S158+T158</f>
        <v>885232.61</v>
      </c>
      <c r="V158" s="185" t="s">
        <v>301</v>
      </c>
      <c r="W158" s="185">
        <v>3</v>
      </c>
      <c r="X158" s="185">
        <v>749747.77</v>
      </c>
      <c r="Y158" s="187">
        <v>135484.84</v>
      </c>
      <c r="Z158" s="24"/>
      <c r="AA158" s="75"/>
      <c r="AB158" s="75"/>
      <c r="AC158" s="75"/>
      <c r="AD158" s="75"/>
      <c r="AE158" s="75"/>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row>
    <row r="159" spans="1:95" s="67" customFormat="1" ht="17.25" customHeight="1" thickBot="1" x14ac:dyDescent="0.25">
      <c r="A159" s="115" t="s">
        <v>106</v>
      </c>
      <c r="B159" s="116"/>
      <c r="C159" s="116"/>
      <c r="D159" s="116"/>
      <c r="E159" s="116"/>
      <c r="F159" s="116"/>
      <c r="G159" s="116"/>
      <c r="H159" s="226"/>
      <c r="I159" s="226"/>
      <c r="J159" s="26"/>
      <c r="K159" s="26"/>
      <c r="L159" s="26"/>
      <c r="M159" s="26"/>
      <c r="N159" s="26"/>
      <c r="O159" s="28"/>
      <c r="P159" s="179">
        <f>P158</f>
        <v>749747.77</v>
      </c>
      <c r="Q159" s="179">
        <f t="shared" ref="Q159:Y159" si="20">Q158</f>
        <v>135484.84</v>
      </c>
      <c r="R159" s="179">
        <f t="shared" si="20"/>
        <v>0</v>
      </c>
      <c r="S159" s="179">
        <f t="shared" si="20"/>
        <v>0</v>
      </c>
      <c r="T159" s="179">
        <f t="shared" si="20"/>
        <v>0</v>
      </c>
      <c r="U159" s="179">
        <f t="shared" si="20"/>
        <v>885232.61</v>
      </c>
      <c r="V159" s="179"/>
      <c r="W159" s="179"/>
      <c r="X159" s="179">
        <f t="shared" si="20"/>
        <v>749747.77</v>
      </c>
      <c r="Y159" s="181">
        <f t="shared" si="20"/>
        <v>135484.84</v>
      </c>
      <c r="Z159" s="24"/>
      <c r="AA159" s="75"/>
      <c r="AB159" s="75"/>
      <c r="AC159" s="75"/>
      <c r="AD159" s="75"/>
      <c r="AE159" s="75"/>
      <c r="AF159" s="24"/>
      <c r="AG159" s="24"/>
      <c r="AH159" s="24"/>
      <c r="AI159" s="24"/>
      <c r="AJ159" s="24"/>
      <c r="AK159" s="24"/>
      <c r="AL159" s="24"/>
      <c r="AM159" s="24"/>
      <c r="AN159" s="24"/>
      <c r="AO159" s="24"/>
      <c r="AP159" s="24"/>
      <c r="AQ159" s="24"/>
      <c r="AR159" s="24"/>
      <c r="AS159" s="24"/>
      <c r="AT159" s="24"/>
      <c r="AU159" s="24"/>
      <c r="AV159" s="24"/>
      <c r="AW159" s="24"/>
      <c r="AX159" s="24"/>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c r="BU159" s="65"/>
      <c r="BV159" s="65"/>
      <c r="BW159" s="65"/>
      <c r="BX159" s="65"/>
      <c r="BY159" s="65"/>
      <c r="BZ159" s="65"/>
      <c r="CA159" s="65"/>
      <c r="CB159" s="65"/>
      <c r="CC159" s="65"/>
      <c r="CD159" s="65"/>
      <c r="CE159" s="65"/>
      <c r="CF159" s="65"/>
      <c r="CG159" s="65"/>
      <c r="CH159" s="65"/>
      <c r="CI159" s="65"/>
      <c r="CJ159" s="65"/>
      <c r="CK159" s="65"/>
      <c r="CL159" s="65"/>
      <c r="CM159" s="65"/>
      <c r="CN159" s="65"/>
      <c r="CO159" s="65"/>
      <c r="CP159" s="65"/>
      <c r="CQ159" s="66"/>
    </row>
    <row r="160" spans="1:95" s="69" customFormat="1" ht="15.75" customHeight="1" x14ac:dyDescent="0.2">
      <c r="A160" s="132" t="s">
        <v>67</v>
      </c>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4"/>
      <c r="Z160" s="24"/>
      <c r="AA160" s="75"/>
      <c r="AB160" s="75"/>
      <c r="AC160" s="75"/>
      <c r="AD160" s="75"/>
      <c r="AE160" s="75"/>
      <c r="AF160" s="24"/>
      <c r="AG160" s="24"/>
      <c r="AH160" s="24"/>
      <c r="AI160" s="24"/>
      <c r="AJ160" s="24"/>
      <c r="AK160" s="24"/>
      <c r="AL160" s="24"/>
      <c r="AM160" s="24"/>
      <c r="AN160" s="24"/>
      <c r="AO160" s="24"/>
      <c r="AP160" s="24"/>
      <c r="AQ160" s="24"/>
      <c r="AR160" s="24"/>
      <c r="AS160" s="24"/>
      <c r="AT160" s="24"/>
      <c r="AU160" s="24"/>
      <c r="AV160" s="24"/>
      <c r="AW160" s="24"/>
      <c r="AX160" s="24"/>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8"/>
    </row>
    <row r="161" spans="1:95" s="70" customFormat="1" ht="140.25" x14ac:dyDescent="0.2">
      <c r="A161" s="92">
        <v>1</v>
      </c>
      <c r="B161" s="13" t="s">
        <v>121</v>
      </c>
      <c r="C161" s="13">
        <v>116755</v>
      </c>
      <c r="D161" s="13" t="s">
        <v>343</v>
      </c>
      <c r="E161" s="20" t="s">
        <v>125</v>
      </c>
      <c r="F161" s="21" t="s">
        <v>126</v>
      </c>
      <c r="G161" s="32" t="s">
        <v>127</v>
      </c>
      <c r="H161" s="227">
        <v>42370</v>
      </c>
      <c r="I161" s="227">
        <v>43465</v>
      </c>
      <c r="J161" s="21" t="s">
        <v>111</v>
      </c>
      <c r="K161" s="13" t="s">
        <v>209</v>
      </c>
      <c r="L161" s="13" t="s">
        <v>128</v>
      </c>
      <c r="M161" s="13" t="s">
        <v>129</v>
      </c>
      <c r="N161" s="21" t="s">
        <v>130</v>
      </c>
      <c r="O161" s="21">
        <v>121</v>
      </c>
      <c r="P161" s="185">
        <v>6811296.5800000001</v>
      </c>
      <c r="Q161" s="185">
        <v>1230850.6100000001</v>
      </c>
      <c r="R161" s="185">
        <v>0</v>
      </c>
      <c r="S161" s="185">
        <v>164125.49</v>
      </c>
      <c r="T161" s="185">
        <v>0</v>
      </c>
      <c r="U161" s="185">
        <f>P161+Q161+R161+S161+T161</f>
        <v>8206272.6800000006</v>
      </c>
      <c r="V161" s="185" t="s">
        <v>301</v>
      </c>
      <c r="W161" s="185">
        <v>7</v>
      </c>
      <c r="X161" s="186">
        <f>7357717.78-546421.2</f>
        <v>6811296.5800000001</v>
      </c>
      <c r="Y161" s="187">
        <f>680126.01+4303.4+546421.2</f>
        <v>1230850.6099999999</v>
      </c>
      <c r="Z161" s="24"/>
      <c r="AA161" s="75"/>
      <c r="AB161" s="75"/>
      <c r="AC161" s="75"/>
      <c r="AD161" s="75"/>
      <c r="AE161" s="75"/>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row>
    <row r="162" spans="1:95" s="69" customFormat="1" ht="13.5" thickBot="1" x14ac:dyDescent="0.25">
      <c r="A162" s="101">
        <v>2</v>
      </c>
      <c r="B162" s="46"/>
      <c r="C162" s="46"/>
      <c r="D162" s="46"/>
      <c r="E162" s="46"/>
      <c r="F162" s="46"/>
      <c r="G162" s="47"/>
      <c r="H162" s="230"/>
      <c r="I162" s="230"/>
      <c r="J162" s="46"/>
      <c r="K162" s="46"/>
      <c r="L162" s="46"/>
      <c r="M162" s="46"/>
      <c r="N162" s="46"/>
      <c r="O162" s="46"/>
      <c r="P162" s="194"/>
      <c r="Q162" s="194"/>
      <c r="R162" s="195"/>
      <c r="S162" s="195"/>
      <c r="T162" s="195"/>
      <c r="U162" s="195"/>
      <c r="V162" s="195"/>
      <c r="W162" s="195"/>
      <c r="X162" s="195"/>
      <c r="Y162" s="196"/>
      <c r="Z162" s="24"/>
      <c r="AA162" s="75"/>
      <c r="AB162" s="75"/>
      <c r="AC162" s="75"/>
      <c r="AD162" s="75"/>
      <c r="AE162" s="75"/>
      <c r="AF162" s="24"/>
      <c r="AG162" s="24"/>
      <c r="AH162" s="24"/>
      <c r="AI162" s="24"/>
      <c r="AJ162" s="24"/>
      <c r="AK162" s="24"/>
      <c r="AL162" s="24"/>
      <c r="AM162" s="24"/>
      <c r="AN162" s="24"/>
      <c r="AO162" s="24"/>
      <c r="AP162" s="24"/>
      <c r="AQ162" s="24"/>
      <c r="AR162" s="24"/>
      <c r="AS162" s="24"/>
      <c r="AT162" s="24"/>
      <c r="AU162" s="24"/>
      <c r="AV162" s="24"/>
      <c r="AW162" s="24"/>
      <c r="AX162" s="24"/>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8"/>
    </row>
    <row r="163" spans="1:95" s="67" customFormat="1" ht="17.25" customHeight="1" thickBot="1" x14ac:dyDescent="0.25">
      <c r="A163" s="115" t="s">
        <v>107</v>
      </c>
      <c r="B163" s="116"/>
      <c r="C163" s="116"/>
      <c r="D163" s="116"/>
      <c r="E163" s="116"/>
      <c r="F163" s="116"/>
      <c r="G163" s="116"/>
      <c r="H163" s="226"/>
      <c r="I163" s="226"/>
      <c r="J163" s="26"/>
      <c r="K163" s="26"/>
      <c r="L163" s="26"/>
      <c r="M163" s="26"/>
      <c r="N163" s="26"/>
      <c r="O163" s="26"/>
      <c r="P163" s="179">
        <f t="shared" ref="P163:U163" si="21">P161</f>
        <v>6811296.5800000001</v>
      </c>
      <c r="Q163" s="179">
        <f t="shared" si="21"/>
        <v>1230850.6100000001</v>
      </c>
      <c r="R163" s="179">
        <f t="shared" si="21"/>
        <v>0</v>
      </c>
      <c r="S163" s="179">
        <f t="shared" si="21"/>
        <v>164125.49</v>
      </c>
      <c r="T163" s="179">
        <f t="shared" si="21"/>
        <v>0</v>
      </c>
      <c r="U163" s="181">
        <f t="shared" si="21"/>
        <v>8206272.6800000006</v>
      </c>
      <c r="V163" s="213"/>
      <c r="W163" s="179"/>
      <c r="X163" s="179">
        <f>X161</f>
        <v>6811296.5800000001</v>
      </c>
      <c r="Y163" s="181">
        <f>Y161</f>
        <v>1230850.6099999999</v>
      </c>
      <c r="Z163" s="24"/>
      <c r="AA163" s="75"/>
      <c r="AB163" s="75"/>
      <c r="AC163" s="75"/>
      <c r="AD163" s="75"/>
      <c r="AE163" s="75"/>
      <c r="AF163" s="24"/>
      <c r="AG163" s="24"/>
      <c r="AH163" s="24"/>
      <c r="AI163" s="24"/>
      <c r="AJ163" s="24"/>
      <c r="AK163" s="24"/>
      <c r="AL163" s="24"/>
      <c r="AM163" s="24"/>
      <c r="AN163" s="24"/>
      <c r="AO163" s="24"/>
      <c r="AP163" s="24"/>
      <c r="AQ163" s="24"/>
      <c r="AR163" s="24"/>
      <c r="AS163" s="24"/>
      <c r="AT163" s="24"/>
      <c r="AU163" s="24"/>
      <c r="AV163" s="24"/>
      <c r="AW163" s="24"/>
      <c r="AX163" s="24"/>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6"/>
    </row>
    <row r="164" spans="1:95" s="69" customFormat="1" ht="15.75" customHeight="1" x14ac:dyDescent="0.2">
      <c r="A164" s="120" t="s">
        <v>68</v>
      </c>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2"/>
      <c r="Z164" s="24"/>
      <c r="AA164" s="75"/>
      <c r="AB164" s="75"/>
      <c r="AC164" s="75"/>
      <c r="AD164" s="75"/>
      <c r="AE164" s="75"/>
      <c r="AF164" s="24"/>
      <c r="AG164" s="24"/>
      <c r="AH164" s="24"/>
      <c r="AI164" s="24"/>
      <c r="AJ164" s="24"/>
      <c r="AK164" s="24"/>
      <c r="AL164" s="24"/>
      <c r="AM164" s="24"/>
      <c r="AN164" s="24"/>
      <c r="AO164" s="24"/>
      <c r="AP164" s="24"/>
      <c r="AQ164" s="24"/>
      <c r="AR164" s="24"/>
      <c r="AS164" s="24"/>
      <c r="AT164" s="24"/>
      <c r="AU164" s="24"/>
      <c r="AV164" s="24"/>
      <c r="AW164" s="24"/>
      <c r="AX164" s="24"/>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8"/>
    </row>
    <row r="165" spans="1:95" s="69" customFormat="1" ht="12.75" x14ac:dyDescent="0.2">
      <c r="A165" s="96">
        <v>1</v>
      </c>
      <c r="B165" s="36"/>
      <c r="C165" s="36"/>
      <c r="D165" s="36"/>
      <c r="E165" s="36"/>
      <c r="F165" s="36"/>
      <c r="G165" s="41"/>
      <c r="H165" s="232"/>
      <c r="I165" s="232"/>
      <c r="J165" s="36"/>
      <c r="K165" s="36"/>
      <c r="L165" s="36"/>
      <c r="M165" s="36"/>
      <c r="N165" s="36"/>
      <c r="O165" s="36"/>
      <c r="P165" s="200"/>
      <c r="Q165" s="200"/>
      <c r="R165" s="192"/>
      <c r="S165" s="192"/>
      <c r="T165" s="192"/>
      <c r="U165" s="192"/>
      <c r="V165" s="192"/>
      <c r="W165" s="192"/>
      <c r="X165" s="192"/>
      <c r="Y165" s="201"/>
      <c r="Z165" s="24"/>
      <c r="AA165" s="75"/>
      <c r="AB165" s="75"/>
      <c r="AC165" s="75"/>
      <c r="AD165" s="75"/>
      <c r="AE165" s="75"/>
      <c r="AF165" s="24"/>
      <c r="AG165" s="24"/>
      <c r="AH165" s="24"/>
      <c r="AI165" s="24"/>
      <c r="AJ165" s="24"/>
      <c r="AK165" s="24"/>
      <c r="AL165" s="24"/>
      <c r="AM165" s="24"/>
      <c r="AN165" s="24"/>
      <c r="AO165" s="24"/>
      <c r="AP165" s="24"/>
      <c r="AQ165" s="24"/>
      <c r="AR165" s="24"/>
      <c r="AS165" s="24"/>
      <c r="AT165" s="24"/>
      <c r="AU165" s="24"/>
      <c r="AV165" s="24"/>
      <c r="AW165" s="24"/>
      <c r="AX165" s="24"/>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8"/>
    </row>
    <row r="166" spans="1:95" s="69" customFormat="1" ht="12.75" x14ac:dyDescent="0.2">
      <c r="A166" s="96">
        <v>2</v>
      </c>
      <c r="B166" s="34"/>
      <c r="C166" s="34"/>
      <c r="D166" s="34"/>
      <c r="E166" s="36"/>
      <c r="F166" s="36"/>
      <c r="G166" s="35"/>
      <c r="H166" s="228"/>
      <c r="I166" s="228"/>
      <c r="J166" s="34"/>
      <c r="K166" s="36"/>
      <c r="L166" s="36"/>
      <c r="M166" s="36"/>
      <c r="N166" s="36"/>
      <c r="O166" s="34"/>
      <c r="P166" s="200"/>
      <c r="Q166" s="200"/>
      <c r="R166" s="192"/>
      <c r="S166" s="189"/>
      <c r="T166" s="192"/>
      <c r="U166" s="192"/>
      <c r="V166" s="192"/>
      <c r="W166" s="192"/>
      <c r="X166" s="192"/>
      <c r="Y166" s="201"/>
      <c r="Z166" s="24"/>
      <c r="AA166" s="75"/>
      <c r="AB166" s="75"/>
      <c r="AC166" s="75"/>
      <c r="AD166" s="75"/>
      <c r="AE166" s="75"/>
      <c r="AF166" s="24"/>
      <c r="AG166" s="24"/>
      <c r="AH166" s="24"/>
      <c r="AI166" s="24"/>
      <c r="AJ166" s="24"/>
      <c r="AK166" s="24"/>
      <c r="AL166" s="24"/>
      <c r="AM166" s="24"/>
      <c r="AN166" s="24"/>
      <c r="AO166" s="24"/>
      <c r="AP166" s="24"/>
      <c r="AQ166" s="24"/>
      <c r="AR166" s="24"/>
      <c r="AS166" s="24"/>
      <c r="AT166" s="24"/>
      <c r="AU166" s="24"/>
      <c r="AV166" s="24"/>
      <c r="AW166" s="24"/>
      <c r="AX166" s="24"/>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8"/>
    </row>
    <row r="167" spans="1:95" s="69" customFormat="1" ht="13.5" thickBot="1" x14ac:dyDescent="0.25">
      <c r="A167" s="99">
        <v>3</v>
      </c>
      <c r="B167" s="46"/>
      <c r="C167" s="46"/>
      <c r="D167" s="46"/>
      <c r="E167" s="42"/>
      <c r="F167" s="42"/>
      <c r="G167" s="47"/>
      <c r="H167" s="230"/>
      <c r="I167" s="230"/>
      <c r="J167" s="46"/>
      <c r="K167" s="42"/>
      <c r="L167" s="42"/>
      <c r="M167" s="42"/>
      <c r="N167" s="42"/>
      <c r="O167" s="46"/>
      <c r="P167" s="182"/>
      <c r="Q167" s="182"/>
      <c r="R167" s="197"/>
      <c r="S167" s="195"/>
      <c r="T167" s="197"/>
      <c r="U167" s="197"/>
      <c r="V167" s="197"/>
      <c r="W167" s="197"/>
      <c r="X167" s="197"/>
      <c r="Y167" s="198"/>
      <c r="Z167" s="24"/>
      <c r="AA167" s="75"/>
      <c r="AB167" s="75"/>
      <c r="AC167" s="75"/>
      <c r="AD167" s="75"/>
      <c r="AE167" s="75"/>
      <c r="AF167" s="24"/>
      <c r="AG167" s="24"/>
      <c r="AH167" s="24"/>
      <c r="AI167" s="24"/>
      <c r="AJ167" s="24"/>
      <c r="AK167" s="24"/>
      <c r="AL167" s="24"/>
      <c r="AM167" s="24"/>
      <c r="AN167" s="24"/>
      <c r="AO167" s="24"/>
      <c r="AP167" s="24"/>
      <c r="AQ167" s="24"/>
      <c r="AR167" s="24"/>
      <c r="AS167" s="24"/>
      <c r="AT167" s="24"/>
      <c r="AU167" s="24"/>
      <c r="AV167" s="24"/>
      <c r="AW167" s="24"/>
      <c r="AX167" s="24"/>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8"/>
    </row>
    <row r="168" spans="1:95" s="67" customFormat="1" ht="17.25" customHeight="1" thickBot="1" x14ac:dyDescent="0.25">
      <c r="A168" s="115" t="s">
        <v>108</v>
      </c>
      <c r="B168" s="116"/>
      <c r="C168" s="116"/>
      <c r="D168" s="116"/>
      <c r="E168" s="116"/>
      <c r="F168" s="116"/>
      <c r="G168" s="116"/>
      <c r="H168" s="116"/>
      <c r="I168" s="116"/>
      <c r="J168" s="116"/>
      <c r="K168" s="116"/>
      <c r="L168" s="116"/>
      <c r="M168" s="116"/>
      <c r="N168" s="116"/>
      <c r="O168" s="117"/>
      <c r="P168" s="179">
        <f t="shared" ref="P168:U168" si="22">P165</f>
        <v>0</v>
      </c>
      <c r="Q168" s="179">
        <f t="shared" si="22"/>
        <v>0</v>
      </c>
      <c r="R168" s="179">
        <f t="shared" si="22"/>
        <v>0</v>
      </c>
      <c r="S168" s="179">
        <f t="shared" si="22"/>
        <v>0</v>
      </c>
      <c r="T168" s="179">
        <f t="shared" si="22"/>
        <v>0</v>
      </c>
      <c r="U168" s="179">
        <f t="shared" si="22"/>
        <v>0</v>
      </c>
      <c r="V168" s="179"/>
      <c r="W168" s="179"/>
      <c r="X168" s="179">
        <f>X165</f>
        <v>0</v>
      </c>
      <c r="Y168" s="181">
        <f>Y165</f>
        <v>0</v>
      </c>
      <c r="Z168" s="24"/>
      <c r="AA168" s="75"/>
      <c r="AB168" s="75"/>
      <c r="AC168" s="75"/>
      <c r="AD168" s="75"/>
      <c r="AE168" s="75"/>
      <c r="AF168" s="24"/>
      <c r="AG168" s="24"/>
      <c r="AH168" s="24"/>
      <c r="AI168" s="24"/>
      <c r="AJ168" s="24"/>
      <c r="AK168" s="24"/>
      <c r="AL168" s="24"/>
      <c r="AM168" s="24"/>
      <c r="AN168" s="24"/>
      <c r="AO168" s="24"/>
      <c r="AP168" s="24"/>
      <c r="AQ168" s="24"/>
      <c r="AR168" s="24"/>
      <c r="AS168" s="24"/>
      <c r="AT168" s="24"/>
      <c r="AU168" s="24"/>
      <c r="AV168" s="24"/>
      <c r="AW168" s="24"/>
      <c r="AX168" s="24"/>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6"/>
    </row>
    <row r="169" spans="1:95" s="69" customFormat="1" ht="15.75" customHeight="1" x14ac:dyDescent="0.2">
      <c r="A169" s="120" t="s">
        <v>26</v>
      </c>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2"/>
      <c r="Z169" s="24"/>
      <c r="AA169" s="75"/>
      <c r="AB169" s="75"/>
      <c r="AC169" s="75"/>
      <c r="AD169" s="75"/>
      <c r="AE169" s="75"/>
      <c r="AF169" s="24"/>
      <c r="AG169" s="24"/>
      <c r="AH169" s="24"/>
      <c r="AI169" s="24"/>
      <c r="AJ169" s="24"/>
      <c r="AK169" s="24"/>
      <c r="AL169" s="24"/>
      <c r="AM169" s="24"/>
      <c r="AN169" s="24"/>
      <c r="AO169" s="24"/>
      <c r="AP169" s="24"/>
      <c r="AQ169" s="24"/>
      <c r="AR169" s="24"/>
      <c r="AS169" s="24"/>
      <c r="AT169" s="24"/>
      <c r="AU169" s="24"/>
      <c r="AV169" s="24"/>
      <c r="AW169" s="24"/>
      <c r="AX169" s="24"/>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8"/>
    </row>
    <row r="170" spans="1:95" s="69" customFormat="1" ht="12.75" x14ac:dyDescent="0.2">
      <c r="A170" s="96">
        <v>1</v>
      </c>
      <c r="B170" s="17"/>
      <c r="C170" s="17"/>
      <c r="D170" s="17"/>
      <c r="E170" s="17"/>
      <c r="F170" s="17"/>
      <c r="G170" s="41"/>
      <c r="H170" s="232"/>
      <c r="I170" s="232"/>
      <c r="J170" s="36"/>
      <c r="K170" s="36"/>
      <c r="L170" s="36"/>
      <c r="M170" s="36"/>
      <c r="N170" s="36"/>
      <c r="O170" s="36"/>
      <c r="P170" s="200"/>
      <c r="Q170" s="200"/>
      <c r="R170" s="192"/>
      <c r="S170" s="192"/>
      <c r="T170" s="192"/>
      <c r="U170" s="192"/>
      <c r="V170" s="192"/>
      <c r="W170" s="192"/>
      <c r="X170" s="192"/>
      <c r="Y170" s="201"/>
      <c r="Z170" s="24"/>
      <c r="AA170" s="75"/>
      <c r="AB170" s="75"/>
      <c r="AC170" s="75"/>
      <c r="AD170" s="75"/>
      <c r="AE170" s="75"/>
      <c r="AF170" s="24"/>
      <c r="AG170" s="24"/>
      <c r="AH170" s="24"/>
      <c r="AI170" s="24"/>
      <c r="AJ170" s="24"/>
      <c r="AK170" s="24"/>
      <c r="AL170" s="24"/>
      <c r="AM170" s="24"/>
      <c r="AN170" s="24"/>
      <c r="AO170" s="24"/>
      <c r="AP170" s="24"/>
      <c r="AQ170" s="24"/>
      <c r="AR170" s="24"/>
      <c r="AS170" s="24"/>
      <c r="AT170" s="24"/>
      <c r="AU170" s="24"/>
      <c r="AV170" s="24"/>
      <c r="AW170" s="24"/>
      <c r="AX170" s="24"/>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8"/>
    </row>
    <row r="171" spans="1:95" s="69" customFormat="1" ht="13.5" thickBot="1" x14ac:dyDescent="0.25">
      <c r="A171" s="99">
        <v>2</v>
      </c>
      <c r="B171" s="46"/>
      <c r="C171" s="46"/>
      <c r="D171" s="46"/>
      <c r="E171" s="42"/>
      <c r="F171" s="42"/>
      <c r="G171" s="47"/>
      <c r="H171" s="230"/>
      <c r="I171" s="230"/>
      <c r="J171" s="46"/>
      <c r="K171" s="42"/>
      <c r="L171" s="42"/>
      <c r="M171" s="42"/>
      <c r="N171" s="42"/>
      <c r="O171" s="46"/>
      <c r="P171" s="182"/>
      <c r="Q171" s="182"/>
      <c r="R171" s="197"/>
      <c r="S171" s="195"/>
      <c r="T171" s="197"/>
      <c r="U171" s="197"/>
      <c r="V171" s="197"/>
      <c r="W171" s="197"/>
      <c r="X171" s="197"/>
      <c r="Y171" s="198"/>
      <c r="Z171" s="24"/>
      <c r="AA171" s="75"/>
      <c r="AB171" s="75"/>
      <c r="AC171" s="75"/>
      <c r="AD171" s="75"/>
      <c r="AE171" s="75"/>
      <c r="AF171" s="24"/>
      <c r="AG171" s="24"/>
      <c r="AH171" s="24"/>
      <c r="AI171" s="24"/>
      <c r="AJ171" s="24"/>
      <c r="AK171" s="24"/>
      <c r="AL171" s="24"/>
      <c r="AM171" s="24"/>
      <c r="AN171" s="24"/>
      <c r="AO171" s="24"/>
      <c r="AP171" s="24"/>
      <c r="AQ171" s="24"/>
      <c r="AR171" s="24"/>
      <c r="AS171" s="24"/>
      <c r="AT171" s="24"/>
      <c r="AU171" s="24"/>
      <c r="AV171" s="24"/>
      <c r="AW171" s="24"/>
      <c r="AX171" s="24"/>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c r="BU171" s="65"/>
      <c r="BV171" s="65"/>
      <c r="BW171" s="65"/>
      <c r="BX171" s="65"/>
      <c r="BY171" s="65"/>
      <c r="BZ171" s="65"/>
      <c r="CA171" s="65"/>
      <c r="CB171" s="65"/>
      <c r="CC171" s="65"/>
      <c r="CD171" s="65"/>
      <c r="CE171" s="65"/>
      <c r="CF171" s="65"/>
      <c r="CG171" s="65"/>
      <c r="CH171" s="65"/>
      <c r="CI171" s="65"/>
      <c r="CJ171" s="65"/>
      <c r="CK171" s="65"/>
      <c r="CL171" s="65"/>
      <c r="CM171" s="65"/>
      <c r="CN171" s="65"/>
      <c r="CO171" s="65"/>
      <c r="CP171" s="65"/>
      <c r="CQ171" s="68"/>
    </row>
    <row r="172" spans="1:95" s="67" customFormat="1" ht="17.25" customHeight="1" thickBot="1" x14ac:dyDescent="0.25">
      <c r="A172" s="115" t="s">
        <v>29</v>
      </c>
      <c r="B172" s="116"/>
      <c r="C172" s="116"/>
      <c r="D172" s="116"/>
      <c r="E172" s="116"/>
      <c r="F172" s="116"/>
      <c r="G172" s="116"/>
      <c r="H172" s="116"/>
      <c r="I172" s="116"/>
      <c r="J172" s="116"/>
      <c r="K172" s="116"/>
      <c r="L172" s="116"/>
      <c r="M172" s="116"/>
      <c r="N172" s="116"/>
      <c r="O172" s="117"/>
      <c r="P172" s="179">
        <v>0</v>
      </c>
      <c r="Q172" s="179">
        <v>0</v>
      </c>
      <c r="R172" s="179">
        <v>0</v>
      </c>
      <c r="S172" s="179">
        <v>0</v>
      </c>
      <c r="T172" s="179">
        <v>0</v>
      </c>
      <c r="U172" s="179">
        <v>0</v>
      </c>
      <c r="V172" s="179"/>
      <c r="W172" s="179"/>
      <c r="X172" s="179">
        <v>0</v>
      </c>
      <c r="Y172" s="181">
        <v>0</v>
      </c>
      <c r="Z172" s="24"/>
      <c r="AA172" s="75"/>
      <c r="AB172" s="75"/>
      <c r="AC172" s="75"/>
      <c r="AD172" s="75"/>
      <c r="AE172" s="75"/>
      <c r="AF172" s="24"/>
      <c r="AG172" s="24"/>
      <c r="AH172" s="24"/>
      <c r="AI172" s="24"/>
      <c r="AJ172" s="24"/>
      <c r="AK172" s="24"/>
      <c r="AL172" s="24"/>
      <c r="AM172" s="24"/>
      <c r="AN172" s="24"/>
      <c r="AO172" s="24"/>
      <c r="AP172" s="24"/>
      <c r="AQ172" s="24"/>
      <c r="AR172" s="24"/>
      <c r="AS172" s="24"/>
      <c r="AT172" s="24"/>
      <c r="AU172" s="24"/>
      <c r="AV172" s="24"/>
      <c r="AW172" s="24"/>
      <c r="AX172" s="24"/>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c r="BU172" s="65"/>
      <c r="BV172" s="65"/>
      <c r="BW172" s="65"/>
      <c r="BX172" s="65"/>
      <c r="BY172" s="65"/>
      <c r="BZ172" s="65"/>
      <c r="CA172" s="65"/>
      <c r="CB172" s="65"/>
      <c r="CC172" s="65"/>
      <c r="CD172" s="65"/>
      <c r="CE172" s="65"/>
      <c r="CF172" s="65"/>
      <c r="CG172" s="65"/>
      <c r="CH172" s="65"/>
      <c r="CI172" s="65"/>
      <c r="CJ172" s="65"/>
      <c r="CK172" s="65"/>
      <c r="CL172" s="65"/>
      <c r="CM172" s="65"/>
      <c r="CN172" s="65"/>
      <c r="CO172" s="65"/>
      <c r="CP172" s="65"/>
      <c r="CQ172" s="66"/>
    </row>
    <row r="173" spans="1:95" s="69" customFormat="1" ht="15.75" customHeight="1" x14ac:dyDescent="0.2">
      <c r="A173" s="120" t="s">
        <v>69</v>
      </c>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2"/>
      <c r="Z173" s="24"/>
      <c r="AA173" s="75"/>
      <c r="AB173" s="75"/>
      <c r="AC173" s="75"/>
      <c r="AD173" s="75"/>
      <c r="AE173" s="75"/>
      <c r="AF173" s="24"/>
      <c r="AG173" s="24"/>
      <c r="AH173" s="24"/>
      <c r="AI173" s="24"/>
      <c r="AJ173" s="24"/>
      <c r="AK173" s="24"/>
      <c r="AL173" s="24"/>
      <c r="AM173" s="24"/>
      <c r="AN173" s="24"/>
      <c r="AO173" s="24"/>
      <c r="AP173" s="24"/>
      <c r="AQ173" s="24"/>
      <c r="AR173" s="24"/>
      <c r="AS173" s="24"/>
      <c r="AT173" s="24"/>
      <c r="AU173" s="24"/>
      <c r="AV173" s="24"/>
      <c r="AW173" s="24"/>
      <c r="AX173" s="24"/>
      <c r="AY173" s="65"/>
      <c r="AZ173" s="65"/>
      <c r="BA173" s="65"/>
      <c r="BB173" s="65"/>
      <c r="BC173" s="65"/>
      <c r="BD173" s="65"/>
      <c r="BE173" s="65"/>
      <c r="BF173" s="65"/>
      <c r="BG173" s="65"/>
      <c r="BH173" s="65"/>
      <c r="BI173" s="65"/>
      <c r="BJ173" s="65"/>
      <c r="BK173" s="65"/>
      <c r="BL173" s="65"/>
      <c r="BM173" s="65"/>
      <c r="BN173" s="65"/>
      <c r="BO173" s="65"/>
      <c r="BP173" s="65"/>
      <c r="BQ173" s="65"/>
      <c r="BR173" s="65"/>
      <c r="BS173" s="65"/>
      <c r="BT173" s="65"/>
      <c r="BU173" s="65"/>
      <c r="BV173" s="65"/>
      <c r="BW173" s="65"/>
      <c r="BX173" s="65"/>
      <c r="BY173" s="65"/>
      <c r="BZ173" s="65"/>
      <c r="CA173" s="65"/>
      <c r="CB173" s="65"/>
      <c r="CC173" s="65"/>
      <c r="CD173" s="65"/>
      <c r="CE173" s="65"/>
      <c r="CF173" s="65"/>
      <c r="CG173" s="65"/>
      <c r="CH173" s="65"/>
      <c r="CI173" s="65"/>
      <c r="CJ173" s="65"/>
      <c r="CK173" s="65"/>
      <c r="CL173" s="65"/>
      <c r="CM173" s="65"/>
      <c r="CN173" s="65"/>
      <c r="CO173" s="65"/>
      <c r="CP173" s="65"/>
      <c r="CQ173" s="68"/>
    </row>
    <row r="174" spans="1:95" s="69" customFormat="1" ht="12.75" x14ac:dyDescent="0.2">
      <c r="A174" s="96">
        <v>1</v>
      </c>
      <c r="B174" s="36"/>
      <c r="C174" s="36"/>
      <c r="D174" s="36"/>
      <c r="E174" s="36"/>
      <c r="F174" s="36"/>
      <c r="G174" s="41"/>
      <c r="H174" s="232"/>
      <c r="I174" s="232"/>
      <c r="J174" s="36"/>
      <c r="K174" s="36"/>
      <c r="L174" s="36"/>
      <c r="M174" s="36"/>
      <c r="N174" s="36"/>
      <c r="O174" s="36"/>
      <c r="P174" s="200"/>
      <c r="Q174" s="200"/>
      <c r="R174" s="192"/>
      <c r="S174" s="192"/>
      <c r="T174" s="192"/>
      <c r="U174" s="192"/>
      <c r="V174" s="192"/>
      <c r="W174" s="192"/>
      <c r="X174" s="192"/>
      <c r="Y174" s="201"/>
      <c r="Z174" s="24"/>
      <c r="AA174" s="75"/>
      <c r="AB174" s="75"/>
      <c r="AC174" s="75"/>
      <c r="AD174" s="75"/>
      <c r="AE174" s="75"/>
      <c r="AF174" s="24"/>
      <c r="AG174" s="24"/>
      <c r="AH174" s="24"/>
      <c r="AI174" s="24"/>
      <c r="AJ174" s="24"/>
      <c r="AK174" s="24"/>
      <c r="AL174" s="24"/>
      <c r="AM174" s="24"/>
      <c r="AN174" s="24"/>
      <c r="AO174" s="24"/>
      <c r="AP174" s="24"/>
      <c r="AQ174" s="24"/>
      <c r="AR174" s="24"/>
      <c r="AS174" s="24"/>
      <c r="AT174" s="24"/>
      <c r="AU174" s="24"/>
      <c r="AV174" s="24"/>
      <c r="AW174" s="24"/>
      <c r="AX174" s="24"/>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c r="BU174" s="65"/>
      <c r="BV174" s="65"/>
      <c r="BW174" s="65"/>
      <c r="BX174" s="65"/>
      <c r="BY174" s="65"/>
      <c r="BZ174" s="65"/>
      <c r="CA174" s="65"/>
      <c r="CB174" s="65"/>
      <c r="CC174" s="65"/>
      <c r="CD174" s="65"/>
      <c r="CE174" s="65"/>
      <c r="CF174" s="65"/>
      <c r="CG174" s="65"/>
      <c r="CH174" s="65"/>
      <c r="CI174" s="65"/>
      <c r="CJ174" s="65"/>
      <c r="CK174" s="65"/>
      <c r="CL174" s="65"/>
      <c r="CM174" s="65"/>
      <c r="CN174" s="65"/>
      <c r="CO174" s="65"/>
      <c r="CP174" s="65"/>
      <c r="CQ174" s="68"/>
    </row>
    <row r="175" spans="1:95" s="69" customFormat="1" ht="13.5" thickBot="1" x14ac:dyDescent="0.25">
      <c r="A175" s="99">
        <v>2</v>
      </c>
      <c r="B175" s="46"/>
      <c r="C175" s="46"/>
      <c r="D175" s="46"/>
      <c r="E175" s="42"/>
      <c r="F175" s="42"/>
      <c r="G175" s="47"/>
      <c r="H175" s="230"/>
      <c r="I175" s="230"/>
      <c r="J175" s="46"/>
      <c r="K175" s="42"/>
      <c r="L175" s="42"/>
      <c r="M175" s="42"/>
      <c r="N175" s="42"/>
      <c r="O175" s="46"/>
      <c r="P175" s="182"/>
      <c r="Q175" s="182"/>
      <c r="R175" s="197"/>
      <c r="S175" s="195"/>
      <c r="T175" s="197"/>
      <c r="U175" s="197"/>
      <c r="V175" s="197"/>
      <c r="W175" s="197"/>
      <c r="X175" s="197"/>
      <c r="Y175" s="198"/>
      <c r="Z175" s="24"/>
      <c r="AA175" s="75"/>
      <c r="AB175" s="75"/>
      <c r="AC175" s="75"/>
      <c r="AD175" s="75"/>
      <c r="AE175" s="75"/>
      <c r="AF175" s="24"/>
      <c r="AG175" s="24"/>
      <c r="AH175" s="24"/>
      <c r="AI175" s="24"/>
      <c r="AJ175" s="24"/>
      <c r="AK175" s="24"/>
      <c r="AL175" s="24"/>
      <c r="AM175" s="24"/>
      <c r="AN175" s="24"/>
      <c r="AO175" s="24"/>
      <c r="AP175" s="24"/>
      <c r="AQ175" s="24"/>
      <c r="AR175" s="24"/>
      <c r="AS175" s="24"/>
      <c r="AT175" s="24"/>
      <c r="AU175" s="24"/>
      <c r="AV175" s="24"/>
      <c r="AW175" s="24"/>
      <c r="AX175" s="24"/>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c r="CM175" s="65"/>
      <c r="CN175" s="65"/>
      <c r="CO175" s="65"/>
      <c r="CP175" s="65"/>
      <c r="CQ175" s="68"/>
    </row>
    <row r="176" spans="1:95" s="67" customFormat="1" ht="16.5" customHeight="1" thickBot="1" x14ac:dyDescent="0.25">
      <c r="A176" s="115" t="s">
        <v>70</v>
      </c>
      <c r="B176" s="116"/>
      <c r="C176" s="116"/>
      <c r="D176" s="116"/>
      <c r="E176" s="116"/>
      <c r="F176" s="116"/>
      <c r="G176" s="116"/>
      <c r="H176" s="116"/>
      <c r="I176" s="116"/>
      <c r="J176" s="116"/>
      <c r="K176" s="116"/>
      <c r="L176" s="116"/>
      <c r="M176" s="116"/>
      <c r="N176" s="116"/>
      <c r="O176" s="117"/>
      <c r="P176" s="179">
        <v>0</v>
      </c>
      <c r="Q176" s="179">
        <v>0</v>
      </c>
      <c r="R176" s="179">
        <v>0</v>
      </c>
      <c r="S176" s="179">
        <v>0</v>
      </c>
      <c r="T176" s="179">
        <v>0</v>
      </c>
      <c r="U176" s="179">
        <v>0</v>
      </c>
      <c r="V176" s="179"/>
      <c r="W176" s="179"/>
      <c r="X176" s="179">
        <v>0</v>
      </c>
      <c r="Y176" s="181">
        <v>0</v>
      </c>
      <c r="Z176" s="24"/>
      <c r="AA176" s="75"/>
      <c r="AB176" s="75"/>
      <c r="AC176" s="75"/>
      <c r="AD176" s="75"/>
      <c r="AE176" s="75"/>
      <c r="AF176" s="24"/>
      <c r="AG176" s="24"/>
      <c r="AH176" s="24"/>
      <c r="AI176" s="24"/>
      <c r="AJ176" s="24"/>
      <c r="AK176" s="24"/>
      <c r="AL176" s="24"/>
      <c r="AM176" s="24"/>
      <c r="AN176" s="24"/>
      <c r="AO176" s="24"/>
      <c r="AP176" s="24"/>
      <c r="AQ176" s="24"/>
      <c r="AR176" s="24"/>
      <c r="AS176" s="24"/>
      <c r="AT176" s="24"/>
      <c r="AU176" s="24"/>
      <c r="AV176" s="24"/>
      <c r="AW176" s="24"/>
      <c r="AX176" s="24"/>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c r="BU176" s="65"/>
      <c r="BV176" s="65"/>
      <c r="BW176" s="65"/>
      <c r="BX176" s="65"/>
      <c r="BY176" s="65"/>
      <c r="BZ176" s="65"/>
      <c r="CA176" s="65"/>
      <c r="CB176" s="65"/>
      <c r="CC176" s="65"/>
      <c r="CD176" s="65"/>
      <c r="CE176" s="65"/>
      <c r="CF176" s="65"/>
      <c r="CG176" s="65"/>
      <c r="CH176" s="65"/>
      <c r="CI176" s="65"/>
      <c r="CJ176" s="65"/>
      <c r="CK176" s="65"/>
      <c r="CL176" s="65"/>
      <c r="CM176" s="65"/>
      <c r="CN176" s="65"/>
      <c r="CO176" s="65"/>
      <c r="CP176" s="65"/>
      <c r="CQ176" s="66"/>
    </row>
    <row r="177" spans="1:95" s="69" customFormat="1" ht="22.5" customHeight="1" x14ac:dyDescent="0.2">
      <c r="A177" s="120" t="s">
        <v>30</v>
      </c>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2"/>
      <c r="Z177" s="24"/>
      <c r="AA177" s="75"/>
      <c r="AB177" s="75"/>
      <c r="AC177" s="75"/>
      <c r="AD177" s="75"/>
      <c r="AE177" s="75"/>
      <c r="AF177" s="24"/>
      <c r="AG177" s="24"/>
      <c r="AH177" s="24"/>
      <c r="AI177" s="24"/>
      <c r="AJ177" s="24"/>
      <c r="AK177" s="24"/>
      <c r="AL177" s="24"/>
      <c r="AM177" s="24"/>
      <c r="AN177" s="24"/>
      <c r="AO177" s="24"/>
      <c r="AP177" s="24"/>
      <c r="AQ177" s="24"/>
      <c r="AR177" s="24"/>
      <c r="AS177" s="24"/>
      <c r="AT177" s="24"/>
      <c r="AU177" s="24"/>
      <c r="AV177" s="24"/>
      <c r="AW177" s="24"/>
      <c r="AX177" s="24"/>
      <c r="AY177" s="65"/>
      <c r="AZ177" s="65"/>
      <c r="BA177" s="65"/>
      <c r="BB177" s="65"/>
      <c r="BC177" s="65"/>
      <c r="BD177" s="65"/>
      <c r="BE177" s="65"/>
      <c r="BF177" s="65"/>
      <c r="BG177" s="65"/>
      <c r="BH177" s="65"/>
      <c r="BI177" s="65"/>
      <c r="BJ177" s="65"/>
      <c r="BK177" s="65"/>
      <c r="BL177" s="65"/>
      <c r="BM177" s="65"/>
      <c r="BN177" s="65"/>
      <c r="BO177" s="65"/>
      <c r="BP177" s="65"/>
      <c r="BQ177" s="65"/>
      <c r="BR177" s="65"/>
      <c r="BS177" s="65"/>
      <c r="BT177" s="65"/>
      <c r="BU177" s="65"/>
      <c r="BV177" s="65"/>
      <c r="BW177" s="65"/>
      <c r="BX177" s="65"/>
      <c r="BY177" s="65"/>
      <c r="BZ177" s="65"/>
      <c r="CA177" s="65"/>
      <c r="CB177" s="65"/>
      <c r="CC177" s="65"/>
      <c r="CD177" s="65"/>
      <c r="CE177" s="65"/>
      <c r="CF177" s="65"/>
      <c r="CG177" s="65"/>
      <c r="CH177" s="65"/>
      <c r="CI177" s="65"/>
      <c r="CJ177" s="65"/>
      <c r="CK177" s="65"/>
      <c r="CL177" s="65"/>
      <c r="CM177" s="65"/>
      <c r="CN177" s="65"/>
      <c r="CO177" s="65"/>
      <c r="CP177" s="65"/>
      <c r="CQ177" s="68"/>
    </row>
    <row r="178" spans="1:95" s="25" customFormat="1" ht="68.25" customHeight="1" x14ac:dyDescent="0.2">
      <c r="A178" s="103">
        <v>1</v>
      </c>
      <c r="B178" s="14" t="s">
        <v>247</v>
      </c>
      <c r="C178" s="14" t="s">
        <v>597</v>
      </c>
      <c r="D178" s="14" t="s">
        <v>324</v>
      </c>
      <c r="E178" s="20" t="s">
        <v>259</v>
      </c>
      <c r="F178" s="21" t="s">
        <v>243</v>
      </c>
      <c r="G178" s="32" t="s">
        <v>260</v>
      </c>
      <c r="H178" s="237">
        <v>42339</v>
      </c>
      <c r="I178" s="237">
        <v>43100</v>
      </c>
      <c r="J178" s="21" t="s">
        <v>111</v>
      </c>
      <c r="K178" s="21" t="s">
        <v>316</v>
      </c>
      <c r="L178" s="21" t="s">
        <v>455</v>
      </c>
      <c r="M178" s="21" t="s">
        <v>455</v>
      </c>
      <c r="N178" s="21" t="s">
        <v>112</v>
      </c>
      <c r="O178" s="14">
        <v>121</v>
      </c>
      <c r="P178" s="199">
        <v>56019436.090000004</v>
      </c>
      <c r="Q178" s="199">
        <v>0</v>
      </c>
      <c r="R178" s="199">
        <v>10123117.9</v>
      </c>
      <c r="S178" s="199">
        <v>0</v>
      </c>
      <c r="T178" s="199">
        <v>784</v>
      </c>
      <c r="U178" s="199">
        <v>66143337.990000002</v>
      </c>
      <c r="V178" s="199" t="s">
        <v>301</v>
      </c>
      <c r="W178" s="199">
        <v>2</v>
      </c>
      <c r="X178" s="185">
        <v>56019436.090000004</v>
      </c>
      <c r="Y178" s="187">
        <v>0</v>
      </c>
      <c r="Z178" s="24"/>
      <c r="AA178" s="75"/>
      <c r="AB178" s="75"/>
      <c r="AC178" s="75"/>
      <c r="AD178" s="75"/>
      <c r="AE178" s="75"/>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row>
    <row r="179" spans="1:95" s="70" customFormat="1" ht="153" customHeight="1" x14ac:dyDescent="0.2">
      <c r="A179" s="92">
        <v>2</v>
      </c>
      <c r="B179" s="31" t="s">
        <v>145</v>
      </c>
      <c r="C179" s="14">
        <v>119352</v>
      </c>
      <c r="D179" s="14" t="s">
        <v>502</v>
      </c>
      <c r="E179" s="20" t="s">
        <v>282</v>
      </c>
      <c r="F179" s="21" t="s">
        <v>243</v>
      </c>
      <c r="G179" s="32" t="s">
        <v>283</v>
      </c>
      <c r="H179" s="227">
        <v>42339</v>
      </c>
      <c r="I179" s="227">
        <v>44012</v>
      </c>
      <c r="J179" s="21" t="s">
        <v>111</v>
      </c>
      <c r="K179" s="21" t="s">
        <v>316</v>
      </c>
      <c r="L179" s="21" t="s">
        <v>455</v>
      </c>
      <c r="M179" s="21" t="s">
        <v>455</v>
      </c>
      <c r="N179" s="21" t="s">
        <v>112</v>
      </c>
      <c r="O179" s="21">
        <v>121</v>
      </c>
      <c r="P179" s="185">
        <v>14330131.550000001</v>
      </c>
      <c r="Q179" s="185">
        <v>0</v>
      </c>
      <c r="R179" s="185">
        <v>2589558.54</v>
      </c>
      <c r="S179" s="199">
        <v>0</v>
      </c>
      <c r="T179" s="185">
        <v>0</v>
      </c>
      <c r="U179" s="185">
        <f t="shared" ref="U179:U186" si="23">P179+Q179+R179+S179+T179</f>
        <v>16919690.09</v>
      </c>
      <c r="V179" s="185" t="s">
        <v>301</v>
      </c>
      <c r="W179" s="185">
        <v>8</v>
      </c>
      <c r="X179" s="185">
        <f>12347728.51+1991773.29</f>
        <v>14339501.800000001</v>
      </c>
      <c r="Y179" s="187">
        <v>0</v>
      </c>
      <c r="Z179" s="74"/>
      <c r="AA179" s="75"/>
      <c r="AB179" s="75"/>
      <c r="AC179" s="75"/>
      <c r="AD179" s="75"/>
      <c r="AE179" s="75"/>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row>
    <row r="180" spans="1:95" s="25" customFormat="1" ht="38.25" x14ac:dyDescent="0.2">
      <c r="A180" s="103">
        <v>3</v>
      </c>
      <c r="B180" s="19" t="s">
        <v>217</v>
      </c>
      <c r="C180" s="19" t="s">
        <v>607</v>
      </c>
      <c r="D180" s="19" t="s">
        <v>327</v>
      </c>
      <c r="E180" s="20" t="s">
        <v>223</v>
      </c>
      <c r="F180" s="21" t="s">
        <v>754</v>
      </c>
      <c r="G180" s="23" t="s">
        <v>224</v>
      </c>
      <c r="H180" s="227">
        <v>42051</v>
      </c>
      <c r="I180" s="227">
        <v>45291</v>
      </c>
      <c r="J180" s="21" t="s">
        <v>111</v>
      </c>
      <c r="K180" s="21" t="s">
        <v>316</v>
      </c>
      <c r="L180" s="21" t="s">
        <v>455</v>
      </c>
      <c r="M180" s="21" t="s">
        <v>455</v>
      </c>
      <c r="N180" s="21" t="s">
        <v>112</v>
      </c>
      <c r="O180" s="21">
        <v>121</v>
      </c>
      <c r="P180" s="185">
        <v>16027596.800000001</v>
      </c>
      <c r="Q180" s="185">
        <v>0</v>
      </c>
      <c r="R180" s="185">
        <v>2896302.84</v>
      </c>
      <c r="S180" s="185">
        <v>0</v>
      </c>
      <c r="T180" s="185">
        <v>2580196.88</v>
      </c>
      <c r="U180" s="185">
        <f t="shared" si="23"/>
        <v>21504096.52</v>
      </c>
      <c r="V180" s="185" t="s">
        <v>311</v>
      </c>
      <c r="W180" s="185">
        <v>5</v>
      </c>
      <c r="X180" s="185">
        <f>2453625.2+162529.36+3621.39+9068.91+86102.61+5247.95+5437.48+1394.75+2716.59+2028.25+18596.36+217422.38+923152.79+133099.53+405690.93+2294910.51+520721.77+360664.25</f>
        <v>7606031.0099999998</v>
      </c>
      <c r="Y180" s="187">
        <v>0</v>
      </c>
      <c r="Z180" s="76"/>
      <c r="AA180" s="75"/>
      <c r="AB180" s="75"/>
      <c r="AC180" s="75"/>
      <c r="AD180" s="75"/>
      <c r="AE180" s="75"/>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row>
    <row r="181" spans="1:95" s="25" customFormat="1" ht="185.25" customHeight="1" x14ac:dyDescent="0.2">
      <c r="A181" s="92">
        <v>4</v>
      </c>
      <c r="B181" s="19" t="s">
        <v>145</v>
      </c>
      <c r="C181" s="19" t="s">
        <v>608</v>
      </c>
      <c r="D181" s="19" t="s">
        <v>328</v>
      </c>
      <c r="E181" s="20" t="s">
        <v>227</v>
      </c>
      <c r="F181" s="21" t="s">
        <v>754</v>
      </c>
      <c r="G181" s="23" t="s">
        <v>228</v>
      </c>
      <c r="H181" s="227">
        <v>42370</v>
      </c>
      <c r="I181" s="227">
        <v>44985</v>
      </c>
      <c r="J181" s="21" t="s">
        <v>111</v>
      </c>
      <c r="K181" s="21" t="s">
        <v>316</v>
      </c>
      <c r="L181" s="21" t="s">
        <v>455</v>
      </c>
      <c r="M181" s="21" t="s">
        <v>455</v>
      </c>
      <c r="N181" s="21" t="s">
        <v>112</v>
      </c>
      <c r="O181" s="21">
        <v>121</v>
      </c>
      <c r="P181" s="185">
        <v>1648793.01</v>
      </c>
      <c r="Q181" s="185">
        <v>0</v>
      </c>
      <c r="R181" s="191">
        <v>297948.84000000003</v>
      </c>
      <c r="S181" s="185">
        <v>0</v>
      </c>
      <c r="T181" s="191">
        <v>2747.89</v>
      </c>
      <c r="U181" s="185">
        <f t="shared" si="23"/>
        <v>1949489.74</v>
      </c>
      <c r="V181" s="185" t="str">
        <f>V180</f>
        <v>in implementare</v>
      </c>
      <c r="W181" s="185">
        <v>5</v>
      </c>
      <c r="X181" s="185">
        <f>1068637.44+57967.98+67605.43+2267.87+48439.38+35121.79+98771.31+64223.36+51744.9</f>
        <v>1494779.46</v>
      </c>
      <c r="Y181" s="187">
        <v>0</v>
      </c>
      <c r="Z181" s="76"/>
      <c r="AA181" s="75"/>
      <c r="AB181" s="75"/>
      <c r="AC181" s="75"/>
      <c r="AD181" s="75"/>
      <c r="AE181" s="75"/>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row>
    <row r="182" spans="1:95" s="70" customFormat="1" ht="63.75" x14ac:dyDescent="0.2">
      <c r="A182" s="103">
        <v>5</v>
      </c>
      <c r="B182" s="40" t="s">
        <v>232</v>
      </c>
      <c r="C182" s="40" t="s">
        <v>609</v>
      </c>
      <c r="D182" s="19" t="s">
        <v>334</v>
      </c>
      <c r="E182" s="20" t="s">
        <v>262</v>
      </c>
      <c r="F182" s="21" t="s">
        <v>194</v>
      </c>
      <c r="G182" s="23" t="s">
        <v>263</v>
      </c>
      <c r="H182" s="227">
        <v>42461</v>
      </c>
      <c r="I182" s="227">
        <v>43890</v>
      </c>
      <c r="J182" s="21" t="s">
        <v>111</v>
      </c>
      <c r="K182" s="21" t="s">
        <v>316</v>
      </c>
      <c r="L182" s="21" t="s">
        <v>455</v>
      </c>
      <c r="M182" s="21" t="s">
        <v>455</v>
      </c>
      <c r="N182" s="21" t="s">
        <v>112</v>
      </c>
      <c r="O182" s="21">
        <v>121</v>
      </c>
      <c r="P182" s="199">
        <f>764301.63-103554.47</f>
        <v>660747.16</v>
      </c>
      <c r="Q182" s="199">
        <v>0</v>
      </c>
      <c r="R182" s="199">
        <f>138114.84-18713.05</f>
        <v>119401.79</v>
      </c>
      <c r="S182" s="199">
        <v>0</v>
      </c>
      <c r="T182" s="199">
        <v>0</v>
      </c>
      <c r="U182" s="185">
        <f t="shared" si="23"/>
        <v>780148.95000000007</v>
      </c>
      <c r="V182" s="185" t="s">
        <v>301</v>
      </c>
      <c r="W182" s="185">
        <v>4</v>
      </c>
      <c r="X182" s="185">
        <f>184571.69+170269.35+101859.11+204047.01</f>
        <v>660747.16</v>
      </c>
      <c r="Y182" s="187">
        <v>0</v>
      </c>
      <c r="Z182" s="24"/>
      <c r="AA182" s="75"/>
      <c r="AB182" s="75"/>
      <c r="AC182" s="75"/>
      <c r="AD182" s="75"/>
      <c r="AE182" s="75"/>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row>
    <row r="183" spans="1:95" s="70" customFormat="1" ht="51" x14ac:dyDescent="0.2">
      <c r="A183" s="92">
        <v>6</v>
      </c>
      <c r="B183" s="31" t="s">
        <v>241</v>
      </c>
      <c r="C183" s="14">
        <v>119449</v>
      </c>
      <c r="D183" s="14" t="s">
        <v>337</v>
      </c>
      <c r="E183" s="20" t="s">
        <v>287</v>
      </c>
      <c r="F183" s="21" t="s">
        <v>288</v>
      </c>
      <c r="G183" s="32" t="s">
        <v>289</v>
      </c>
      <c r="H183" s="227">
        <v>43222</v>
      </c>
      <c r="I183" s="227">
        <v>44926</v>
      </c>
      <c r="J183" s="21" t="s">
        <v>111</v>
      </c>
      <c r="K183" s="21" t="s">
        <v>316</v>
      </c>
      <c r="L183" s="21" t="s">
        <v>455</v>
      </c>
      <c r="M183" s="21" t="s">
        <v>455</v>
      </c>
      <c r="N183" s="21" t="s">
        <v>112</v>
      </c>
      <c r="O183" s="21">
        <v>121</v>
      </c>
      <c r="P183" s="199">
        <v>2368449.84</v>
      </c>
      <c r="Q183" s="199">
        <v>0</v>
      </c>
      <c r="R183" s="199">
        <v>427996.06</v>
      </c>
      <c r="S183" s="199">
        <v>0</v>
      </c>
      <c r="T183" s="199">
        <v>46908.12</v>
      </c>
      <c r="U183" s="185">
        <f t="shared" si="23"/>
        <v>2843354.02</v>
      </c>
      <c r="V183" s="185" t="s">
        <v>113</v>
      </c>
      <c r="W183" s="185">
        <v>3</v>
      </c>
      <c r="X183" s="185">
        <f>90271.86+291172.03+30120.08+11959.79+5352.72</f>
        <v>428876.48</v>
      </c>
      <c r="Y183" s="187">
        <v>0</v>
      </c>
      <c r="Z183" s="24"/>
      <c r="AA183" s="75"/>
      <c r="AB183" s="75"/>
      <c r="AC183" s="75"/>
      <c r="AD183" s="75"/>
      <c r="AE183" s="75"/>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row>
    <row r="184" spans="1:95" s="70" customFormat="1" ht="73.5" customHeight="1" x14ac:dyDescent="0.2">
      <c r="A184" s="103">
        <v>7</v>
      </c>
      <c r="B184" s="31" t="s">
        <v>166</v>
      </c>
      <c r="C184" s="14">
        <v>118800</v>
      </c>
      <c r="D184" s="14" t="s">
        <v>339</v>
      </c>
      <c r="E184" s="20" t="s">
        <v>292</v>
      </c>
      <c r="F184" s="21" t="s">
        <v>194</v>
      </c>
      <c r="G184" s="20" t="s">
        <v>296</v>
      </c>
      <c r="H184" s="227">
        <v>42370</v>
      </c>
      <c r="I184" s="227">
        <v>43465</v>
      </c>
      <c r="J184" s="21" t="s">
        <v>111</v>
      </c>
      <c r="K184" s="21" t="s">
        <v>316</v>
      </c>
      <c r="L184" s="21" t="s">
        <v>455</v>
      </c>
      <c r="M184" s="21" t="s">
        <v>455</v>
      </c>
      <c r="N184" s="21" t="s">
        <v>112</v>
      </c>
      <c r="O184" s="21">
        <v>121</v>
      </c>
      <c r="P184" s="185">
        <f>7342704.45-191253.02</f>
        <v>7151451.4300000006</v>
      </c>
      <c r="Q184" s="185">
        <v>0</v>
      </c>
      <c r="R184" s="185">
        <v>1292318.9399999995</v>
      </c>
      <c r="S184" s="185">
        <v>0</v>
      </c>
      <c r="T184" s="185">
        <v>0</v>
      </c>
      <c r="U184" s="185">
        <f t="shared" si="23"/>
        <v>8443770.370000001</v>
      </c>
      <c r="V184" s="185" t="s">
        <v>301</v>
      </c>
      <c r="W184" s="185">
        <v>2</v>
      </c>
      <c r="X184" s="185">
        <v>7151451.4299999997</v>
      </c>
      <c r="Y184" s="187">
        <v>0</v>
      </c>
      <c r="Z184" s="24"/>
      <c r="AA184" s="75"/>
      <c r="AB184" s="75"/>
      <c r="AC184" s="75"/>
      <c r="AD184" s="75"/>
      <c r="AE184" s="75"/>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row>
    <row r="185" spans="1:95" s="70" customFormat="1" ht="99" customHeight="1" x14ac:dyDescent="0.2">
      <c r="A185" s="92">
        <v>8</v>
      </c>
      <c r="B185" s="31" t="s">
        <v>293</v>
      </c>
      <c r="C185" s="14">
        <v>124409</v>
      </c>
      <c r="D185" s="14" t="s">
        <v>340</v>
      </c>
      <c r="E185" s="20" t="s">
        <v>294</v>
      </c>
      <c r="F185" s="21" t="s">
        <v>755</v>
      </c>
      <c r="G185" s="20" t="s">
        <v>295</v>
      </c>
      <c r="H185" s="227">
        <v>43252</v>
      </c>
      <c r="I185" s="227">
        <v>43830</v>
      </c>
      <c r="J185" s="21" t="s">
        <v>111</v>
      </c>
      <c r="K185" s="21" t="s">
        <v>316</v>
      </c>
      <c r="L185" s="21" t="s">
        <v>455</v>
      </c>
      <c r="M185" s="21" t="s">
        <v>455</v>
      </c>
      <c r="N185" s="21" t="s">
        <v>112</v>
      </c>
      <c r="O185" s="21">
        <v>121</v>
      </c>
      <c r="P185" s="185">
        <v>0</v>
      </c>
      <c r="Q185" s="185">
        <v>0</v>
      </c>
      <c r="R185" s="185">
        <v>0</v>
      </c>
      <c r="S185" s="185">
        <v>0</v>
      </c>
      <c r="T185" s="185">
        <v>0</v>
      </c>
      <c r="U185" s="185">
        <f t="shared" si="23"/>
        <v>0</v>
      </c>
      <c r="V185" s="185" t="s">
        <v>399</v>
      </c>
      <c r="W185" s="185">
        <v>0</v>
      </c>
      <c r="X185" s="185">
        <v>0</v>
      </c>
      <c r="Y185" s="187">
        <v>0</v>
      </c>
      <c r="Z185" s="24"/>
      <c r="AA185" s="75"/>
      <c r="AB185" s="75"/>
      <c r="AC185" s="75"/>
      <c r="AD185" s="75"/>
      <c r="AE185" s="75"/>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row>
    <row r="186" spans="1:95" s="70" customFormat="1" ht="182.25" customHeight="1" x14ac:dyDescent="0.2">
      <c r="A186" s="103">
        <v>9</v>
      </c>
      <c r="B186" s="31" t="s">
        <v>114</v>
      </c>
      <c r="C186" s="14">
        <v>116789</v>
      </c>
      <c r="D186" s="14" t="s">
        <v>344</v>
      </c>
      <c r="E186" s="20" t="s">
        <v>109</v>
      </c>
      <c r="F186" s="21" t="s">
        <v>766</v>
      </c>
      <c r="G186" s="20" t="s">
        <v>110</v>
      </c>
      <c r="H186" s="227">
        <v>42510</v>
      </c>
      <c r="I186" s="227">
        <v>44296</v>
      </c>
      <c r="J186" s="21" t="s">
        <v>111</v>
      </c>
      <c r="K186" s="21" t="s">
        <v>316</v>
      </c>
      <c r="L186" s="21" t="s">
        <v>455</v>
      </c>
      <c r="M186" s="21" t="s">
        <v>455</v>
      </c>
      <c r="N186" s="21" t="s">
        <v>112</v>
      </c>
      <c r="O186" s="21">
        <v>121</v>
      </c>
      <c r="P186" s="185">
        <v>12335615.119999999</v>
      </c>
      <c r="Q186" s="185">
        <v>345124.89</v>
      </c>
      <c r="R186" s="185">
        <v>1884010.1</v>
      </c>
      <c r="S186" s="185">
        <v>0</v>
      </c>
      <c r="T186" s="185">
        <v>0</v>
      </c>
      <c r="U186" s="185">
        <f t="shared" si="23"/>
        <v>14564750.109999999</v>
      </c>
      <c r="V186" s="185" t="s">
        <v>301</v>
      </c>
      <c r="W186" s="185">
        <v>7</v>
      </c>
      <c r="X186" s="185">
        <f>6374869.6+424936.8+190801.31+1724910.92+642863.85+586034.35+416756.99+57695.55+6889.33+1197017.3+193594.99+363171.31+156072.82</f>
        <v>12335615.120000001</v>
      </c>
      <c r="Y186" s="187">
        <f>216309.7+100611.7+28203.49</f>
        <v>345124.89</v>
      </c>
      <c r="Z186" s="74"/>
      <c r="AA186" s="75"/>
      <c r="AB186" s="75"/>
      <c r="AC186" s="75"/>
      <c r="AD186" s="75"/>
      <c r="AE186" s="75"/>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row>
    <row r="187" spans="1:95" s="70" customFormat="1" ht="109.5" customHeight="1" x14ac:dyDescent="0.2">
      <c r="A187" s="92">
        <v>10</v>
      </c>
      <c r="B187" s="31" t="s">
        <v>114</v>
      </c>
      <c r="C187" s="14">
        <v>116670</v>
      </c>
      <c r="D187" s="33" t="s">
        <v>345</v>
      </c>
      <c r="E187" s="20" t="s">
        <v>115</v>
      </c>
      <c r="F187" s="21" t="s">
        <v>116</v>
      </c>
      <c r="G187" s="32" t="s">
        <v>117</v>
      </c>
      <c r="H187" s="227">
        <v>42522</v>
      </c>
      <c r="I187" s="227">
        <v>42978</v>
      </c>
      <c r="J187" s="21" t="s">
        <v>111</v>
      </c>
      <c r="K187" s="21" t="s">
        <v>316</v>
      </c>
      <c r="L187" s="21" t="s">
        <v>455</v>
      </c>
      <c r="M187" s="21" t="s">
        <v>455</v>
      </c>
      <c r="N187" s="21" t="s">
        <v>112</v>
      </c>
      <c r="O187" s="21">
        <v>121</v>
      </c>
      <c r="P187" s="185">
        <v>771222.57</v>
      </c>
      <c r="Q187" s="185">
        <v>0</v>
      </c>
      <c r="R187" s="185">
        <v>139365.51</v>
      </c>
      <c r="S187" s="185">
        <v>0</v>
      </c>
      <c r="T187" s="185">
        <v>0</v>
      </c>
      <c r="U187" s="185">
        <f t="shared" ref="U187:U260" si="24">P187+Q187+R187+S187+T187</f>
        <v>910588.08</v>
      </c>
      <c r="V187" s="185" t="s">
        <v>301</v>
      </c>
      <c r="W187" s="185">
        <v>2</v>
      </c>
      <c r="X187" s="185">
        <f>217870.14+553352.42</f>
        <v>771222.56</v>
      </c>
      <c r="Y187" s="187">
        <v>0</v>
      </c>
      <c r="Z187" s="24"/>
      <c r="AA187" s="75"/>
      <c r="AB187" s="75"/>
      <c r="AC187" s="75"/>
      <c r="AD187" s="75"/>
      <c r="AE187" s="75"/>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row>
    <row r="188" spans="1:95" s="70" customFormat="1" ht="75.75" customHeight="1" x14ac:dyDescent="0.2">
      <c r="A188" s="103">
        <v>11</v>
      </c>
      <c r="B188" s="31" t="s">
        <v>120</v>
      </c>
      <c r="C188" s="14">
        <v>119951</v>
      </c>
      <c r="D188" s="14" t="s">
        <v>346</v>
      </c>
      <c r="E188" s="20" t="s">
        <v>118</v>
      </c>
      <c r="F188" s="21" t="s">
        <v>756</v>
      </c>
      <c r="G188" s="32" t="s">
        <v>119</v>
      </c>
      <c r="H188" s="227">
        <v>42278</v>
      </c>
      <c r="I188" s="227">
        <v>43830</v>
      </c>
      <c r="J188" s="21" t="s">
        <v>111</v>
      </c>
      <c r="K188" s="21" t="s">
        <v>316</v>
      </c>
      <c r="L188" s="21" t="s">
        <v>455</v>
      </c>
      <c r="M188" s="21" t="s">
        <v>455</v>
      </c>
      <c r="N188" s="21" t="s">
        <v>112</v>
      </c>
      <c r="O188" s="21">
        <v>123</v>
      </c>
      <c r="P188" s="185">
        <f>189946.35-5108.03</f>
        <v>184838.32</v>
      </c>
      <c r="Q188" s="185">
        <v>0</v>
      </c>
      <c r="R188" s="185">
        <f>34324.68-923.04</f>
        <v>33401.64</v>
      </c>
      <c r="S188" s="185">
        <v>0</v>
      </c>
      <c r="T188" s="185">
        <v>0</v>
      </c>
      <c r="U188" s="185">
        <f t="shared" si="24"/>
        <v>218239.96000000002</v>
      </c>
      <c r="V188" s="185" t="s">
        <v>301</v>
      </c>
      <c r="W188" s="185">
        <v>4</v>
      </c>
      <c r="X188" s="185">
        <f>152286.16+8863.72+23289.88+1473.85</f>
        <v>185913.61000000002</v>
      </c>
      <c r="Y188" s="187">
        <v>0</v>
      </c>
      <c r="Z188" s="24"/>
      <c r="AA188" s="75"/>
      <c r="AB188" s="75"/>
      <c r="AC188" s="75"/>
      <c r="AD188" s="75"/>
      <c r="AE188" s="75"/>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row>
    <row r="189" spans="1:95" s="70" customFormat="1" ht="51" x14ac:dyDescent="0.2">
      <c r="A189" s="92">
        <v>12</v>
      </c>
      <c r="B189" s="31" t="s">
        <v>121</v>
      </c>
      <c r="C189" s="14">
        <v>117136</v>
      </c>
      <c r="D189" s="14" t="s">
        <v>347</v>
      </c>
      <c r="E189" s="20" t="s">
        <v>297</v>
      </c>
      <c r="F189" s="21" t="s">
        <v>122</v>
      </c>
      <c r="G189" s="32" t="s">
        <v>123</v>
      </c>
      <c r="H189" s="227">
        <v>42639</v>
      </c>
      <c r="I189" s="227">
        <v>43276</v>
      </c>
      <c r="J189" s="21" t="s">
        <v>111</v>
      </c>
      <c r="K189" s="21" t="s">
        <v>316</v>
      </c>
      <c r="L189" s="21" t="s">
        <v>455</v>
      </c>
      <c r="M189" s="21" t="s">
        <v>455</v>
      </c>
      <c r="N189" s="21" t="s">
        <v>112</v>
      </c>
      <c r="O189" s="21">
        <v>121</v>
      </c>
      <c r="P189" s="185">
        <v>953345.23</v>
      </c>
      <c r="Q189" s="185">
        <v>0</v>
      </c>
      <c r="R189" s="185">
        <v>172276.4</v>
      </c>
      <c r="S189" s="185">
        <v>0</v>
      </c>
      <c r="T189" s="185">
        <v>0</v>
      </c>
      <c r="U189" s="185">
        <f t="shared" si="24"/>
        <v>1125621.6299999999</v>
      </c>
      <c r="V189" s="185" t="s">
        <v>301</v>
      </c>
      <c r="W189" s="185">
        <v>4</v>
      </c>
      <c r="X189" s="185">
        <f>312162.21+384872.2+46203.66+210107.16</f>
        <v>953345.2300000001</v>
      </c>
      <c r="Y189" s="187">
        <v>0</v>
      </c>
      <c r="Z189" s="24"/>
      <c r="AA189" s="75"/>
      <c r="AB189" s="75"/>
      <c r="AC189" s="75"/>
      <c r="AD189" s="75"/>
      <c r="AE189" s="75"/>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row>
    <row r="190" spans="1:95" s="70" customFormat="1" ht="114.75" x14ac:dyDescent="0.2">
      <c r="A190" s="103">
        <v>13</v>
      </c>
      <c r="B190" s="31" t="s">
        <v>121</v>
      </c>
      <c r="C190" s="14">
        <v>118449</v>
      </c>
      <c r="D190" s="14" t="s">
        <v>348</v>
      </c>
      <c r="E190" s="20" t="s">
        <v>131</v>
      </c>
      <c r="F190" s="21" t="s">
        <v>116</v>
      </c>
      <c r="G190" s="32" t="s">
        <v>132</v>
      </c>
      <c r="H190" s="227">
        <v>42767</v>
      </c>
      <c r="I190" s="227">
        <v>43861</v>
      </c>
      <c r="J190" s="21" t="s">
        <v>111</v>
      </c>
      <c r="K190" s="21" t="s">
        <v>316</v>
      </c>
      <c r="L190" s="21" t="s">
        <v>455</v>
      </c>
      <c r="M190" s="21" t="s">
        <v>455</v>
      </c>
      <c r="N190" s="21" t="s">
        <v>112</v>
      </c>
      <c r="O190" s="21">
        <v>121</v>
      </c>
      <c r="P190" s="185">
        <f>4696144.91-1077263.74</f>
        <v>3618881.17</v>
      </c>
      <c r="Q190" s="185">
        <v>0</v>
      </c>
      <c r="R190" s="185">
        <f>848627.41-194669.36</f>
        <v>653958.05000000005</v>
      </c>
      <c r="S190" s="185">
        <v>0</v>
      </c>
      <c r="T190" s="185">
        <v>0</v>
      </c>
      <c r="U190" s="185">
        <f t="shared" si="24"/>
        <v>4272839.22</v>
      </c>
      <c r="V190" s="185" t="s">
        <v>301</v>
      </c>
      <c r="W190" s="185">
        <v>3</v>
      </c>
      <c r="X190" s="185">
        <v>3631731.1</v>
      </c>
      <c r="Y190" s="187">
        <v>0</v>
      </c>
      <c r="Z190" s="76"/>
      <c r="AA190" s="75"/>
      <c r="AB190" s="75"/>
      <c r="AC190" s="75"/>
      <c r="AD190" s="75"/>
      <c r="AE190" s="75"/>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row>
    <row r="191" spans="1:95" s="78" customFormat="1" ht="69.75" customHeight="1" x14ac:dyDescent="0.2">
      <c r="A191" s="92">
        <v>14</v>
      </c>
      <c r="B191" s="52" t="s">
        <v>133</v>
      </c>
      <c r="C191" s="53">
        <v>119989</v>
      </c>
      <c r="D191" s="14" t="s">
        <v>349</v>
      </c>
      <c r="E191" s="54" t="s">
        <v>134</v>
      </c>
      <c r="F191" s="39" t="s">
        <v>756</v>
      </c>
      <c r="G191" s="55" t="s">
        <v>135</v>
      </c>
      <c r="H191" s="235">
        <v>42461</v>
      </c>
      <c r="I191" s="235">
        <v>45138</v>
      </c>
      <c r="J191" s="39" t="s">
        <v>111</v>
      </c>
      <c r="K191" s="21" t="s">
        <v>316</v>
      </c>
      <c r="L191" s="21" t="s">
        <v>455</v>
      </c>
      <c r="M191" s="21" t="s">
        <v>455</v>
      </c>
      <c r="N191" s="39" t="s">
        <v>112</v>
      </c>
      <c r="O191" s="39">
        <v>123</v>
      </c>
      <c r="P191" s="185">
        <v>693609.09</v>
      </c>
      <c r="Q191" s="185">
        <v>0</v>
      </c>
      <c r="R191" s="185">
        <v>125340.19</v>
      </c>
      <c r="S191" s="191">
        <v>0</v>
      </c>
      <c r="T191" s="191">
        <v>0</v>
      </c>
      <c r="U191" s="185">
        <f t="shared" si="24"/>
        <v>818949.28</v>
      </c>
      <c r="V191" s="191" t="s">
        <v>113</v>
      </c>
      <c r="W191" s="191">
        <v>6</v>
      </c>
      <c r="X191" s="185">
        <f>210623.3+131311.13+5779.5+761.58</f>
        <v>348475.51</v>
      </c>
      <c r="Y191" s="207">
        <v>0</v>
      </c>
      <c r="Z191" s="24"/>
      <c r="AA191" s="75"/>
      <c r="AB191" s="75"/>
      <c r="AC191" s="75"/>
      <c r="AD191" s="75"/>
      <c r="AE191" s="75"/>
      <c r="AF191" s="24"/>
      <c r="AG191" s="24"/>
      <c r="AH191" s="24"/>
      <c r="AI191" s="24"/>
      <c r="AJ191" s="24"/>
      <c r="AK191" s="24"/>
      <c r="AL191" s="24"/>
      <c r="AM191" s="24"/>
      <c r="AN191" s="24"/>
      <c r="AO191" s="24"/>
      <c r="AP191" s="24"/>
      <c r="AQ191" s="24"/>
      <c r="AR191" s="24"/>
      <c r="AS191" s="24"/>
      <c r="AT191" s="24"/>
      <c r="AU191" s="24"/>
      <c r="AV191" s="24"/>
      <c r="AW191" s="24"/>
      <c r="AX191" s="24"/>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5"/>
      <c r="BY191" s="65"/>
      <c r="BZ191" s="65"/>
      <c r="CA191" s="65"/>
      <c r="CB191" s="65"/>
      <c r="CC191" s="65"/>
      <c r="CD191" s="65"/>
      <c r="CE191" s="65"/>
      <c r="CF191" s="65"/>
      <c r="CG191" s="65"/>
      <c r="CH191" s="65"/>
      <c r="CI191" s="65"/>
      <c r="CJ191" s="65"/>
      <c r="CK191" s="65"/>
      <c r="CL191" s="65"/>
      <c r="CM191" s="65"/>
      <c r="CN191" s="65"/>
      <c r="CO191" s="65"/>
      <c r="CP191" s="65"/>
      <c r="CQ191" s="65"/>
    </row>
    <row r="192" spans="1:95" s="78" customFormat="1" ht="89.25" x14ac:dyDescent="0.2">
      <c r="A192" s="103">
        <v>15</v>
      </c>
      <c r="B192" s="52" t="s">
        <v>133</v>
      </c>
      <c r="C192" s="53">
        <v>120088</v>
      </c>
      <c r="D192" s="14" t="s">
        <v>350</v>
      </c>
      <c r="E192" s="54" t="s">
        <v>138</v>
      </c>
      <c r="F192" s="39" t="s">
        <v>757</v>
      </c>
      <c r="G192" s="55" t="s">
        <v>139</v>
      </c>
      <c r="H192" s="235">
        <v>42887</v>
      </c>
      <c r="I192" s="227">
        <v>45281</v>
      </c>
      <c r="J192" s="39" t="s">
        <v>111</v>
      </c>
      <c r="K192" s="21" t="s">
        <v>316</v>
      </c>
      <c r="L192" s="21" t="s">
        <v>455</v>
      </c>
      <c r="M192" s="21" t="s">
        <v>455</v>
      </c>
      <c r="N192" s="39" t="s">
        <v>112</v>
      </c>
      <c r="O192" s="39">
        <v>123</v>
      </c>
      <c r="P192" s="185">
        <v>13259498.75</v>
      </c>
      <c r="Q192" s="185">
        <v>0</v>
      </c>
      <c r="R192" s="191">
        <v>2396087.4700000002</v>
      </c>
      <c r="S192" s="191">
        <v>0</v>
      </c>
      <c r="T192" s="191">
        <v>0</v>
      </c>
      <c r="U192" s="191">
        <f t="shared" si="24"/>
        <v>15655586.220000001</v>
      </c>
      <c r="V192" s="191" t="s">
        <v>113</v>
      </c>
      <c r="W192" s="191">
        <v>4</v>
      </c>
      <c r="X192" s="185">
        <f>7982.33+1813501.7+4561098.53+4434.63+4434.63+22173.15+8869.26+17738.52+8869.26+13303.89+44127.81</f>
        <v>6506533.709999999</v>
      </c>
      <c r="Y192" s="207">
        <v>0</v>
      </c>
      <c r="Z192" s="24"/>
      <c r="AA192" s="75"/>
      <c r="AB192" s="75"/>
      <c r="AC192" s="75"/>
      <c r="AD192" s="75"/>
      <c r="AE192" s="75"/>
      <c r="AF192" s="24"/>
      <c r="AG192" s="24"/>
      <c r="AH192" s="24"/>
      <c r="AI192" s="24"/>
      <c r="AJ192" s="24"/>
      <c r="AK192" s="24"/>
      <c r="AL192" s="24"/>
      <c r="AM192" s="24"/>
      <c r="AN192" s="24"/>
      <c r="AO192" s="24"/>
      <c r="AP192" s="24"/>
      <c r="AQ192" s="24"/>
      <c r="AR192" s="24"/>
      <c r="AS192" s="24"/>
      <c r="AT192" s="24"/>
      <c r="AU192" s="24"/>
      <c r="AV192" s="24"/>
      <c r="AW192" s="24"/>
      <c r="AX192" s="24"/>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c r="BU192" s="65"/>
      <c r="BV192" s="65"/>
      <c r="BW192" s="65"/>
      <c r="BX192" s="65"/>
      <c r="BY192" s="65"/>
      <c r="BZ192" s="65"/>
      <c r="CA192" s="65"/>
      <c r="CB192" s="65"/>
      <c r="CC192" s="65"/>
      <c r="CD192" s="65"/>
      <c r="CE192" s="65"/>
      <c r="CF192" s="65"/>
      <c r="CG192" s="65"/>
      <c r="CH192" s="65"/>
      <c r="CI192" s="65"/>
      <c r="CJ192" s="65"/>
      <c r="CK192" s="65"/>
      <c r="CL192" s="65"/>
      <c r="CM192" s="65"/>
      <c r="CN192" s="65"/>
      <c r="CO192" s="65"/>
      <c r="CP192" s="65"/>
      <c r="CQ192" s="65"/>
    </row>
    <row r="193" spans="1:95" s="80" customFormat="1" ht="51" x14ac:dyDescent="0.2">
      <c r="A193" s="92">
        <v>16</v>
      </c>
      <c r="B193" s="52" t="s">
        <v>133</v>
      </c>
      <c r="C193" s="53">
        <v>120018</v>
      </c>
      <c r="D193" s="14" t="s">
        <v>351</v>
      </c>
      <c r="E193" s="54" t="s">
        <v>140</v>
      </c>
      <c r="F193" s="39" t="s">
        <v>757</v>
      </c>
      <c r="G193" s="55" t="s">
        <v>141</v>
      </c>
      <c r="H193" s="235">
        <v>43070</v>
      </c>
      <c r="I193" s="235">
        <v>44592</v>
      </c>
      <c r="J193" s="39" t="s">
        <v>111</v>
      </c>
      <c r="K193" s="21" t="s">
        <v>316</v>
      </c>
      <c r="L193" s="21" t="s">
        <v>455</v>
      </c>
      <c r="M193" s="21" t="s">
        <v>455</v>
      </c>
      <c r="N193" s="39" t="s">
        <v>112</v>
      </c>
      <c r="O193" s="39">
        <v>123</v>
      </c>
      <c r="P193" s="185">
        <v>422978.04999999935</v>
      </c>
      <c r="Q193" s="185">
        <v>0</v>
      </c>
      <c r="R193" s="191">
        <v>76435.200000001583</v>
      </c>
      <c r="S193" s="191">
        <v>0</v>
      </c>
      <c r="T193" s="191">
        <v>0</v>
      </c>
      <c r="U193" s="191">
        <f t="shared" si="24"/>
        <v>499413.25000000093</v>
      </c>
      <c r="V193" s="191" t="s">
        <v>113</v>
      </c>
      <c r="W193" s="191">
        <v>3</v>
      </c>
      <c r="X193" s="191">
        <v>0</v>
      </c>
      <c r="Y193" s="207">
        <v>0</v>
      </c>
      <c r="Z193" s="24"/>
      <c r="AA193" s="75"/>
      <c r="AB193" s="75"/>
      <c r="AC193" s="75"/>
      <c r="AD193" s="75"/>
      <c r="AE193" s="75"/>
      <c r="AF193" s="24"/>
      <c r="AG193" s="24"/>
      <c r="AH193" s="24"/>
      <c r="AI193" s="24"/>
      <c r="AJ193" s="24"/>
      <c r="AK193" s="24"/>
      <c r="AL193" s="24"/>
      <c r="AM193" s="24"/>
      <c r="AN193" s="24"/>
      <c r="AO193" s="24"/>
      <c r="AP193" s="24"/>
      <c r="AQ193" s="24"/>
      <c r="AR193" s="24"/>
      <c r="AS193" s="24"/>
      <c r="AT193" s="24"/>
      <c r="AU193" s="24"/>
      <c r="AV193" s="24"/>
      <c r="AW193" s="24"/>
      <c r="AX193" s="24"/>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c r="BU193" s="65"/>
      <c r="BV193" s="65"/>
      <c r="BW193" s="65"/>
      <c r="BX193" s="65"/>
      <c r="BY193" s="65"/>
      <c r="BZ193" s="65"/>
      <c r="CA193" s="65"/>
      <c r="CB193" s="65"/>
      <c r="CC193" s="65"/>
      <c r="CD193" s="65"/>
      <c r="CE193" s="65"/>
      <c r="CF193" s="65"/>
      <c r="CG193" s="65"/>
      <c r="CH193" s="65"/>
      <c r="CI193" s="65"/>
      <c r="CJ193" s="65"/>
      <c r="CK193" s="65"/>
      <c r="CL193" s="65"/>
      <c r="CM193" s="65"/>
      <c r="CN193" s="65"/>
      <c r="CO193" s="65"/>
      <c r="CP193" s="65"/>
      <c r="CQ193" s="79"/>
    </row>
    <row r="194" spans="1:95" s="70" customFormat="1" ht="127.5" x14ac:dyDescent="0.2">
      <c r="A194" s="103">
        <v>17</v>
      </c>
      <c r="B194" s="31" t="s">
        <v>142</v>
      </c>
      <c r="C194" s="14">
        <v>119484</v>
      </c>
      <c r="D194" s="14" t="s">
        <v>352</v>
      </c>
      <c r="E194" s="20" t="s">
        <v>143</v>
      </c>
      <c r="F194" s="21" t="s">
        <v>758</v>
      </c>
      <c r="G194" s="23" t="s">
        <v>144</v>
      </c>
      <c r="H194" s="227">
        <v>42430</v>
      </c>
      <c r="I194" s="227">
        <v>45291</v>
      </c>
      <c r="J194" s="21" t="s">
        <v>111</v>
      </c>
      <c r="K194" s="21" t="s">
        <v>316</v>
      </c>
      <c r="L194" s="21" t="s">
        <v>455</v>
      </c>
      <c r="M194" s="21" t="s">
        <v>455</v>
      </c>
      <c r="N194" s="21" t="s">
        <v>112</v>
      </c>
      <c r="O194" s="21">
        <v>122</v>
      </c>
      <c r="P194" s="185">
        <v>1888173.14</v>
      </c>
      <c r="Q194" s="185">
        <v>0</v>
      </c>
      <c r="R194" s="185">
        <v>341206.56</v>
      </c>
      <c r="S194" s="185">
        <v>0</v>
      </c>
      <c r="T194" s="185">
        <v>0</v>
      </c>
      <c r="U194" s="185">
        <f t="shared" si="24"/>
        <v>2229379.6999999997</v>
      </c>
      <c r="V194" s="185" t="s">
        <v>113</v>
      </c>
      <c r="W194" s="185">
        <v>1</v>
      </c>
      <c r="X194" s="191">
        <f>91212.28+620243.51+36484.91+218909.47</f>
        <v>966850.17</v>
      </c>
      <c r="Y194" s="187">
        <v>0</v>
      </c>
      <c r="Z194" s="24"/>
      <c r="AA194" s="75"/>
      <c r="AB194" s="75"/>
      <c r="AC194" s="75"/>
      <c r="AD194" s="75"/>
      <c r="AE194" s="75"/>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row>
    <row r="195" spans="1:95" s="70" customFormat="1" ht="269.25" customHeight="1" x14ac:dyDescent="0.2">
      <c r="A195" s="92">
        <v>18</v>
      </c>
      <c r="B195" s="31" t="s">
        <v>238</v>
      </c>
      <c r="C195" s="14">
        <v>119621</v>
      </c>
      <c r="D195" s="33" t="s">
        <v>353</v>
      </c>
      <c r="E195" s="20" t="s">
        <v>249</v>
      </c>
      <c r="F195" s="21" t="s">
        <v>250</v>
      </c>
      <c r="G195" s="23" t="s">
        <v>251</v>
      </c>
      <c r="H195" s="227">
        <v>42095</v>
      </c>
      <c r="I195" s="227">
        <v>43100</v>
      </c>
      <c r="J195" s="21" t="s">
        <v>111</v>
      </c>
      <c r="K195" s="21" t="s">
        <v>316</v>
      </c>
      <c r="L195" s="21" t="s">
        <v>455</v>
      </c>
      <c r="M195" s="21" t="s">
        <v>455</v>
      </c>
      <c r="N195" s="21" t="s">
        <v>112</v>
      </c>
      <c r="O195" s="21">
        <v>121</v>
      </c>
      <c r="P195" s="199">
        <v>18247933.600000001</v>
      </c>
      <c r="Q195" s="199">
        <v>0</v>
      </c>
      <c r="R195" s="199">
        <v>3297533.79</v>
      </c>
      <c r="S195" s="199">
        <v>0</v>
      </c>
      <c r="T195" s="199">
        <v>0</v>
      </c>
      <c r="U195" s="185">
        <f t="shared" si="24"/>
        <v>21545467.390000001</v>
      </c>
      <c r="V195" s="185" t="s">
        <v>301</v>
      </c>
      <c r="W195" s="185">
        <v>1</v>
      </c>
      <c r="X195" s="185">
        <v>18247933.600000001</v>
      </c>
      <c r="Y195" s="187">
        <v>0</v>
      </c>
      <c r="Z195" s="24"/>
      <c r="AA195" s="75"/>
      <c r="AB195" s="75"/>
      <c r="AC195" s="75"/>
      <c r="AD195" s="75"/>
      <c r="AE195" s="75"/>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row>
    <row r="196" spans="1:95" s="70" customFormat="1" ht="76.5" x14ac:dyDescent="0.2">
      <c r="A196" s="103">
        <v>19</v>
      </c>
      <c r="B196" s="31" t="s">
        <v>145</v>
      </c>
      <c r="C196" s="14">
        <v>117343</v>
      </c>
      <c r="D196" s="33" t="s">
        <v>354</v>
      </c>
      <c r="E196" s="20" t="s">
        <v>146</v>
      </c>
      <c r="F196" s="21" t="s">
        <v>147</v>
      </c>
      <c r="G196" s="23" t="s">
        <v>148</v>
      </c>
      <c r="H196" s="227">
        <v>42552</v>
      </c>
      <c r="I196" s="227">
        <v>43465</v>
      </c>
      <c r="J196" s="21" t="s">
        <v>111</v>
      </c>
      <c r="K196" s="21" t="s">
        <v>316</v>
      </c>
      <c r="L196" s="21" t="s">
        <v>455</v>
      </c>
      <c r="M196" s="21" t="s">
        <v>455</v>
      </c>
      <c r="N196" s="21" t="s">
        <v>112</v>
      </c>
      <c r="O196" s="21">
        <v>121</v>
      </c>
      <c r="P196" s="185">
        <v>75382.259999999995</v>
      </c>
      <c r="Q196" s="185">
        <v>0</v>
      </c>
      <c r="R196" s="185">
        <v>13622.12</v>
      </c>
      <c r="S196" s="185">
        <v>0</v>
      </c>
      <c r="T196" s="185">
        <v>0</v>
      </c>
      <c r="U196" s="185">
        <f t="shared" si="24"/>
        <v>89004.37999999999</v>
      </c>
      <c r="V196" s="185" t="s">
        <v>301</v>
      </c>
      <c r="W196" s="185">
        <v>1</v>
      </c>
      <c r="X196" s="185">
        <v>75382.259999999995</v>
      </c>
      <c r="Y196" s="187">
        <v>0</v>
      </c>
      <c r="Z196" s="24"/>
      <c r="AA196" s="75"/>
      <c r="AB196" s="75"/>
      <c r="AC196" s="75"/>
      <c r="AD196" s="75"/>
      <c r="AE196" s="75"/>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row>
    <row r="197" spans="1:95" s="70" customFormat="1" ht="76.5" x14ac:dyDescent="0.2">
      <c r="A197" s="92">
        <v>20</v>
      </c>
      <c r="B197" s="31" t="s">
        <v>145</v>
      </c>
      <c r="C197" s="14">
        <v>117251</v>
      </c>
      <c r="D197" s="33" t="s">
        <v>355</v>
      </c>
      <c r="E197" s="20" t="s">
        <v>149</v>
      </c>
      <c r="F197" s="21" t="s">
        <v>759</v>
      </c>
      <c r="G197" s="23" t="s">
        <v>150</v>
      </c>
      <c r="H197" s="227">
        <v>42430</v>
      </c>
      <c r="I197" s="227">
        <v>42735</v>
      </c>
      <c r="J197" s="21" t="s">
        <v>111</v>
      </c>
      <c r="K197" s="21" t="s">
        <v>316</v>
      </c>
      <c r="L197" s="21" t="s">
        <v>455</v>
      </c>
      <c r="M197" s="21" t="s">
        <v>455</v>
      </c>
      <c r="N197" s="21" t="s">
        <v>112</v>
      </c>
      <c r="O197" s="21">
        <v>121</v>
      </c>
      <c r="P197" s="185">
        <v>122570.6</v>
      </c>
      <c r="Q197" s="185">
        <v>0</v>
      </c>
      <c r="R197" s="185">
        <v>22149.41</v>
      </c>
      <c r="S197" s="185">
        <v>0</v>
      </c>
      <c r="T197" s="185">
        <v>0</v>
      </c>
      <c r="U197" s="185">
        <f t="shared" si="24"/>
        <v>144720.01</v>
      </c>
      <c r="V197" s="185" t="s">
        <v>301</v>
      </c>
      <c r="W197" s="185">
        <v>1</v>
      </c>
      <c r="X197" s="185">
        <v>122570.6</v>
      </c>
      <c r="Y197" s="187">
        <v>0</v>
      </c>
      <c r="Z197" s="24"/>
      <c r="AA197" s="75"/>
      <c r="AB197" s="75"/>
      <c r="AC197" s="75"/>
      <c r="AD197" s="75"/>
      <c r="AE197" s="75"/>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row>
    <row r="198" spans="1:95" s="78" customFormat="1" ht="363" customHeight="1" x14ac:dyDescent="0.2">
      <c r="A198" s="103">
        <v>21</v>
      </c>
      <c r="B198" s="52" t="s">
        <v>142</v>
      </c>
      <c r="C198" s="53">
        <v>119480</v>
      </c>
      <c r="D198" s="14" t="s">
        <v>356</v>
      </c>
      <c r="E198" s="54" t="s">
        <v>151</v>
      </c>
      <c r="F198" s="39" t="s">
        <v>758</v>
      </c>
      <c r="G198" s="37" t="s">
        <v>152</v>
      </c>
      <c r="H198" s="235">
        <v>42430</v>
      </c>
      <c r="I198" s="235">
        <v>45291</v>
      </c>
      <c r="J198" s="39" t="s">
        <v>111</v>
      </c>
      <c r="K198" s="21" t="s">
        <v>316</v>
      </c>
      <c r="L198" s="21" t="s">
        <v>455</v>
      </c>
      <c r="M198" s="21" t="s">
        <v>455</v>
      </c>
      <c r="N198" s="39" t="s">
        <v>112</v>
      </c>
      <c r="O198" s="39">
        <v>122</v>
      </c>
      <c r="P198" s="185">
        <v>3709520.88</v>
      </c>
      <c r="Q198" s="185">
        <v>0</v>
      </c>
      <c r="R198" s="191">
        <v>670337.29</v>
      </c>
      <c r="S198" s="191">
        <v>0</v>
      </c>
      <c r="T198" s="191">
        <v>0</v>
      </c>
      <c r="U198" s="191">
        <f t="shared" si="24"/>
        <v>4379858.17</v>
      </c>
      <c r="V198" s="191" t="s">
        <v>113</v>
      </c>
      <c r="W198" s="191">
        <v>1</v>
      </c>
      <c r="X198" s="191">
        <f>116844.44+461579.4</f>
        <v>578423.84000000008</v>
      </c>
      <c r="Y198" s="187">
        <v>0</v>
      </c>
      <c r="Z198" s="24"/>
      <c r="AA198" s="75"/>
      <c r="AB198" s="75"/>
      <c r="AC198" s="75"/>
      <c r="AD198" s="75"/>
      <c r="AE198" s="75"/>
      <c r="AF198" s="24"/>
      <c r="AG198" s="24"/>
      <c r="AH198" s="24"/>
      <c r="AI198" s="24"/>
      <c r="AJ198" s="24"/>
      <c r="AK198" s="24"/>
      <c r="AL198" s="24"/>
      <c r="AM198" s="24"/>
      <c r="AN198" s="24"/>
      <c r="AO198" s="24"/>
      <c r="AP198" s="24"/>
      <c r="AQ198" s="24"/>
      <c r="AR198" s="24"/>
      <c r="AS198" s="24"/>
      <c r="AT198" s="24"/>
      <c r="AU198" s="24"/>
      <c r="AV198" s="24"/>
      <c r="AW198" s="24"/>
      <c r="AX198" s="24"/>
      <c r="AY198" s="65"/>
      <c r="AZ198" s="65"/>
      <c r="BA198" s="65"/>
      <c r="BB198" s="65"/>
      <c r="BC198" s="65"/>
      <c r="BD198" s="65"/>
      <c r="BE198" s="65"/>
      <c r="BF198" s="65"/>
      <c r="BG198" s="65"/>
      <c r="BH198" s="65"/>
      <c r="BI198" s="65"/>
      <c r="BJ198" s="65"/>
      <c r="BK198" s="65"/>
      <c r="BL198" s="65"/>
      <c r="BM198" s="65"/>
      <c r="BN198" s="65"/>
      <c r="BO198" s="65"/>
      <c r="BP198" s="65"/>
      <c r="BQ198" s="65"/>
      <c r="BR198" s="65"/>
      <c r="BS198" s="65"/>
      <c r="BT198" s="65"/>
      <c r="BU198" s="65"/>
      <c r="BV198" s="65"/>
      <c r="BW198" s="65"/>
      <c r="BX198" s="65"/>
      <c r="BY198" s="65"/>
      <c r="BZ198" s="65"/>
      <c r="CA198" s="65"/>
      <c r="CB198" s="65"/>
      <c r="CC198" s="65"/>
      <c r="CD198" s="65"/>
      <c r="CE198" s="65"/>
      <c r="CF198" s="65"/>
      <c r="CG198" s="65"/>
      <c r="CH198" s="65"/>
      <c r="CI198" s="65"/>
      <c r="CJ198" s="65"/>
      <c r="CK198" s="65"/>
      <c r="CL198" s="65"/>
      <c r="CM198" s="65"/>
      <c r="CN198" s="65"/>
      <c r="CO198" s="65"/>
      <c r="CP198" s="65"/>
      <c r="CQ198" s="65"/>
    </row>
    <row r="199" spans="1:95" s="70" customFormat="1" ht="141.75" customHeight="1" x14ac:dyDescent="0.2">
      <c r="A199" s="92">
        <v>22</v>
      </c>
      <c r="B199" s="31" t="s">
        <v>145</v>
      </c>
      <c r="C199" s="14">
        <v>118587</v>
      </c>
      <c r="D199" s="14" t="s">
        <v>357</v>
      </c>
      <c r="E199" s="20" t="s">
        <v>153</v>
      </c>
      <c r="F199" s="39" t="s">
        <v>766</v>
      </c>
      <c r="G199" s="23" t="s">
        <v>154</v>
      </c>
      <c r="H199" s="227">
        <v>42370</v>
      </c>
      <c r="I199" s="227">
        <v>45291</v>
      </c>
      <c r="J199" s="21" t="s">
        <v>111</v>
      </c>
      <c r="K199" s="21" t="s">
        <v>316</v>
      </c>
      <c r="L199" s="21" t="s">
        <v>455</v>
      </c>
      <c r="M199" s="21" t="s">
        <v>455</v>
      </c>
      <c r="N199" s="21" t="s">
        <v>112</v>
      </c>
      <c r="O199" s="21">
        <v>121</v>
      </c>
      <c r="P199" s="185">
        <v>3751695.22</v>
      </c>
      <c r="Q199" s="185">
        <v>342278.17</v>
      </c>
      <c r="R199" s="185">
        <v>335680.36</v>
      </c>
      <c r="S199" s="185">
        <v>0</v>
      </c>
      <c r="T199" s="185">
        <v>19797.84</v>
      </c>
      <c r="U199" s="185">
        <f t="shared" si="24"/>
        <v>4449451.59</v>
      </c>
      <c r="V199" s="185" t="s">
        <v>113</v>
      </c>
      <c r="W199" s="185">
        <v>11</v>
      </c>
      <c r="X199" s="185">
        <f>1857591.94+282066.11+173463.41+361564.72+43145.3+106467.9</f>
        <v>2824299.3799999994</v>
      </c>
      <c r="Y199" s="187">
        <f>50971.4+31346.08+65337.36+7796.67+19239.52</f>
        <v>174691.03000000003</v>
      </c>
      <c r="Z199" s="24"/>
      <c r="AA199" s="75"/>
      <c r="AB199" s="75"/>
      <c r="AC199" s="75"/>
      <c r="AD199" s="75"/>
      <c r="AE199" s="75"/>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row>
    <row r="200" spans="1:95" s="70" customFormat="1" ht="63.75" x14ac:dyDescent="0.2">
      <c r="A200" s="103">
        <v>23</v>
      </c>
      <c r="B200" s="31" t="s">
        <v>145</v>
      </c>
      <c r="C200" s="14">
        <v>118018</v>
      </c>
      <c r="D200" s="33" t="s">
        <v>358</v>
      </c>
      <c r="E200" s="20" t="s">
        <v>155</v>
      </c>
      <c r="F200" s="21" t="s">
        <v>156</v>
      </c>
      <c r="G200" s="23" t="s">
        <v>157</v>
      </c>
      <c r="H200" s="227">
        <v>42461</v>
      </c>
      <c r="I200" s="227">
        <v>42735</v>
      </c>
      <c r="J200" s="21" t="s">
        <v>111</v>
      </c>
      <c r="K200" s="21" t="s">
        <v>316</v>
      </c>
      <c r="L200" s="21" t="s">
        <v>455</v>
      </c>
      <c r="M200" s="21" t="s">
        <v>455</v>
      </c>
      <c r="N200" s="21" t="s">
        <v>112</v>
      </c>
      <c r="O200" s="21">
        <v>121</v>
      </c>
      <c r="P200" s="185">
        <v>37250.300000000003</v>
      </c>
      <c r="Q200" s="185">
        <v>0</v>
      </c>
      <c r="R200" s="185">
        <v>6731.4</v>
      </c>
      <c r="S200" s="185">
        <v>0</v>
      </c>
      <c r="T200" s="185">
        <v>0</v>
      </c>
      <c r="U200" s="185">
        <f t="shared" si="24"/>
        <v>43981.700000000004</v>
      </c>
      <c r="V200" s="185" t="s">
        <v>301</v>
      </c>
      <c r="W200" s="185">
        <v>1</v>
      </c>
      <c r="X200" s="185">
        <v>37250.300000000003</v>
      </c>
      <c r="Y200" s="187">
        <v>0</v>
      </c>
      <c r="Z200" s="24"/>
      <c r="AA200" s="75"/>
      <c r="AB200" s="75"/>
      <c r="AC200" s="75"/>
      <c r="AD200" s="75"/>
      <c r="AE200" s="75"/>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row>
    <row r="201" spans="1:95" s="70" customFormat="1" ht="153" x14ac:dyDescent="0.2">
      <c r="A201" s="92">
        <v>24</v>
      </c>
      <c r="B201" s="31" t="s">
        <v>142</v>
      </c>
      <c r="C201" s="14">
        <v>119467</v>
      </c>
      <c r="D201" s="14" t="s">
        <v>359</v>
      </c>
      <c r="E201" s="20" t="s">
        <v>158</v>
      </c>
      <c r="F201" s="21" t="s">
        <v>758</v>
      </c>
      <c r="G201" s="23" t="s">
        <v>159</v>
      </c>
      <c r="H201" s="227">
        <v>42430</v>
      </c>
      <c r="I201" s="227">
        <v>45291</v>
      </c>
      <c r="J201" s="21" t="s">
        <v>111</v>
      </c>
      <c r="K201" s="21" t="s">
        <v>316</v>
      </c>
      <c r="L201" s="21" t="s">
        <v>455</v>
      </c>
      <c r="M201" s="21" t="s">
        <v>455</v>
      </c>
      <c r="N201" s="21" t="s">
        <v>112</v>
      </c>
      <c r="O201" s="21">
        <v>122</v>
      </c>
      <c r="P201" s="185">
        <f>3456468.8+0.02</f>
        <v>3456468.82</v>
      </c>
      <c r="Q201" s="185">
        <v>0</v>
      </c>
      <c r="R201" s="185">
        <f>624608.96-0.02</f>
        <v>624608.93999999994</v>
      </c>
      <c r="S201" s="185">
        <v>0</v>
      </c>
      <c r="T201" s="185">
        <v>0</v>
      </c>
      <c r="U201" s="185">
        <f t="shared" si="24"/>
        <v>4081077.76</v>
      </c>
      <c r="V201" s="185" t="s">
        <v>113</v>
      </c>
      <c r="W201" s="185">
        <v>2</v>
      </c>
      <c r="X201" s="185">
        <f>234741.1+534881.73+3951.85+318332.27+143409.89+850361.67</f>
        <v>2085678.5099999998</v>
      </c>
      <c r="Y201" s="187">
        <v>0</v>
      </c>
      <c r="Z201" s="24"/>
      <c r="AA201" s="75"/>
      <c r="AB201" s="75"/>
      <c r="AC201" s="75"/>
      <c r="AD201" s="75"/>
      <c r="AE201" s="75"/>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row>
    <row r="202" spans="1:95" s="70" customFormat="1" ht="102" x14ac:dyDescent="0.2">
      <c r="A202" s="103">
        <v>25</v>
      </c>
      <c r="B202" s="31" t="s">
        <v>160</v>
      </c>
      <c r="C202" s="14">
        <v>119466</v>
      </c>
      <c r="D202" s="14" t="s">
        <v>360</v>
      </c>
      <c r="E202" s="20" t="s">
        <v>161</v>
      </c>
      <c r="F202" s="21" t="s">
        <v>758</v>
      </c>
      <c r="G202" s="23" t="s">
        <v>162</v>
      </c>
      <c r="H202" s="227">
        <v>42461</v>
      </c>
      <c r="I202" s="227">
        <v>45291</v>
      </c>
      <c r="J202" s="21" t="s">
        <v>111</v>
      </c>
      <c r="K202" s="21" t="s">
        <v>316</v>
      </c>
      <c r="L202" s="21" t="s">
        <v>455</v>
      </c>
      <c r="M202" s="21" t="s">
        <v>455</v>
      </c>
      <c r="N202" s="21" t="s">
        <v>112</v>
      </c>
      <c r="O202" s="21">
        <v>122</v>
      </c>
      <c r="P202" s="185">
        <f>3615947.16+0.83</f>
        <v>3615947.99</v>
      </c>
      <c r="Q202" s="185">
        <v>0</v>
      </c>
      <c r="R202" s="185">
        <v>653427.98</v>
      </c>
      <c r="S202" s="185">
        <v>0</v>
      </c>
      <c r="T202" s="185">
        <v>0</v>
      </c>
      <c r="U202" s="185">
        <f t="shared" si="24"/>
        <v>4269375.9700000007</v>
      </c>
      <c r="V202" s="185" t="s">
        <v>113</v>
      </c>
      <c r="W202" s="185">
        <v>2</v>
      </c>
      <c r="X202" s="185">
        <f>230580.94+125801.85+782935.44</f>
        <v>1139318.23</v>
      </c>
      <c r="Y202" s="187">
        <v>0</v>
      </c>
      <c r="Z202" s="76"/>
      <c r="AA202" s="75"/>
      <c r="AB202" s="75"/>
      <c r="AC202" s="75"/>
      <c r="AD202" s="75"/>
      <c r="AE202" s="75"/>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row>
    <row r="203" spans="1:95" s="70" customFormat="1" ht="51" x14ac:dyDescent="0.2">
      <c r="A203" s="92">
        <v>26</v>
      </c>
      <c r="B203" s="31" t="s">
        <v>145</v>
      </c>
      <c r="C203" s="14">
        <v>119281</v>
      </c>
      <c r="D203" s="14" t="s">
        <v>361</v>
      </c>
      <c r="E203" s="20" t="s">
        <v>163</v>
      </c>
      <c r="F203" s="21" t="s">
        <v>164</v>
      </c>
      <c r="G203" s="23" t="s">
        <v>165</v>
      </c>
      <c r="H203" s="227">
        <v>42430</v>
      </c>
      <c r="I203" s="227">
        <v>44592</v>
      </c>
      <c r="J203" s="21" t="s">
        <v>111</v>
      </c>
      <c r="K203" s="21" t="s">
        <v>316</v>
      </c>
      <c r="L203" s="21" t="s">
        <v>455</v>
      </c>
      <c r="M203" s="21" t="s">
        <v>455</v>
      </c>
      <c r="N203" s="21" t="s">
        <v>112</v>
      </c>
      <c r="O203" s="21">
        <v>121</v>
      </c>
      <c r="P203" s="185">
        <f>4922333.04+0.01</f>
        <v>4922333.05</v>
      </c>
      <c r="Q203" s="185">
        <v>0</v>
      </c>
      <c r="R203" s="185">
        <v>889501.22</v>
      </c>
      <c r="S203" s="185">
        <v>0</v>
      </c>
      <c r="T203" s="185">
        <v>229427.24000000022</v>
      </c>
      <c r="U203" s="185">
        <f t="shared" si="24"/>
        <v>6041261.5099999998</v>
      </c>
      <c r="V203" s="185" t="s">
        <v>113</v>
      </c>
      <c r="W203" s="185">
        <v>5</v>
      </c>
      <c r="X203" s="185">
        <f>850418.69+40941.02+21806.28+230745.67+26127.43+150405.92+42743.51+56988.61+16189.86+15138.49+36136.3+1.21+311.38+14306.42+49590.44+17026.37+8466.4+15835.37</f>
        <v>1593179.3699999999</v>
      </c>
      <c r="Y203" s="187">
        <v>0</v>
      </c>
      <c r="Z203" s="24"/>
      <c r="AA203" s="75"/>
      <c r="AB203" s="75"/>
      <c r="AC203" s="75"/>
      <c r="AD203" s="75"/>
      <c r="AE203" s="75"/>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row>
    <row r="204" spans="1:95" s="70" customFormat="1" ht="51" x14ac:dyDescent="0.2">
      <c r="A204" s="103">
        <v>27</v>
      </c>
      <c r="B204" s="31" t="s">
        <v>166</v>
      </c>
      <c r="C204" s="14">
        <v>116829</v>
      </c>
      <c r="D204" s="33" t="s">
        <v>362</v>
      </c>
      <c r="E204" s="20" t="s">
        <v>760</v>
      </c>
      <c r="F204" s="21" t="s">
        <v>754</v>
      </c>
      <c r="G204" s="23" t="s">
        <v>167</v>
      </c>
      <c r="H204" s="227">
        <v>42370</v>
      </c>
      <c r="I204" s="227">
        <v>42794</v>
      </c>
      <c r="J204" s="21" t="s">
        <v>111</v>
      </c>
      <c r="K204" s="21" t="s">
        <v>316</v>
      </c>
      <c r="L204" s="21" t="s">
        <v>455</v>
      </c>
      <c r="M204" s="21" t="s">
        <v>455</v>
      </c>
      <c r="N204" s="21" t="s">
        <v>112</v>
      </c>
      <c r="O204" s="21">
        <v>121</v>
      </c>
      <c r="P204" s="185">
        <v>55417.120000000003</v>
      </c>
      <c r="Q204" s="185">
        <v>0</v>
      </c>
      <c r="R204" s="185">
        <v>10014.27</v>
      </c>
      <c r="S204" s="185">
        <v>0</v>
      </c>
      <c r="T204" s="185">
        <v>0</v>
      </c>
      <c r="U204" s="185">
        <f t="shared" si="24"/>
        <v>65431.39</v>
      </c>
      <c r="V204" s="185" t="s">
        <v>301</v>
      </c>
      <c r="W204" s="185">
        <v>0</v>
      </c>
      <c r="X204" s="185">
        <v>55417.120000000003</v>
      </c>
      <c r="Y204" s="187">
        <v>0</v>
      </c>
      <c r="Z204" s="24"/>
      <c r="AA204" s="75"/>
      <c r="AB204" s="75"/>
      <c r="AC204" s="75"/>
      <c r="AD204" s="75"/>
      <c r="AE204" s="75"/>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row>
    <row r="205" spans="1:95" s="70" customFormat="1" ht="129" customHeight="1" x14ac:dyDescent="0.2">
      <c r="A205" s="92">
        <v>28</v>
      </c>
      <c r="B205" s="31" t="s">
        <v>145</v>
      </c>
      <c r="C205" s="14">
        <v>117322</v>
      </c>
      <c r="D205" s="33" t="s">
        <v>363</v>
      </c>
      <c r="E205" s="20" t="s">
        <v>280</v>
      </c>
      <c r="F205" s="21" t="s">
        <v>754</v>
      </c>
      <c r="G205" s="23" t="s">
        <v>281</v>
      </c>
      <c r="H205" s="227">
        <v>42430</v>
      </c>
      <c r="I205" s="227">
        <v>42825</v>
      </c>
      <c r="J205" s="21" t="s">
        <v>111</v>
      </c>
      <c r="K205" s="21" t="s">
        <v>316</v>
      </c>
      <c r="L205" s="21" t="s">
        <v>455</v>
      </c>
      <c r="M205" s="21" t="s">
        <v>455</v>
      </c>
      <c r="N205" s="21" t="s">
        <v>112</v>
      </c>
      <c r="O205" s="21">
        <v>121</v>
      </c>
      <c r="P205" s="185">
        <v>444243.43</v>
      </c>
      <c r="Q205" s="185">
        <v>0</v>
      </c>
      <c r="R205" s="185">
        <v>80278</v>
      </c>
      <c r="S205" s="185">
        <v>0</v>
      </c>
      <c r="T205" s="185">
        <v>0</v>
      </c>
      <c r="U205" s="185">
        <f t="shared" si="24"/>
        <v>524521.42999999993</v>
      </c>
      <c r="V205" s="185" t="s">
        <v>301</v>
      </c>
      <c r="W205" s="185">
        <v>0</v>
      </c>
      <c r="X205" s="185">
        <v>444243.43</v>
      </c>
      <c r="Y205" s="187">
        <v>0</v>
      </c>
      <c r="Z205" s="24"/>
      <c r="AA205" s="75"/>
      <c r="AB205" s="75"/>
      <c r="AC205" s="75"/>
      <c r="AD205" s="75"/>
      <c r="AE205" s="75"/>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row>
    <row r="206" spans="1:95" s="70" customFormat="1" ht="38.25" x14ac:dyDescent="0.2">
      <c r="A206" s="103">
        <v>29</v>
      </c>
      <c r="B206" s="31" t="s">
        <v>166</v>
      </c>
      <c r="C206" s="14">
        <v>117299</v>
      </c>
      <c r="D206" s="33" t="s">
        <v>364</v>
      </c>
      <c r="E206" s="20" t="s">
        <v>168</v>
      </c>
      <c r="F206" s="21" t="s">
        <v>754</v>
      </c>
      <c r="G206" s="23" t="s">
        <v>169</v>
      </c>
      <c r="H206" s="227">
        <v>42370</v>
      </c>
      <c r="I206" s="227">
        <v>42853</v>
      </c>
      <c r="J206" s="21" t="s">
        <v>111</v>
      </c>
      <c r="K206" s="21" t="s">
        <v>316</v>
      </c>
      <c r="L206" s="21" t="s">
        <v>455</v>
      </c>
      <c r="M206" s="21" t="s">
        <v>455</v>
      </c>
      <c r="N206" s="21" t="s">
        <v>112</v>
      </c>
      <c r="O206" s="21">
        <v>121</v>
      </c>
      <c r="P206" s="185">
        <v>99340.43</v>
      </c>
      <c r="Q206" s="185">
        <v>0</v>
      </c>
      <c r="R206" s="185">
        <v>17951.53</v>
      </c>
      <c r="S206" s="185">
        <v>0</v>
      </c>
      <c r="T206" s="185">
        <v>0</v>
      </c>
      <c r="U206" s="185">
        <f t="shared" si="24"/>
        <v>117291.95999999999</v>
      </c>
      <c r="V206" s="185" t="s">
        <v>301</v>
      </c>
      <c r="W206" s="185">
        <v>0</v>
      </c>
      <c r="X206" s="185">
        <v>99340.43</v>
      </c>
      <c r="Y206" s="187">
        <v>0</v>
      </c>
      <c r="Z206" s="24"/>
      <c r="AA206" s="75"/>
      <c r="AB206" s="75"/>
      <c r="AC206" s="75"/>
      <c r="AD206" s="75"/>
      <c r="AE206" s="75"/>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row>
    <row r="207" spans="1:95" s="70" customFormat="1" ht="89.25" customHeight="1" x14ac:dyDescent="0.2">
      <c r="A207" s="92">
        <v>30</v>
      </c>
      <c r="B207" s="19" t="s">
        <v>145</v>
      </c>
      <c r="C207" s="19" t="s">
        <v>610</v>
      </c>
      <c r="D207" s="19" t="s">
        <v>365</v>
      </c>
      <c r="E207" s="20" t="s">
        <v>181</v>
      </c>
      <c r="F207" s="39" t="s">
        <v>766</v>
      </c>
      <c r="G207" s="23" t="s">
        <v>182</v>
      </c>
      <c r="H207" s="227">
        <v>42795</v>
      </c>
      <c r="I207" s="227">
        <v>45291</v>
      </c>
      <c r="J207" s="21" t="s">
        <v>111</v>
      </c>
      <c r="K207" s="21" t="s">
        <v>316</v>
      </c>
      <c r="L207" s="21" t="s">
        <v>455</v>
      </c>
      <c r="M207" s="21" t="s">
        <v>455</v>
      </c>
      <c r="N207" s="21" t="s">
        <v>112</v>
      </c>
      <c r="O207" s="21">
        <v>121</v>
      </c>
      <c r="P207" s="185">
        <v>8464945.0999999996</v>
      </c>
      <c r="Q207" s="185">
        <v>1529676.9</v>
      </c>
      <c r="R207" s="185">
        <v>0</v>
      </c>
      <c r="S207" s="185">
        <v>0</v>
      </c>
      <c r="T207" s="185">
        <v>491162</v>
      </c>
      <c r="U207" s="185">
        <f t="shared" si="24"/>
        <v>10485784</v>
      </c>
      <c r="V207" s="185" t="s">
        <v>113</v>
      </c>
      <c r="W207" s="185">
        <v>7</v>
      </c>
      <c r="X207" s="185">
        <f>59182.15+56077.91+138308.63+170004.04+172884.52+172885.36+2622429.92+871178.7+814715.93+188319.33+203531.4</f>
        <v>5469517.8899999997</v>
      </c>
      <c r="Y207" s="187">
        <f>10694.65+35127.06+30720.96+31241.48+31241.64+473892.08+157428.3+147225.07+34030.67+36779.6</f>
        <v>988381.51</v>
      </c>
      <c r="Z207" s="24"/>
      <c r="AA207" s="75"/>
      <c r="AB207" s="75"/>
      <c r="AC207" s="75"/>
      <c r="AD207" s="75"/>
      <c r="AE207" s="75"/>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row>
    <row r="208" spans="1:95" s="70" customFormat="1" ht="140.25" x14ac:dyDescent="0.2">
      <c r="A208" s="103">
        <v>31</v>
      </c>
      <c r="B208" s="19" t="s">
        <v>145</v>
      </c>
      <c r="C208" s="19" t="s">
        <v>611</v>
      </c>
      <c r="D208" s="19" t="s">
        <v>366</v>
      </c>
      <c r="E208" s="20" t="s">
        <v>193</v>
      </c>
      <c r="F208" s="21" t="s">
        <v>194</v>
      </c>
      <c r="G208" s="23" t="s">
        <v>195</v>
      </c>
      <c r="H208" s="227">
        <v>42248</v>
      </c>
      <c r="I208" s="227">
        <v>44255</v>
      </c>
      <c r="J208" s="21" t="s">
        <v>111</v>
      </c>
      <c r="K208" s="21" t="s">
        <v>316</v>
      </c>
      <c r="L208" s="21" t="s">
        <v>455</v>
      </c>
      <c r="M208" s="21" t="s">
        <v>455</v>
      </c>
      <c r="N208" s="21" t="s">
        <v>112</v>
      </c>
      <c r="O208" s="21">
        <v>121</v>
      </c>
      <c r="P208" s="185">
        <v>5099264.8099999996</v>
      </c>
      <c r="Q208" s="185">
        <v>0</v>
      </c>
      <c r="R208" s="185">
        <v>921474.09</v>
      </c>
      <c r="S208" s="185">
        <v>0</v>
      </c>
      <c r="T208" s="185">
        <v>1800</v>
      </c>
      <c r="U208" s="185">
        <f t="shared" si="24"/>
        <v>6022538.8999999994</v>
      </c>
      <c r="V208" s="185" t="s">
        <v>113</v>
      </c>
      <c r="W208" s="185">
        <v>5</v>
      </c>
      <c r="X208" s="185">
        <f>3081450.17+43540.01+19351.11</f>
        <v>3144341.2899999996</v>
      </c>
      <c r="Y208" s="187">
        <v>0</v>
      </c>
      <c r="Z208" s="24"/>
      <c r="AA208" s="75"/>
      <c r="AB208" s="75"/>
      <c r="AC208" s="75"/>
      <c r="AD208" s="75"/>
      <c r="AE208" s="75"/>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row>
    <row r="209" spans="1:95" s="78" customFormat="1" ht="76.5" x14ac:dyDescent="0.2">
      <c r="A209" s="92">
        <v>32</v>
      </c>
      <c r="B209" s="56" t="s">
        <v>217</v>
      </c>
      <c r="C209" s="56" t="s">
        <v>612</v>
      </c>
      <c r="D209" s="19" t="s">
        <v>367</v>
      </c>
      <c r="E209" s="54" t="s">
        <v>218</v>
      </c>
      <c r="F209" s="39" t="s">
        <v>754</v>
      </c>
      <c r="G209" s="37" t="s">
        <v>219</v>
      </c>
      <c r="H209" s="235">
        <v>42381</v>
      </c>
      <c r="I209" s="235">
        <v>45291</v>
      </c>
      <c r="J209" s="39" t="s">
        <v>111</v>
      </c>
      <c r="K209" s="21" t="s">
        <v>316</v>
      </c>
      <c r="L209" s="21" t="s">
        <v>455</v>
      </c>
      <c r="M209" s="21" t="s">
        <v>455</v>
      </c>
      <c r="N209" s="39" t="s">
        <v>112</v>
      </c>
      <c r="O209" s="39">
        <v>121</v>
      </c>
      <c r="P209" s="185">
        <f>17369854.27-8728602.39</f>
        <v>8641251.879999999</v>
      </c>
      <c r="Q209" s="185">
        <v>0</v>
      </c>
      <c r="R209" s="191">
        <v>1561536.81</v>
      </c>
      <c r="S209" s="191">
        <v>0</v>
      </c>
      <c r="T209" s="191">
        <v>0</v>
      </c>
      <c r="U209" s="191">
        <f t="shared" si="24"/>
        <v>10202788.689999999</v>
      </c>
      <c r="V209" s="191" t="str">
        <f>V208</f>
        <v>în implementare</v>
      </c>
      <c r="W209" s="185">
        <v>3</v>
      </c>
      <c r="X209" s="185">
        <f>1209914.43+215758.73+297306.78+155532.97+833642.2+143190.49+103582.39+254490.26+162169.39+88607.66+189760.82+264994.96+213892.37</f>
        <v>4132843.45</v>
      </c>
      <c r="Y209" s="207">
        <v>0</v>
      </c>
      <c r="Z209" s="24"/>
      <c r="AA209" s="75"/>
      <c r="AB209" s="75"/>
      <c r="AC209" s="75"/>
      <c r="AD209" s="75"/>
      <c r="AE209" s="75"/>
      <c r="AF209" s="24"/>
      <c r="AG209" s="24"/>
      <c r="AH209" s="24"/>
      <c r="AI209" s="24"/>
      <c r="AJ209" s="24"/>
      <c r="AK209" s="24"/>
      <c r="AL209" s="24"/>
      <c r="AM209" s="24"/>
      <c r="AN209" s="24"/>
      <c r="AO209" s="24"/>
      <c r="AP209" s="24"/>
      <c r="AQ209" s="24"/>
      <c r="AR209" s="24"/>
      <c r="AS209" s="24"/>
      <c r="AT209" s="24"/>
      <c r="AU209" s="24"/>
      <c r="AV209" s="24"/>
      <c r="AW209" s="24"/>
      <c r="AX209" s="24"/>
      <c r="AY209" s="65"/>
      <c r="AZ209" s="65"/>
      <c r="BA209" s="65"/>
      <c r="BB209" s="65"/>
      <c r="BC209" s="65"/>
      <c r="BD209" s="65"/>
      <c r="BE209" s="65"/>
      <c r="BF209" s="65"/>
      <c r="BG209" s="65"/>
      <c r="BH209" s="65"/>
      <c r="BI209" s="65"/>
      <c r="BJ209" s="65"/>
      <c r="BK209" s="65"/>
      <c r="BL209" s="65"/>
      <c r="BM209" s="65"/>
      <c r="BN209" s="65"/>
      <c r="BO209" s="65"/>
      <c r="BP209" s="65"/>
      <c r="BQ209" s="65"/>
      <c r="BR209" s="65"/>
      <c r="BS209" s="65"/>
      <c r="BT209" s="65"/>
      <c r="BU209" s="65"/>
      <c r="BV209" s="65"/>
      <c r="BW209" s="65"/>
      <c r="BX209" s="65"/>
      <c r="BY209" s="65"/>
      <c r="BZ209" s="65"/>
      <c r="CA209" s="65"/>
      <c r="CB209" s="65"/>
      <c r="CC209" s="65"/>
      <c r="CD209" s="65"/>
      <c r="CE209" s="65"/>
      <c r="CF209" s="65"/>
      <c r="CG209" s="65"/>
      <c r="CH209" s="65"/>
      <c r="CI209" s="65"/>
      <c r="CJ209" s="65"/>
      <c r="CK209" s="65"/>
      <c r="CL209" s="65"/>
      <c r="CM209" s="65"/>
      <c r="CN209" s="65"/>
      <c r="CO209" s="65"/>
      <c r="CP209" s="65"/>
      <c r="CQ209" s="65"/>
    </row>
    <row r="210" spans="1:95" s="78" customFormat="1" ht="63.75" x14ac:dyDescent="0.2">
      <c r="A210" s="103">
        <v>33</v>
      </c>
      <c r="B210" s="56" t="s">
        <v>220</v>
      </c>
      <c r="C210" s="56" t="s">
        <v>613</v>
      </c>
      <c r="D210" s="56" t="s">
        <v>368</v>
      </c>
      <c r="E210" s="54" t="s">
        <v>221</v>
      </c>
      <c r="F210" s="39" t="s">
        <v>758</v>
      </c>
      <c r="G210" s="37" t="s">
        <v>222</v>
      </c>
      <c r="H210" s="235">
        <v>42522</v>
      </c>
      <c r="I210" s="235">
        <v>45291</v>
      </c>
      <c r="J210" s="39" t="s">
        <v>111</v>
      </c>
      <c r="K210" s="21" t="s">
        <v>316</v>
      </c>
      <c r="L210" s="21" t="s">
        <v>455</v>
      </c>
      <c r="M210" s="21" t="s">
        <v>455</v>
      </c>
      <c r="N210" s="39" t="s">
        <v>112</v>
      </c>
      <c r="O210" s="39">
        <v>122</v>
      </c>
      <c r="P210" s="185">
        <f>7768829.1-670474.37</f>
        <v>7098354.7299999995</v>
      </c>
      <c r="Q210" s="185">
        <v>0</v>
      </c>
      <c r="R210" s="185">
        <v>1282724.1100000001</v>
      </c>
      <c r="S210" s="185">
        <v>0</v>
      </c>
      <c r="T210" s="185">
        <v>0</v>
      </c>
      <c r="U210" s="185">
        <f t="shared" si="24"/>
        <v>8381078.8399999999</v>
      </c>
      <c r="V210" s="185" t="str">
        <f>V209</f>
        <v>în implementare</v>
      </c>
      <c r="W210" s="185">
        <v>2</v>
      </c>
      <c r="X210" s="185">
        <f>234442.25+149666.75+299055.5+682939.7+498517.31+571377.33</f>
        <v>2435998.84</v>
      </c>
      <c r="Y210" s="207">
        <v>0</v>
      </c>
      <c r="Z210" s="24"/>
      <c r="AA210" s="75"/>
      <c r="AB210" s="75"/>
      <c r="AC210" s="75"/>
      <c r="AD210" s="75"/>
      <c r="AE210" s="75"/>
      <c r="AF210" s="24"/>
      <c r="AG210" s="24"/>
      <c r="AH210" s="24"/>
      <c r="AI210" s="24"/>
      <c r="AJ210" s="24"/>
      <c r="AK210" s="24"/>
      <c r="AL210" s="24"/>
      <c r="AM210" s="24"/>
      <c r="AN210" s="24"/>
      <c r="AO210" s="24"/>
      <c r="AP210" s="24"/>
      <c r="AQ210" s="24"/>
      <c r="AR210" s="24"/>
      <c r="AS210" s="24"/>
      <c r="AT210" s="24"/>
      <c r="AU210" s="24"/>
      <c r="AV210" s="24"/>
      <c r="AW210" s="24"/>
      <c r="AX210" s="24"/>
      <c r="AY210" s="65"/>
      <c r="AZ210" s="65"/>
      <c r="BA210" s="65"/>
      <c r="BB210" s="65"/>
      <c r="BC210" s="65"/>
      <c r="BD210" s="65"/>
      <c r="BE210" s="65"/>
      <c r="BF210" s="65"/>
      <c r="BG210" s="65"/>
      <c r="BH210" s="65"/>
      <c r="BI210" s="65"/>
      <c r="BJ210" s="65"/>
      <c r="BK210" s="65"/>
      <c r="BL210" s="65"/>
      <c r="BM210" s="65"/>
      <c r="BN210" s="65"/>
      <c r="BO210" s="65"/>
      <c r="BP210" s="65"/>
      <c r="BQ210" s="65"/>
      <c r="BR210" s="65"/>
      <c r="BS210" s="65"/>
      <c r="BT210" s="65"/>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row>
    <row r="211" spans="1:95" s="80" customFormat="1" ht="106.5" customHeight="1" x14ac:dyDescent="0.2">
      <c r="A211" s="92">
        <v>34</v>
      </c>
      <c r="B211" s="56" t="s">
        <v>217</v>
      </c>
      <c r="C211" s="56" t="s">
        <v>614</v>
      </c>
      <c r="D211" s="19" t="s">
        <v>369</v>
      </c>
      <c r="E211" s="54" t="s">
        <v>229</v>
      </c>
      <c r="F211" s="39" t="s">
        <v>230</v>
      </c>
      <c r="G211" s="37" t="s">
        <v>231</v>
      </c>
      <c r="H211" s="235">
        <v>42856</v>
      </c>
      <c r="I211" s="235">
        <v>44561</v>
      </c>
      <c r="J211" s="39" t="s">
        <v>111</v>
      </c>
      <c r="K211" s="21" t="s">
        <v>316</v>
      </c>
      <c r="L211" s="21" t="s">
        <v>455</v>
      </c>
      <c r="M211" s="21" t="s">
        <v>455</v>
      </c>
      <c r="N211" s="39" t="s">
        <v>112</v>
      </c>
      <c r="O211" s="39">
        <v>121</v>
      </c>
      <c r="P211" s="185">
        <v>524137.12</v>
      </c>
      <c r="Q211" s="185">
        <v>0</v>
      </c>
      <c r="R211" s="191">
        <v>94715.37</v>
      </c>
      <c r="S211" s="191">
        <v>0</v>
      </c>
      <c r="T211" s="191">
        <v>0</v>
      </c>
      <c r="U211" s="191">
        <f t="shared" si="24"/>
        <v>618852.49</v>
      </c>
      <c r="V211" s="191" t="str">
        <f>V210</f>
        <v>în implementare</v>
      </c>
      <c r="W211" s="191">
        <v>3</v>
      </c>
      <c r="X211" s="185">
        <f>43607.39+24746.98+41576.49+22890.91+23256.85+31797.98+41258+19125.52+8646.51+3757.25+45152.63+7582.07+18747.24+43813.57</f>
        <v>375959.39</v>
      </c>
      <c r="Y211" s="207">
        <v>0</v>
      </c>
      <c r="Z211" s="24"/>
      <c r="AA211" s="75"/>
      <c r="AB211" s="75"/>
      <c r="AC211" s="75"/>
      <c r="AD211" s="75"/>
      <c r="AE211" s="75"/>
      <c r="AF211" s="24"/>
      <c r="AG211" s="24"/>
      <c r="AH211" s="24"/>
      <c r="AI211" s="24"/>
      <c r="AJ211" s="24"/>
      <c r="AK211" s="24"/>
      <c r="AL211" s="24"/>
      <c r="AM211" s="24"/>
      <c r="AN211" s="24"/>
      <c r="AO211" s="24"/>
      <c r="AP211" s="24"/>
      <c r="AQ211" s="24"/>
      <c r="AR211" s="24"/>
      <c r="AS211" s="24"/>
      <c r="AT211" s="24"/>
      <c r="AU211" s="24"/>
      <c r="AV211" s="24"/>
      <c r="AW211" s="24"/>
      <c r="AX211" s="24"/>
      <c r="AY211" s="65"/>
      <c r="AZ211" s="65"/>
      <c r="BA211" s="65"/>
      <c r="BB211" s="65"/>
      <c r="BC211" s="65"/>
      <c r="BD211" s="65"/>
      <c r="BE211" s="65"/>
      <c r="BF211" s="65"/>
      <c r="BG211" s="65"/>
      <c r="BH211" s="65"/>
      <c r="BI211" s="65"/>
      <c r="BJ211" s="65"/>
      <c r="BK211" s="65"/>
      <c r="BL211" s="65"/>
      <c r="BM211" s="65"/>
      <c r="BN211" s="65"/>
      <c r="BO211" s="65"/>
      <c r="BP211" s="65"/>
      <c r="BQ211" s="65"/>
      <c r="BR211" s="65"/>
      <c r="BS211" s="65"/>
      <c r="BT211" s="65"/>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79"/>
    </row>
    <row r="212" spans="1:95" s="70" customFormat="1" ht="161.25" customHeight="1" x14ac:dyDescent="0.2">
      <c r="A212" s="103">
        <v>35</v>
      </c>
      <c r="B212" s="40" t="s">
        <v>232</v>
      </c>
      <c r="C212" s="40" t="s">
        <v>615</v>
      </c>
      <c r="D212" s="40" t="s">
        <v>370</v>
      </c>
      <c r="E212" s="20" t="s">
        <v>233</v>
      </c>
      <c r="F212" s="21" t="s">
        <v>234</v>
      </c>
      <c r="G212" s="23" t="s">
        <v>235</v>
      </c>
      <c r="H212" s="227">
        <v>42491</v>
      </c>
      <c r="I212" s="227">
        <v>43008</v>
      </c>
      <c r="J212" s="21" t="s">
        <v>111</v>
      </c>
      <c r="K212" s="21" t="s">
        <v>316</v>
      </c>
      <c r="L212" s="21" t="s">
        <v>455</v>
      </c>
      <c r="M212" s="21" t="s">
        <v>455</v>
      </c>
      <c r="N212" s="21" t="s">
        <v>112</v>
      </c>
      <c r="O212" s="21">
        <v>121</v>
      </c>
      <c r="P212" s="199">
        <v>940622.01</v>
      </c>
      <c r="Q212" s="199">
        <v>0</v>
      </c>
      <c r="R212" s="199">
        <v>169977.21</v>
      </c>
      <c r="S212" s="199">
        <v>0</v>
      </c>
      <c r="T212" s="199">
        <v>0</v>
      </c>
      <c r="U212" s="185">
        <f t="shared" si="24"/>
        <v>1110599.22</v>
      </c>
      <c r="V212" s="185" t="s">
        <v>301</v>
      </c>
      <c r="W212" s="185">
        <v>3</v>
      </c>
      <c r="X212" s="185">
        <v>940622.01</v>
      </c>
      <c r="Y212" s="187">
        <v>0</v>
      </c>
      <c r="Z212" s="24"/>
      <c r="AA212" s="75"/>
      <c r="AB212" s="75"/>
      <c r="AC212" s="75"/>
      <c r="AD212" s="75"/>
      <c r="AE212" s="75"/>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row>
    <row r="213" spans="1:95" s="70" customFormat="1" ht="76.5" x14ac:dyDescent="0.2">
      <c r="A213" s="92">
        <v>36</v>
      </c>
      <c r="B213" s="40" t="s">
        <v>238</v>
      </c>
      <c r="C213" s="40" t="s">
        <v>616</v>
      </c>
      <c r="D213" s="40" t="s">
        <v>371</v>
      </c>
      <c r="E213" s="20" t="s">
        <v>236</v>
      </c>
      <c r="F213" s="21" t="s">
        <v>147</v>
      </c>
      <c r="G213" s="23" t="s">
        <v>237</v>
      </c>
      <c r="H213" s="227">
        <v>42339</v>
      </c>
      <c r="I213" s="227">
        <v>43100</v>
      </c>
      <c r="J213" s="21" t="s">
        <v>111</v>
      </c>
      <c r="K213" s="21" t="s">
        <v>316</v>
      </c>
      <c r="L213" s="21" t="s">
        <v>455</v>
      </c>
      <c r="M213" s="21" t="s">
        <v>455</v>
      </c>
      <c r="N213" s="21" t="s">
        <v>112</v>
      </c>
      <c r="O213" s="21">
        <v>121</v>
      </c>
      <c r="P213" s="199">
        <v>10576497.65</v>
      </c>
      <c r="Q213" s="199">
        <v>0</v>
      </c>
      <c r="R213" s="199">
        <v>1911249.74</v>
      </c>
      <c r="S213" s="199">
        <v>0</v>
      </c>
      <c r="T213" s="199">
        <v>0</v>
      </c>
      <c r="U213" s="185">
        <f t="shared" si="24"/>
        <v>12487747.390000001</v>
      </c>
      <c r="V213" s="185" t="s">
        <v>301</v>
      </c>
      <c r="W213" s="185">
        <v>2</v>
      </c>
      <c r="X213" s="185">
        <v>10576497.65</v>
      </c>
      <c r="Y213" s="187">
        <v>0</v>
      </c>
      <c r="Z213" s="24"/>
      <c r="AA213" s="75"/>
      <c r="AB213" s="75"/>
      <c r="AC213" s="75"/>
      <c r="AD213" s="75"/>
      <c r="AE213" s="75"/>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row>
    <row r="214" spans="1:95" s="70" customFormat="1" ht="76.5" x14ac:dyDescent="0.2">
      <c r="A214" s="103">
        <v>37</v>
      </c>
      <c r="B214" s="40" t="s">
        <v>238</v>
      </c>
      <c r="C214" s="40" t="s">
        <v>617</v>
      </c>
      <c r="D214" s="40" t="s">
        <v>372</v>
      </c>
      <c r="E214" s="20" t="s">
        <v>239</v>
      </c>
      <c r="F214" s="21" t="s">
        <v>754</v>
      </c>
      <c r="G214" s="23" t="s">
        <v>240</v>
      </c>
      <c r="H214" s="227">
        <v>42339</v>
      </c>
      <c r="I214" s="227">
        <v>43100</v>
      </c>
      <c r="J214" s="21" t="s">
        <v>111</v>
      </c>
      <c r="K214" s="21" t="s">
        <v>316</v>
      </c>
      <c r="L214" s="21" t="s">
        <v>455</v>
      </c>
      <c r="M214" s="21" t="s">
        <v>455</v>
      </c>
      <c r="N214" s="21" t="s">
        <v>112</v>
      </c>
      <c r="O214" s="21">
        <v>121</v>
      </c>
      <c r="P214" s="199">
        <v>144295811.75</v>
      </c>
      <c r="Q214" s="199">
        <v>0</v>
      </c>
      <c r="R214" s="199">
        <v>26075298.41</v>
      </c>
      <c r="S214" s="199">
        <v>0</v>
      </c>
      <c r="T214" s="199">
        <v>0</v>
      </c>
      <c r="U214" s="185">
        <f t="shared" si="24"/>
        <v>170371110.16</v>
      </c>
      <c r="V214" s="185" t="s">
        <v>301</v>
      </c>
      <c r="W214" s="185">
        <v>3</v>
      </c>
      <c r="X214" s="185">
        <v>144295811.75</v>
      </c>
      <c r="Y214" s="187">
        <v>0</v>
      </c>
      <c r="Z214" s="24"/>
      <c r="AA214" s="75"/>
      <c r="AB214" s="75"/>
      <c r="AC214" s="75"/>
      <c r="AD214" s="75"/>
      <c r="AE214" s="75"/>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row>
    <row r="215" spans="1:95" s="70" customFormat="1" ht="89.25" x14ac:dyDescent="0.2">
      <c r="A215" s="92">
        <v>38</v>
      </c>
      <c r="B215" s="40" t="s">
        <v>241</v>
      </c>
      <c r="C215" s="40" t="s">
        <v>618</v>
      </c>
      <c r="D215" s="40" t="s">
        <v>373</v>
      </c>
      <c r="E215" s="20" t="s">
        <v>242</v>
      </c>
      <c r="F215" s="21" t="s">
        <v>243</v>
      </c>
      <c r="G215" s="23" t="s">
        <v>244</v>
      </c>
      <c r="H215" s="227">
        <v>42583</v>
      </c>
      <c r="I215" s="227">
        <v>43646</v>
      </c>
      <c r="J215" s="21" t="s">
        <v>111</v>
      </c>
      <c r="K215" s="21" t="s">
        <v>316</v>
      </c>
      <c r="L215" s="21" t="s">
        <v>455</v>
      </c>
      <c r="M215" s="21" t="s">
        <v>455</v>
      </c>
      <c r="N215" s="21" t="s">
        <v>112</v>
      </c>
      <c r="O215" s="21">
        <v>121</v>
      </c>
      <c r="P215" s="199">
        <f>2959739.87-101331.2</f>
        <v>2858408.67</v>
      </c>
      <c r="Q215" s="199">
        <v>0</v>
      </c>
      <c r="R215" s="199">
        <f>534846.45-18311.28</f>
        <v>516535.16999999993</v>
      </c>
      <c r="S215" s="199">
        <v>0</v>
      </c>
      <c r="T215" s="199">
        <v>0</v>
      </c>
      <c r="U215" s="185">
        <f t="shared" si="24"/>
        <v>3374943.84</v>
      </c>
      <c r="V215" s="185" t="s">
        <v>301</v>
      </c>
      <c r="W215" s="185">
        <v>5</v>
      </c>
      <c r="X215" s="185">
        <f>2591154.12+275215.64</f>
        <v>2866369.7600000002</v>
      </c>
      <c r="Y215" s="187">
        <v>0</v>
      </c>
      <c r="Z215" s="24"/>
      <c r="AA215" s="75"/>
      <c r="AB215" s="75"/>
      <c r="AC215" s="75"/>
      <c r="AD215" s="75"/>
      <c r="AE215" s="75"/>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row>
    <row r="216" spans="1:95" s="70" customFormat="1" ht="76.5" x14ac:dyDescent="0.2">
      <c r="A216" s="103">
        <v>39</v>
      </c>
      <c r="B216" s="40" t="s">
        <v>241</v>
      </c>
      <c r="C216" s="40" t="s">
        <v>619</v>
      </c>
      <c r="D216" s="40" t="s">
        <v>374</v>
      </c>
      <c r="E216" s="20" t="s">
        <v>245</v>
      </c>
      <c r="F216" s="21" t="s">
        <v>164</v>
      </c>
      <c r="G216" s="23" t="s">
        <v>246</v>
      </c>
      <c r="H216" s="227">
        <v>42278</v>
      </c>
      <c r="I216" s="227">
        <v>43465</v>
      </c>
      <c r="J216" s="21" t="s">
        <v>111</v>
      </c>
      <c r="K216" s="21" t="s">
        <v>316</v>
      </c>
      <c r="L216" s="21" t="s">
        <v>455</v>
      </c>
      <c r="M216" s="21" t="s">
        <v>455</v>
      </c>
      <c r="N216" s="21" t="s">
        <v>112</v>
      </c>
      <c r="O216" s="21">
        <v>121</v>
      </c>
      <c r="P216" s="199">
        <v>865540.03</v>
      </c>
      <c r="Q216" s="199">
        <v>0</v>
      </c>
      <c r="R216" s="199">
        <v>156409.37</v>
      </c>
      <c r="S216" s="199">
        <v>0</v>
      </c>
      <c r="T216" s="199">
        <v>0</v>
      </c>
      <c r="U216" s="185">
        <f t="shared" si="24"/>
        <v>1021949.4</v>
      </c>
      <c r="V216" s="185" t="s">
        <v>301</v>
      </c>
      <c r="W216" s="185">
        <v>3</v>
      </c>
      <c r="X216" s="185">
        <f>267134.63+400812.57+18292.54+179300.29</f>
        <v>865540.03</v>
      </c>
      <c r="Y216" s="187">
        <v>0</v>
      </c>
      <c r="Z216" s="24"/>
      <c r="AA216" s="75"/>
      <c r="AB216" s="75"/>
      <c r="AC216" s="75"/>
      <c r="AD216" s="75"/>
      <c r="AE216" s="75"/>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row>
    <row r="217" spans="1:95" s="70" customFormat="1" ht="51" x14ac:dyDescent="0.2">
      <c r="A217" s="92">
        <v>40</v>
      </c>
      <c r="B217" s="40" t="s">
        <v>247</v>
      </c>
      <c r="C217" s="57" t="s">
        <v>620</v>
      </c>
      <c r="D217" s="58" t="s">
        <v>375</v>
      </c>
      <c r="E217" s="59" t="s">
        <v>540</v>
      </c>
      <c r="F217" s="60" t="s">
        <v>194</v>
      </c>
      <c r="G217" s="61" t="s">
        <v>248</v>
      </c>
      <c r="H217" s="238">
        <v>42339</v>
      </c>
      <c r="I217" s="238">
        <v>43100</v>
      </c>
      <c r="J217" s="60" t="s">
        <v>111</v>
      </c>
      <c r="K217" s="60" t="s">
        <v>316</v>
      </c>
      <c r="L217" s="60" t="s">
        <v>455</v>
      </c>
      <c r="M217" s="60" t="s">
        <v>455</v>
      </c>
      <c r="N217" s="60" t="s">
        <v>112</v>
      </c>
      <c r="O217" s="60">
        <v>121</v>
      </c>
      <c r="P217" s="214">
        <v>11507286.039999999</v>
      </c>
      <c r="Q217" s="214">
        <v>0</v>
      </c>
      <c r="R217" s="214">
        <v>2079449.96</v>
      </c>
      <c r="S217" s="214">
        <v>0</v>
      </c>
      <c r="T217" s="214">
        <v>0</v>
      </c>
      <c r="U217" s="215">
        <f t="shared" si="24"/>
        <v>13586736</v>
      </c>
      <c r="V217" s="215" t="s">
        <v>301</v>
      </c>
      <c r="W217" s="215">
        <v>2</v>
      </c>
      <c r="X217" s="215">
        <v>11507286.039999999</v>
      </c>
      <c r="Y217" s="187">
        <v>0</v>
      </c>
      <c r="Z217" s="71"/>
      <c r="AA217" s="75"/>
      <c r="AB217" s="75"/>
      <c r="AC217" s="75"/>
      <c r="AD217" s="75"/>
      <c r="AE217" s="75"/>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row>
    <row r="218" spans="1:95" s="70" customFormat="1" ht="76.5" x14ac:dyDescent="0.2">
      <c r="A218" s="103">
        <v>41</v>
      </c>
      <c r="B218" s="40" t="s">
        <v>241</v>
      </c>
      <c r="C218" s="40" t="s">
        <v>621</v>
      </c>
      <c r="D218" s="40" t="s">
        <v>376</v>
      </c>
      <c r="E218" s="20" t="s">
        <v>264</v>
      </c>
      <c r="F218" s="21" t="s">
        <v>761</v>
      </c>
      <c r="G218" s="23" t="s">
        <v>265</v>
      </c>
      <c r="H218" s="227">
        <v>42339</v>
      </c>
      <c r="I218" s="227">
        <v>44926</v>
      </c>
      <c r="J218" s="21" t="s">
        <v>111</v>
      </c>
      <c r="K218" s="21" t="s">
        <v>316</v>
      </c>
      <c r="L218" s="21" t="s">
        <v>455</v>
      </c>
      <c r="M218" s="21" t="s">
        <v>455</v>
      </c>
      <c r="N218" s="21" t="s">
        <v>112</v>
      </c>
      <c r="O218" s="21">
        <v>121</v>
      </c>
      <c r="P218" s="199">
        <v>7475615.4800000004</v>
      </c>
      <c r="Q218" s="199">
        <v>0</v>
      </c>
      <c r="R218" s="199">
        <v>1350897.84</v>
      </c>
      <c r="S218" s="199">
        <v>0</v>
      </c>
      <c r="T218" s="199">
        <v>144343.46999999881</v>
      </c>
      <c r="U218" s="185">
        <f t="shared" si="24"/>
        <v>8970856.7899999991</v>
      </c>
      <c r="V218" s="185" t="s">
        <v>113</v>
      </c>
      <c r="W218" s="185">
        <v>7</v>
      </c>
      <c r="X218" s="185">
        <f>2096887.21+349779.04+68783.3+354183.51+76406.28+459158.2+159110.78+14789.91+25952.4</f>
        <v>3605050.6299999994</v>
      </c>
      <c r="Y218" s="187">
        <v>0</v>
      </c>
      <c r="Z218" s="24"/>
      <c r="AA218" s="75"/>
      <c r="AB218" s="75"/>
      <c r="AC218" s="75"/>
      <c r="AD218" s="75"/>
      <c r="AE218" s="75"/>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row>
    <row r="219" spans="1:95" s="70" customFormat="1" ht="64.5" customHeight="1" x14ac:dyDescent="0.2">
      <c r="A219" s="92">
        <v>42</v>
      </c>
      <c r="B219" s="40" t="s">
        <v>241</v>
      </c>
      <c r="C219" s="40" t="s">
        <v>622</v>
      </c>
      <c r="D219" s="40" t="s">
        <v>377</v>
      </c>
      <c r="E219" s="20" t="s">
        <v>266</v>
      </c>
      <c r="F219" s="21" t="s">
        <v>147</v>
      </c>
      <c r="G219" s="23" t="s">
        <v>267</v>
      </c>
      <c r="H219" s="227">
        <v>42917</v>
      </c>
      <c r="I219" s="227">
        <v>44104</v>
      </c>
      <c r="J219" s="21" t="s">
        <v>111</v>
      </c>
      <c r="K219" s="21" t="s">
        <v>316</v>
      </c>
      <c r="L219" s="21" t="s">
        <v>455</v>
      </c>
      <c r="M219" s="21" t="s">
        <v>455</v>
      </c>
      <c r="N219" s="21" t="s">
        <v>112</v>
      </c>
      <c r="O219" s="21">
        <v>121</v>
      </c>
      <c r="P219" s="199">
        <v>587393.55000000005</v>
      </c>
      <c r="Q219" s="199">
        <v>63833.46</v>
      </c>
      <c r="R219" s="199">
        <v>42312.83</v>
      </c>
      <c r="S219" s="199">
        <v>0</v>
      </c>
      <c r="T219" s="199">
        <v>0</v>
      </c>
      <c r="U219" s="185">
        <f t="shared" si="24"/>
        <v>693539.83999999997</v>
      </c>
      <c r="V219" s="185" t="s">
        <v>301</v>
      </c>
      <c r="W219" s="185">
        <v>6</v>
      </c>
      <c r="X219" s="185">
        <f>22181.77+275.96+194666.38+11782.62+5244.43+353242.39</f>
        <v>587393.55000000005</v>
      </c>
      <c r="Y219" s="187">
        <v>63833.46</v>
      </c>
      <c r="Z219" s="24"/>
      <c r="AA219" s="75"/>
      <c r="AB219" s="75"/>
      <c r="AC219" s="75"/>
      <c r="AD219" s="75"/>
      <c r="AE219" s="75"/>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row>
    <row r="220" spans="1:95" s="70" customFormat="1" ht="51" x14ac:dyDescent="0.2">
      <c r="A220" s="103">
        <v>43</v>
      </c>
      <c r="B220" s="40" t="s">
        <v>247</v>
      </c>
      <c r="C220" s="40" t="s">
        <v>623</v>
      </c>
      <c r="D220" s="40" t="s">
        <v>378</v>
      </c>
      <c r="E220" s="20" t="s">
        <v>271</v>
      </c>
      <c r="F220" s="21" t="s">
        <v>243</v>
      </c>
      <c r="G220" s="23" t="s">
        <v>272</v>
      </c>
      <c r="H220" s="227">
        <v>43070</v>
      </c>
      <c r="I220" s="227">
        <v>44286</v>
      </c>
      <c r="J220" s="21" t="s">
        <v>111</v>
      </c>
      <c r="K220" s="21" t="s">
        <v>316</v>
      </c>
      <c r="L220" s="21" t="s">
        <v>455</v>
      </c>
      <c r="M220" s="21" t="s">
        <v>455</v>
      </c>
      <c r="N220" s="21" t="s">
        <v>112</v>
      </c>
      <c r="O220" s="21">
        <v>121</v>
      </c>
      <c r="P220" s="199">
        <v>113152227.71000001</v>
      </c>
      <c r="Q220" s="199">
        <v>0</v>
      </c>
      <c r="R220" s="199">
        <v>20347475.52</v>
      </c>
      <c r="S220" s="199">
        <v>0</v>
      </c>
      <c r="T220" s="199">
        <v>0</v>
      </c>
      <c r="U220" s="185">
        <f t="shared" si="24"/>
        <v>133499703.23</v>
      </c>
      <c r="V220" s="185" t="s">
        <v>301</v>
      </c>
      <c r="W220" s="185">
        <v>5</v>
      </c>
      <c r="X220" s="185">
        <f>66676825.76+2851872.2+2854786.2+3290545.29+3411334.51+3142227.4+3253532.14+3406148.99+3405591.28+3273460.54+3224690.55+3194807.28+3074925.83+3788748.45+4310194.92</f>
        <v>113159691.34000002</v>
      </c>
      <c r="Y220" s="187">
        <v>0</v>
      </c>
      <c r="Z220" s="24"/>
      <c r="AA220" s="75"/>
      <c r="AB220" s="75"/>
      <c r="AC220" s="75"/>
      <c r="AD220" s="75"/>
      <c r="AE220" s="75"/>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row>
    <row r="221" spans="1:95" s="70" customFormat="1" ht="63.75" x14ac:dyDescent="0.2">
      <c r="A221" s="92">
        <v>44</v>
      </c>
      <c r="B221" s="40" t="s">
        <v>247</v>
      </c>
      <c r="C221" s="40" t="s">
        <v>624</v>
      </c>
      <c r="D221" s="40" t="s">
        <v>379</v>
      </c>
      <c r="E221" s="20" t="s">
        <v>273</v>
      </c>
      <c r="F221" s="21" t="s">
        <v>766</v>
      </c>
      <c r="G221" s="23" t="s">
        <v>274</v>
      </c>
      <c r="H221" s="227">
        <v>43070</v>
      </c>
      <c r="I221" s="227">
        <v>44286</v>
      </c>
      <c r="J221" s="21" t="s">
        <v>111</v>
      </c>
      <c r="K221" s="21" t="s">
        <v>316</v>
      </c>
      <c r="L221" s="21" t="s">
        <v>455</v>
      </c>
      <c r="M221" s="21" t="s">
        <v>455</v>
      </c>
      <c r="N221" s="21" t="s">
        <v>112</v>
      </c>
      <c r="O221" s="21">
        <v>121</v>
      </c>
      <c r="P221" s="199">
        <v>20276325.559999999</v>
      </c>
      <c r="Q221" s="199">
        <v>1156726.83</v>
      </c>
      <c r="R221" s="199">
        <v>2489441.23</v>
      </c>
      <c r="S221" s="199">
        <v>0</v>
      </c>
      <c r="T221" s="199">
        <v>0</v>
      </c>
      <c r="U221" s="185">
        <f t="shared" si="24"/>
        <v>23922493.620000001</v>
      </c>
      <c r="V221" s="185" t="s">
        <v>301</v>
      </c>
      <c r="W221" s="185">
        <v>4</v>
      </c>
      <c r="X221" s="185">
        <f>5825153.71+523463.71+573561.87+578208.32+583893.92+594437.86+576675.89+580587.49+575949.51+572621.05+582022.45+582314.02+586719.76+575505.38+532657.46+3473140.34+1780380.1+582684.41+596348.32</f>
        <v>20276325.570000004</v>
      </c>
      <c r="Y221" s="187">
        <f>624553.66+320154.9+212018.27</f>
        <v>1156726.83</v>
      </c>
      <c r="Z221" s="24"/>
      <c r="AA221" s="75"/>
      <c r="AB221" s="75"/>
      <c r="AC221" s="75"/>
      <c r="AD221" s="75"/>
      <c r="AE221" s="75"/>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row>
    <row r="222" spans="1:95" s="70" customFormat="1" ht="76.5" x14ac:dyDescent="0.2">
      <c r="A222" s="103">
        <v>45</v>
      </c>
      <c r="B222" s="40" t="s">
        <v>247</v>
      </c>
      <c r="C222" s="40" t="s">
        <v>625</v>
      </c>
      <c r="D222" s="40" t="s">
        <v>380</v>
      </c>
      <c r="E222" s="20" t="s">
        <v>275</v>
      </c>
      <c r="F222" s="21" t="s">
        <v>276</v>
      </c>
      <c r="G222" s="23" t="s">
        <v>277</v>
      </c>
      <c r="H222" s="227">
        <v>42917</v>
      </c>
      <c r="I222" s="227">
        <v>43404</v>
      </c>
      <c r="J222" s="21" t="s">
        <v>111</v>
      </c>
      <c r="K222" s="21" t="s">
        <v>316</v>
      </c>
      <c r="L222" s="21" t="s">
        <v>455</v>
      </c>
      <c r="M222" s="21" t="s">
        <v>455</v>
      </c>
      <c r="N222" s="21" t="s">
        <v>112</v>
      </c>
      <c r="O222" s="21">
        <v>121</v>
      </c>
      <c r="P222" s="199">
        <v>1356355.8</v>
      </c>
      <c r="Q222" s="199">
        <v>0</v>
      </c>
      <c r="R222" s="199">
        <v>243905.2</v>
      </c>
      <c r="S222" s="199">
        <v>0</v>
      </c>
      <c r="T222" s="199">
        <v>0</v>
      </c>
      <c r="U222" s="185">
        <f t="shared" si="24"/>
        <v>1600261</v>
      </c>
      <c r="V222" s="185" t="s">
        <v>301</v>
      </c>
      <c r="W222" s="185">
        <v>1</v>
      </c>
      <c r="X222" s="185">
        <v>1356355.8</v>
      </c>
      <c r="Y222" s="187">
        <v>0</v>
      </c>
      <c r="Z222" s="24"/>
      <c r="AA222" s="75"/>
      <c r="AB222" s="75"/>
      <c r="AC222" s="75"/>
      <c r="AD222" s="75"/>
      <c r="AE222" s="75"/>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row>
    <row r="223" spans="1:95" s="70" customFormat="1" ht="102" x14ac:dyDescent="0.2">
      <c r="A223" s="92">
        <v>46</v>
      </c>
      <c r="B223" s="40" t="s">
        <v>247</v>
      </c>
      <c r="C223" s="40" t="s">
        <v>626</v>
      </c>
      <c r="D223" s="40" t="s">
        <v>381</v>
      </c>
      <c r="E223" s="20" t="s">
        <v>278</v>
      </c>
      <c r="F223" s="21" t="s">
        <v>754</v>
      </c>
      <c r="G223" s="23" t="s">
        <v>279</v>
      </c>
      <c r="H223" s="227">
        <v>43070</v>
      </c>
      <c r="I223" s="227">
        <v>43220</v>
      </c>
      <c r="J223" s="21" t="s">
        <v>111</v>
      </c>
      <c r="K223" s="21" t="s">
        <v>316</v>
      </c>
      <c r="L223" s="21" t="s">
        <v>455</v>
      </c>
      <c r="M223" s="21" t="s">
        <v>455</v>
      </c>
      <c r="N223" s="21" t="s">
        <v>112</v>
      </c>
      <c r="O223" s="21">
        <v>121</v>
      </c>
      <c r="P223" s="199">
        <v>26253745.879999999</v>
      </c>
      <c r="Q223" s="199">
        <v>0</v>
      </c>
      <c r="R223" s="199">
        <v>4721051.13</v>
      </c>
      <c r="S223" s="199">
        <v>0</v>
      </c>
      <c r="T223" s="199">
        <v>0</v>
      </c>
      <c r="U223" s="185">
        <f t="shared" si="24"/>
        <v>30974797.009999998</v>
      </c>
      <c r="V223" s="185" t="s">
        <v>301</v>
      </c>
      <c r="W223" s="185">
        <v>0</v>
      </c>
      <c r="X223" s="185">
        <v>26253745.879999999</v>
      </c>
      <c r="Y223" s="187">
        <v>0</v>
      </c>
      <c r="Z223" s="24"/>
      <c r="AA223" s="75"/>
      <c r="AB223" s="75"/>
      <c r="AC223" s="75"/>
      <c r="AD223" s="75"/>
      <c r="AE223" s="75"/>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row>
    <row r="224" spans="1:95" s="70" customFormat="1" ht="102" customHeight="1" x14ac:dyDescent="0.2">
      <c r="A224" s="103">
        <v>47</v>
      </c>
      <c r="B224" s="40" t="s">
        <v>241</v>
      </c>
      <c r="C224" s="40" t="s">
        <v>627</v>
      </c>
      <c r="D224" s="40" t="s">
        <v>382</v>
      </c>
      <c r="E224" s="20" t="s">
        <v>257</v>
      </c>
      <c r="F224" s="21" t="s">
        <v>116</v>
      </c>
      <c r="G224" s="23" t="s">
        <v>258</v>
      </c>
      <c r="H224" s="227">
        <v>42826</v>
      </c>
      <c r="I224" s="227">
        <v>43921</v>
      </c>
      <c r="J224" s="21" t="s">
        <v>111</v>
      </c>
      <c r="K224" s="21" t="s">
        <v>316</v>
      </c>
      <c r="L224" s="21" t="s">
        <v>455</v>
      </c>
      <c r="M224" s="21" t="s">
        <v>455</v>
      </c>
      <c r="N224" s="21" t="s">
        <v>112</v>
      </c>
      <c r="O224" s="21">
        <v>121</v>
      </c>
      <c r="P224" s="199">
        <f>3352732.58-827482.2</f>
        <v>2525250.38</v>
      </c>
      <c r="Q224" s="199">
        <v>0</v>
      </c>
      <c r="R224" s="199">
        <f>605863.04-149532.03</f>
        <v>456331.01</v>
      </c>
      <c r="S224" s="199">
        <v>0</v>
      </c>
      <c r="T224" s="199">
        <v>0</v>
      </c>
      <c r="U224" s="185">
        <f t="shared" si="24"/>
        <v>2981581.3899999997</v>
      </c>
      <c r="V224" s="185" t="s">
        <v>301</v>
      </c>
      <c r="W224" s="185">
        <v>3</v>
      </c>
      <c r="X224" s="185">
        <f>355329.05+95476.68+332255.15+474296.71+428918.87+534649.3+304471.99</f>
        <v>2525397.75</v>
      </c>
      <c r="Y224" s="187">
        <v>0</v>
      </c>
      <c r="Z224" s="24"/>
      <c r="AA224" s="75"/>
      <c r="AB224" s="75"/>
      <c r="AC224" s="75"/>
      <c r="AD224" s="75"/>
      <c r="AE224" s="75"/>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row>
    <row r="225" spans="1:95" s="70" customFormat="1" ht="89.25" customHeight="1" x14ac:dyDescent="0.2">
      <c r="A225" s="92">
        <v>48</v>
      </c>
      <c r="B225" s="40" t="s">
        <v>145</v>
      </c>
      <c r="C225" s="40" t="s">
        <v>628</v>
      </c>
      <c r="D225" s="40" t="s">
        <v>383</v>
      </c>
      <c r="E225" s="20" t="s">
        <v>302</v>
      </c>
      <c r="F225" s="21" t="s">
        <v>766</v>
      </c>
      <c r="G225" s="23" t="s">
        <v>303</v>
      </c>
      <c r="H225" s="227">
        <v>43101</v>
      </c>
      <c r="I225" s="227">
        <v>44104</v>
      </c>
      <c r="J225" s="21" t="s">
        <v>284</v>
      </c>
      <c r="K225" s="21" t="s">
        <v>316</v>
      </c>
      <c r="L225" s="21" t="s">
        <v>455</v>
      </c>
      <c r="M225" s="21" t="s">
        <v>455</v>
      </c>
      <c r="N225" s="21" t="s">
        <v>112</v>
      </c>
      <c r="O225" s="21">
        <v>121</v>
      </c>
      <c r="P225" s="199">
        <v>90718.15</v>
      </c>
      <c r="Q225" s="199">
        <v>14035.95</v>
      </c>
      <c r="R225" s="199">
        <v>2286.4</v>
      </c>
      <c r="S225" s="199">
        <v>0</v>
      </c>
      <c r="T225" s="199">
        <v>0</v>
      </c>
      <c r="U225" s="185">
        <f t="shared" si="24"/>
        <v>107040.49999999999</v>
      </c>
      <c r="V225" s="185" t="s">
        <v>113</v>
      </c>
      <c r="W225" s="185">
        <v>4</v>
      </c>
      <c r="X225" s="185">
        <f>12707.6+78010.55</f>
        <v>90718.150000000009</v>
      </c>
      <c r="Y225" s="187">
        <v>14035.95</v>
      </c>
      <c r="Z225" s="24"/>
      <c r="AA225" s="75"/>
      <c r="AB225" s="75"/>
      <c r="AC225" s="75"/>
      <c r="AD225" s="75"/>
      <c r="AE225" s="75"/>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row>
    <row r="226" spans="1:95" s="24" customFormat="1" ht="90" customHeight="1" x14ac:dyDescent="0.2">
      <c r="A226" s="103">
        <v>49</v>
      </c>
      <c r="B226" s="40" t="s">
        <v>238</v>
      </c>
      <c r="C226" s="40" t="s">
        <v>629</v>
      </c>
      <c r="D226" s="40" t="s">
        <v>384</v>
      </c>
      <c r="E226" s="20" t="s">
        <v>285</v>
      </c>
      <c r="F226" s="21" t="s">
        <v>754</v>
      </c>
      <c r="G226" s="23" t="s">
        <v>286</v>
      </c>
      <c r="H226" s="227">
        <v>43191</v>
      </c>
      <c r="I226" s="227">
        <v>44286</v>
      </c>
      <c r="J226" s="21" t="s">
        <v>284</v>
      </c>
      <c r="K226" s="21" t="s">
        <v>316</v>
      </c>
      <c r="L226" s="21" t="s">
        <v>455</v>
      </c>
      <c r="M226" s="21" t="s">
        <v>455</v>
      </c>
      <c r="N226" s="21" t="s">
        <v>112</v>
      </c>
      <c r="O226" s="21">
        <v>121</v>
      </c>
      <c r="P226" s="199">
        <v>233206745.06</v>
      </c>
      <c r="Q226" s="199">
        <v>0</v>
      </c>
      <c r="R226" s="199">
        <v>41540069.939999998</v>
      </c>
      <c r="S226" s="199">
        <v>0</v>
      </c>
      <c r="T226" s="199">
        <v>0</v>
      </c>
      <c r="U226" s="185">
        <f t="shared" si="24"/>
        <v>274746815</v>
      </c>
      <c r="V226" s="185" t="s">
        <v>301</v>
      </c>
      <c r="W226" s="185">
        <v>7</v>
      </c>
      <c r="X226" s="185">
        <f>189915986.63+7260823.18+7244375.02+7288195.48+7232199.75+7173928.37+7091235.99</f>
        <v>233206744.42000002</v>
      </c>
      <c r="Y226" s="187">
        <v>0</v>
      </c>
      <c r="Z226" s="77"/>
      <c r="AA226" s="75"/>
      <c r="AB226" s="75"/>
      <c r="AC226" s="75"/>
      <c r="AD226" s="75"/>
      <c r="AE226" s="75"/>
    </row>
    <row r="227" spans="1:95" s="24" customFormat="1" ht="79.5" customHeight="1" x14ac:dyDescent="0.2">
      <c r="A227" s="92">
        <v>50</v>
      </c>
      <c r="B227" s="40" t="s">
        <v>238</v>
      </c>
      <c r="C227" s="57" t="s">
        <v>630</v>
      </c>
      <c r="D227" s="57" t="s">
        <v>385</v>
      </c>
      <c r="E227" s="59" t="s">
        <v>299</v>
      </c>
      <c r="F227" s="60" t="s">
        <v>298</v>
      </c>
      <c r="G227" s="61" t="s">
        <v>300</v>
      </c>
      <c r="H227" s="238">
        <v>43009</v>
      </c>
      <c r="I227" s="238">
        <v>44286</v>
      </c>
      <c r="J227" s="60" t="s">
        <v>284</v>
      </c>
      <c r="K227" s="60" t="s">
        <v>316</v>
      </c>
      <c r="L227" s="60" t="s">
        <v>455</v>
      </c>
      <c r="M227" s="60" t="s">
        <v>455</v>
      </c>
      <c r="N227" s="60" t="s">
        <v>112</v>
      </c>
      <c r="O227" s="60">
        <v>121</v>
      </c>
      <c r="P227" s="214">
        <f>29615024.29+2128762.91</f>
        <v>31743787.199999999</v>
      </c>
      <c r="Q227" s="214">
        <v>0</v>
      </c>
      <c r="R227" s="214">
        <f>5325489.33+382802.47</f>
        <v>5708291.7999999998</v>
      </c>
      <c r="S227" s="214">
        <v>0</v>
      </c>
      <c r="T227" s="214">
        <f>1693190.68+136842.32</f>
        <v>1830033</v>
      </c>
      <c r="U227" s="215">
        <f t="shared" si="24"/>
        <v>39282112</v>
      </c>
      <c r="V227" s="215" t="s">
        <v>113</v>
      </c>
      <c r="W227" s="215">
        <v>4</v>
      </c>
      <c r="X227" s="215">
        <f>9014777.5+787392.08+2985056.48+2910956.44+181894.94+3300286.58+841215.37+805188.8+1611148.91+5781809.44</f>
        <v>28219726.540000003</v>
      </c>
      <c r="Y227" s="187">
        <v>0</v>
      </c>
      <c r="Z227" s="76"/>
      <c r="AA227" s="75"/>
      <c r="AB227" s="75"/>
      <c r="AC227" s="75"/>
      <c r="AD227" s="75"/>
      <c r="AE227" s="75"/>
    </row>
    <row r="228" spans="1:95" s="24" customFormat="1" ht="102" customHeight="1" x14ac:dyDescent="0.2">
      <c r="A228" s="103">
        <v>51</v>
      </c>
      <c r="B228" s="40" t="s">
        <v>238</v>
      </c>
      <c r="C228" s="40" t="s">
        <v>631</v>
      </c>
      <c r="D228" s="40" t="s">
        <v>386</v>
      </c>
      <c r="E228" s="20" t="s">
        <v>304</v>
      </c>
      <c r="F228" s="21" t="s">
        <v>305</v>
      </c>
      <c r="G228" s="23" t="s">
        <v>306</v>
      </c>
      <c r="H228" s="227">
        <v>43070</v>
      </c>
      <c r="I228" s="227">
        <v>44286</v>
      </c>
      <c r="J228" s="21" t="s">
        <v>284</v>
      </c>
      <c r="K228" s="21" t="s">
        <v>316</v>
      </c>
      <c r="L228" s="21" t="s">
        <v>455</v>
      </c>
      <c r="M228" s="21" t="s">
        <v>455</v>
      </c>
      <c r="N228" s="21" t="s">
        <v>112</v>
      </c>
      <c r="O228" s="21">
        <v>121</v>
      </c>
      <c r="P228" s="199">
        <v>4309394.63</v>
      </c>
      <c r="Q228" s="199">
        <v>0</v>
      </c>
      <c r="R228" s="199">
        <v>767613.12</v>
      </c>
      <c r="S228" s="199">
        <v>0</v>
      </c>
      <c r="T228" s="199">
        <v>0</v>
      </c>
      <c r="U228" s="185">
        <f t="shared" si="24"/>
        <v>5077007.75</v>
      </c>
      <c r="V228" s="185" t="s">
        <v>301</v>
      </c>
      <c r="W228" s="185">
        <v>3</v>
      </c>
      <c r="X228" s="185">
        <f>3838938.98+157798.72+178235.51+134421.42</f>
        <v>4309394.63</v>
      </c>
      <c r="Y228" s="187">
        <v>0</v>
      </c>
      <c r="AA228" s="75"/>
      <c r="AB228" s="75"/>
      <c r="AC228" s="75"/>
      <c r="AD228" s="75"/>
      <c r="AE228" s="75"/>
    </row>
    <row r="229" spans="1:95" s="24" customFormat="1" ht="101.25" customHeight="1" x14ac:dyDescent="0.2">
      <c r="A229" s="92">
        <v>52</v>
      </c>
      <c r="B229" s="40" t="s">
        <v>308</v>
      </c>
      <c r="C229" s="40" t="s">
        <v>632</v>
      </c>
      <c r="D229" s="40" t="s">
        <v>387</v>
      </c>
      <c r="E229" s="20" t="s">
        <v>309</v>
      </c>
      <c r="F229" s="21" t="s">
        <v>767</v>
      </c>
      <c r="G229" s="23" t="s">
        <v>310</v>
      </c>
      <c r="H229" s="227">
        <v>43283</v>
      </c>
      <c r="I229" s="227">
        <v>45230</v>
      </c>
      <c r="J229" s="21" t="s">
        <v>284</v>
      </c>
      <c r="K229" s="21" t="s">
        <v>316</v>
      </c>
      <c r="L229" s="21" t="s">
        <v>455</v>
      </c>
      <c r="M229" s="21" t="s">
        <v>455</v>
      </c>
      <c r="N229" s="21" t="s">
        <v>112</v>
      </c>
      <c r="O229" s="21" t="s">
        <v>542</v>
      </c>
      <c r="P229" s="199">
        <v>688993.76</v>
      </c>
      <c r="Q229" s="199">
        <v>0</v>
      </c>
      <c r="R229" s="199">
        <v>124557.09</v>
      </c>
      <c r="S229" s="199">
        <v>0</v>
      </c>
      <c r="T229" s="199">
        <v>0</v>
      </c>
      <c r="U229" s="185">
        <f t="shared" si="24"/>
        <v>813550.85</v>
      </c>
      <c r="V229" s="185" t="s">
        <v>113</v>
      </c>
      <c r="W229" s="185">
        <v>3</v>
      </c>
      <c r="X229" s="185">
        <f>20385.87+2134.18</f>
        <v>22520.05</v>
      </c>
      <c r="Y229" s="187">
        <v>0</v>
      </c>
      <c r="AA229" s="75"/>
      <c r="AB229" s="75"/>
      <c r="AC229" s="75"/>
      <c r="AD229" s="75"/>
      <c r="AE229" s="75"/>
    </row>
    <row r="230" spans="1:95" s="70" customFormat="1" ht="99" customHeight="1" x14ac:dyDescent="0.2">
      <c r="A230" s="103">
        <v>53</v>
      </c>
      <c r="B230" s="40" t="s">
        <v>312</v>
      </c>
      <c r="C230" s="40" t="s">
        <v>633</v>
      </c>
      <c r="D230" s="40" t="s">
        <v>388</v>
      </c>
      <c r="E230" s="20" t="s">
        <v>313</v>
      </c>
      <c r="F230" s="21" t="s">
        <v>768</v>
      </c>
      <c r="G230" s="23" t="s">
        <v>529</v>
      </c>
      <c r="H230" s="227">
        <v>43374</v>
      </c>
      <c r="I230" s="227">
        <v>45291</v>
      </c>
      <c r="J230" s="21" t="s">
        <v>111</v>
      </c>
      <c r="K230" s="21" t="s">
        <v>316</v>
      </c>
      <c r="L230" s="21" t="s">
        <v>455</v>
      </c>
      <c r="M230" s="21" t="s">
        <v>455</v>
      </c>
      <c r="N230" s="21" t="s">
        <v>112</v>
      </c>
      <c r="O230" s="21">
        <v>121</v>
      </c>
      <c r="P230" s="185">
        <v>9907105.5100000016</v>
      </c>
      <c r="Q230" s="185">
        <v>0</v>
      </c>
      <c r="R230" s="185">
        <v>1797236.8899999987</v>
      </c>
      <c r="S230" s="185">
        <v>0</v>
      </c>
      <c r="T230" s="185">
        <v>337160.03999999911</v>
      </c>
      <c r="U230" s="185">
        <f t="shared" si="24"/>
        <v>12041502.439999999</v>
      </c>
      <c r="V230" s="185" t="s">
        <v>113</v>
      </c>
      <c r="W230" s="185">
        <v>4</v>
      </c>
      <c r="X230" s="185">
        <f>1132684.05+462670.47+359931.27+143710.61+1481005.86+835713.2+428756.72+169838.74+286799.95</f>
        <v>5301110.87</v>
      </c>
      <c r="Y230" s="187">
        <v>0</v>
      </c>
      <c r="Z230" s="24"/>
      <c r="AA230" s="75"/>
      <c r="AB230" s="75"/>
      <c r="AC230" s="75"/>
      <c r="AD230" s="75"/>
      <c r="AE230" s="75"/>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row>
    <row r="231" spans="1:95" s="70" customFormat="1" ht="123" customHeight="1" x14ac:dyDescent="0.2">
      <c r="A231" s="92">
        <v>54</v>
      </c>
      <c r="B231" s="40" t="s">
        <v>312</v>
      </c>
      <c r="C231" s="40" t="s">
        <v>634</v>
      </c>
      <c r="D231" s="40" t="s">
        <v>389</v>
      </c>
      <c r="E231" s="20" t="s">
        <v>314</v>
      </c>
      <c r="F231" s="21" t="s">
        <v>768</v>
      </c>
      <c r="G231" s="23" t="s">
        <v>315</v>
      </c>
      <c r="H231" s="227">
        <v>42370</v>
      </c>
      <c r="I231" s="227">
        <v>45291</v>
      </c>
      <c r="J231" s="21" t="s">
        <v>111</v>
      </c>
      <c r="K231" s="21" t="s">
        <v>316</v>
      </c>
      <c r="L231" s="21" t="s">
        <v>455</v>
      </c>
      <c r="M231" s="21" t="s">
        <v>455</v>
      </c>
      <c r="N231" s="21" t="s">
        <v>112</v>
      </c>
      <c r="O231" s="21">
        <v>121</v>
      </c>
      <c r="P231" s="191">
        <v>1005261.2</v>
      </c>
      <c r="Q231" s="185">
        <v>0</v>
      </c>
      <c r="R231" s="191">
        <v>180870.36</v>
      </c>
      <c r="S231" s="185">
        <v>0</v>
      </c>
      <c r="T231" s="191">
        <v>12248.98</v>
      </c>
      <c r="U231" s="185">
        <f t="shared" si="24"/>
        <v>1198380.54</v>
      </c>
      <c r="V231" s="185" t="s">
        <v>113</v>
      </c>
      <c r="W231" s="185">
        <v>3</v>
      </c>
      <c r="X231" s="185">
        <f>167597.48+16689.29+94227.33+6784.51+97347.62+58232.41</f>
        <v>440878.64</v>
      </c>
      <c r="Y231" s="187">
        <v>0</v>
      </c>
      <c r="Z231" s="24"/>
      <c r="AA231" s="75"/>
      <c r="AB231" s="75"/>
      <c r="AC231" s="75"/>
      <c r="AD231" s="75"/>
      <c r="AE231" s="75"/>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row>
    <row r="232" spans="1:95" s="70" customFormat="1" ht="123" customHeight="1" x14ac:dyDescent="0.2">
      <c r="A232" s="103">
        <v>55</v>
      </c>
      <c r="B232" s="40" t="s">
        <v>166</v>
      </c>
      <c r="C232" s="40" t="s">
        <v>635</v>
      </c>
      <c r="D232" s="40" t="s">
        <v>390</v>
      </c>
      <c r="E232" s="20" t="s">
        <v>317</v>
      </c>
      <c r="F232" s="21" t="s">
        <v>769</v>
      </c>
      <c r="G232" s="23" t="s">
        <v>318</v>
      </c>
      <c r="H232" s="227">
        <v>42705</v>
      </c>
      <c r="I232" s="227">
        <v>45291</v>
      </c>
      <c r="J232" s="21" t="s">
        <v>111</v>
      </c>
      <c r="K232" s="21" t="s">
        <v>316</v>
      </c>
      <c r="L232" s="21" t="s">
        <v>455</v>
      </c>
      <c r="M232" s="21" t="s">
        <v>455</v>
      </c>
      <c r="N232" s="21" t="s">
        <v>112</v>
      </c>
      <c r="O232" s="21">
        <v>121</v>
      </c>
      <c r="P232" s="185">
        <v>16397394.710000001</v>
      </c>
      <c r="Q232" s="185">
        <v>0</v>
      </c>
      <c r="R232" s="185">
        <v>2974632.94</v>
      </c>
      <c r="S232" s="185">
        <v>0</v>
      </c>
      <c r="T232" s="185">
        <v>763243.55</v>
      </c>
      <c r="U232" s="185">
        <f t="shared" si="24"/>
        <v>20135271.200000003</v>
      </c>
      <c r="V232" s="185" t="s">
        <v>113</v>
      </c>
      <c r="W232" s="185">
        <v>8</v>
      </c>
      <c r="X232" s="185">
        <f>661382.37+246733.38+502616.84+689883.93+698157.1+748641.74+228256.28+442553.81+668627.11+645149.21+629448.46</f>
        <v>6161450.2300000004</v>
      </c>
      <c r="Y232" s="187">
        <v>0</v>
      </c>
      <c r="Z232" s="24"/>
      <c r="AA232" s="75"/>
      <c r="AB232" s="75"/>
      <c r="AC232" s="75"/>
      <c r="AD232" s="75"/>
      <c r="AE232" s="75"/>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row>
    <row r="233" spans="1:95" s="70" customFormat="1" ht="81" customHeight="1" x14ac:dyDescent="0.2">
      <c r="A233" s="92">
        <v>56</v>
      </c>
      <c r="B233" s="40" t="s">
        <v>319</v>
      </c>
      <c r="C233" s="40" t="s">
        <v>636</v>
      </c>
      <c r="D233" s="40" t="s">
        <v>391</v>
      </c>
      <c r="E233" s="20" t="s">
        <v>320</v>
      </c>
      <c r="F233" s="21" t="s">
        <v>321</v>
      </c>
      <c r="G233" s="23" t="s">
        <v>322</v>
      </c>
      <c r="H233" s="227">
        <v>43070</v>
      </c>
      <c r="I233" s="227">
        <v>44286</v>
      </c>
      <c r="J233" s="21" t="s">
        <v>111</v>
      </c>
      <c r="K233" s="21" t="s">
        <v>316</v>
      </c>
      <c r="L233" s="21" t="s">
        <v>455</v>
      </c>
      <c r="M233" s="21" t="s">
        <v>455</v>
      </c>
      <c r="N233" s="21" t="s">
        <v>112</v>
      </c>
      <c r="O233" s="21">
        <v>121</v>
      </c>
      <c r="P233" s="199">
        <f>24133722.36+772053.83</f>
        <v>24905776.189999998</v>
      </c>
      <c r="Q233" s="185">
        <v>0</v>
      </c>
      <c r="R233" s="199">
        <v>4478653.95</v>
      </c>
      <c r="S233" s="185">
        <v>0</v>
      </c>
      <c r="T233" s="199">
        <v>10376051.82</v>
      </c>
      <c r="U233" s="185">
        <f t="shared" si="24"/>
        <v>39760481.959999993</v>
      </c>
      <c r="V233" s="185" t="s">
        <v>113</v>
      </c>
      <c r="W233" s="185">
        <v>3</v>
      </c>
      <c r="X233" s="185">
        <f>19085024.38+644307.17+2207147.17+886300.06</f>
        <v>22822778.779999997</v>
      </c>
      <c r="Y233" s="187">
        <v>0</v>
      </c>
      <c r="Z233" s="24"/>
      <c r="AA233" s="75"/>
      <c r="AB233" s="75"/>
      <c r="AC233" s="75"/>
      <c r="AD233" s="75"/>
      <c r="AE233" s="75"/>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row>
    <row r="234" spans="1:95" s="24" customFormat="1" ht="99" customHeight="1" x14ac:dyDescent="0.2">
      <c r="A234" s="103">
        <v>57</v>
      </c>
      <c r="B234" s="40" t="s">
        <v>121</v>
      </c>
      <c r="C234" s="40" t="s">
        <v>637</v>
      </c>
      <c r="D234" s="40" t="s">
        <v>392</v>
      </c>
      <c r="E234" s="20" t="s">
        <v>393</v>
      </c>
      <c r="F234" s="21" t="s">
        <v>770</v>
      </c>
      <c r="G234" s="23" t="s">
        <v>394</v>
      </c>
      <c r="H234" s="227">
        <v>43283</v>
      </c>
      <c r="I234" s="227">
        <v>44255</v>
      </c>
      <c r="J234" s="21" t="s">
        <v>111</v>
      </c>
      <c r="K234" s="21" t="s">
        <v>316</v>
      </c>
      <c r="L234" s="21" t="s">
        <v>455</v>
      </c>
      <c r="M234" s="21" t="s">
        <v>455</v>
      </c>
      <c r="N234" s="21" t="s">
        <v>112</v>
      </c>
      <c r="O234" s="21">
        <v>121</v>
      </c>
      <c r="P234" s="185">
        <v>8654951.2699999996</v>
      </c>
      <c r="Q234" s="185">
        <v>0</v>
      </c>
      <c r="R234" s="199">
        <v>1564651.91</v>
      </c>
      <c r="S234" s="185">
        <v>0</v>
      </c>
      <c r="T234" s="199">
        <v>0</v>
      </c>
      <c r="U234" s="185">
        <f t="shared" si="24"/>
        <v>10219603.18</v>
      </c>
      <c r="V234" s="185" t="s">
        <v>301</v>
      </c>
      <c r="W234" s="185">
        <v>4</v>
      </c>
      <c r="X234" s="185">
        <v>8654951.2699999996</v>
      </c>
      <c r="Y234" s="187">
        <v>0</v>
      </c>
      <c r="AA234" s="75"/>
      <c r="AB234" s="75"/>
      <c r="AC234" s="75"/>
      <c r="AD234" s="75"/>
      <c r="AE234" s="75"/>
    </row>
    <row r="235" spans="1:95" s="24" customFormat="1" ht="213" customHeight="1" x14ac:dyDescent="0.2">
      <c r="A235" s="92">
        <v>58</v>
      </c>
      <c r="B235" s="40" t="s">
        <v>247</v>
      </c>
      <c r="C235" s="40" t="s">
        <v>638</v>
      </c>
      <c r="D235" s="40" t="s">
        <v>395</v>
      </c>
      <c r="E235" s="20" t="s">
        <v>396</v>
      </c>
      <c r="F235" s="21" t="s">
        <v>397</v>
      </c>
      <c r="G235" s="23" t="s">
        <v>530</v>
      </c>
      <c r="H235" s="227">
        <v>43191</v>
      </c>
      <c r="I235" s="227">
        <v>44286</v>
      </c>
      <c r="J235" s="21" t="s">
        <v>111</v>
      </c>
      <c r="K235" s="21" t="s">
        <v>316</v>
      </c>
      <c r="L235" s="21" t="s">
        <v>455</v>
      </c>
      <c r="M235" s="21" t="s">
        <v>455</v>
      </c>
      <c r="N235" s="21" t="s">
        <v>112</v>
      </c>
      <c r="O235" s="21">
        <v>121</v>
      </c>
      <c r="P235" s="199">
        <v>6160642.4500000002</v>
      </c>
      <c r="Q235" s="185">
        <v>0</v>
      </c>
      <c r="R235" s="199">
        <v>1097367.55</v>
      </c>
      <c r="S235" s="185">
        <v>0</v>
      </c>
      <c r="T235" s="199">
        <v>0</v>
      </c>
      <c r="U235" s="185">
        <f t="shared" si="24"/>
        <v>7258010</v>
      </c>
      <c r="V235" s="185" t="s">
        <v>301</v>
      </c>
      <c r="W235" s="185">
        <v>6</v>
      </c>
      <c r="X235" s="185">
        <f>4931457.62+602165.05+280420.04+346599.74</f>
        <v>6160642.4500000002</v>
      </c>
      <c r="Y235" s="187">
        <v>0</v>
      </c>
      <c r="AA235" s="75"/>
      <c r="AB235" s="75"/>
      <c r="AC235" s="75"/>
      <c r="AD235" s="75"/>
      <c r="AE235" s="75"/>
    </row>
    <row r="236" spans="1:95" s="24" customFormat="1" ht="88.5" customHeight="1" x14ac:dyDescent="0.2">
      <c r="A236" s="103">
        <v>59</v>
      </c>
      <c r="B236" s="40" t="s">
        <v>124</v>
      </c>
      <c r="C236" s="57" t="s">
        <v>639</v>
      </c>
      <c r="D236" s="57" t="s">
        <v>400</v>
      </c>
      <c r="E236" s="59" t="s">
        <v>401</v>
      </c>
      <c r="F236" s="60" t="s">
        <v>402</v>
      </c>
      <c r="G236" s="61" t="s">
        <v>403</v>
      </c>
      <c r="H236" s="238">
        <v>43466</v>
      </c>
      <c r="I236" s="238">
        <v>45291</v>
      </c>
      <c r="J236" s="60" t="s">
        <v>111</v>
      </c>
      <c r="K236" s="60" t="s">
        <v>316</v>
      </c>
      <c r="L236" s="60" t="s">
        <v>455</v>
      </c>
      <c r="M236" s="60" t="s">
        <v>455</v>
      </c>
      <c r="N236" s="60" t="s">
        <v>112</v>
      </c>
      <c r="O236" s="60">
        <v>121</v>
      </c>
      <c r="P236" s="214">
        <f>16914912.88-521445.66</f>
        <v>16393467.219999999</v>
      </c>
      <c r="Q236" s="215">
        <f>3057897.13-94267.49</f>
        <v>2963629.6399999997</v>
      </c>
      <c r="R236" s="214">
        <v>0</v>
      </c>
      <c r="S236" s="215">
        <f>407608.35-12565.57</f>
        <v>395042.77999999997</v>
      </c>
      <c r="T236" s="214">
        <v>0</v>
      </c>
      <c r="U236" s="215">
        <f t="shared" si="24"/>
        <v>19752139.640000001</v>
      </c>
      <c r="V236" s="215" t="s">
        <v>113</v>
      </c>
      <c r="W236" s="215">
        <v>2</v>
      </c>
      <c r="X236" s="215">
        <f>6248354.4+900000-150837.57+800000-114983.72-122507.06+750000-113568.79+750000+2187.76</f>
        <v>8948645.0200000014</v>
      </c>
      <c r="Y236" s="187">
        <f>847795.12+150837.57+114983.72+122507.06+113568.79+395.5</f>
        <v>1350087.76</v>
      </c>
      <c r="Z236" s="71"/>
      <c r="AA236" s="75"/>
      <c r="AB236" s="75"/>
      <c r="AC236" s="75"/>
      <c r="AD236" s="75"/>
      <c r="AE236" s="75"/>
    </row>
    <row r="237" spans="1:95" s="24" customFormat="1" ht="50.25" customHeight="1" x14ac:dyDescent="0.2">
      <c r="A237" s="92">
        <v>60</v>
      </c>
      <c r="B237" s="40" t="s">
        <v>145</v>
      </c>
      <c r="C237" s="40" t="s">
        <v>640</v>
      </c>
      <c r="D237" s="40" t="s">
        <v>404</v>
      </c>
      <c r="E237" s="20" t="s">
        <v>405</v>
      </c>
      <c r="F237" s="21" t="s">
        <v>406</v>
      </c>
      <c r="G237" s="23" t="s">
        <v>407</v>
      </c>
      <c r="H237" s="227">
        <v>43497</v>
      </c>
      <c r="I237" s="227">
        <v>43646</v>
      </c>
      <c r="J237" s="21" t="s">
        <v>111</v>
      </c>
      <c r="K237" s="21" t="s">
        <v>316</v>
      </c>
      <c r="L237" s="21" t="s">
        <v>455</v>
      </c>
      <c r="M237" s="21" t="s">
        <v>455</v>
      </c>
      <c r="N237" s="21" t="s">
        <v>112</v>
      </c>
      <c r="O237" s="21">
        <v>121</v>
      </c>
      <c r="P237" s="199">
        <f>478269.29-182215.04</f>
        <v>296054.25</v>
      </c>
      <c r="Q237" s="185">
        <v>0</v>
      </c>
      <c r="R237" s="199">
        <f>86762.29-33055.42</f>
        <v>53706.869999999995</v>
      </c>
      <c r="S237" s="185">
        <v>0</v>
      </c>
      <c r="T237" s="199">
        <v>0</v>
      </c>
      <c r="U237" s="185">
        <f t="shared" si="24"/>
        <v>349761.12</v>
      </c>
      <c r="V237" s="185" t="s">
        <v>301</v>
      </c>
      <c r="W237" s="185">
        <v>0</v>
      </c>
      <c r="X237" s="185">
        <v>296054.25</v>
      </c>
      <c r="Y237" s="187">
        <v>0</v>
      </c>
      <c r="AA237" s="75"/>
      <c r="AB237" s="75"/>
      <c r="AC237" s="75"/>
      <c r="AD237" s="75"/>
      <c r="AE237" s="75"/>
    </row>
    <row r="238" spans="1:95" s="24" customFormat="1" ht="76.5" customHeight="1" x14ac:dyDescent="0.2">
      <c r="A238" s="103">
        <v>61</v>
      </c>
      <c r="B238" s="40" t="s">
        <v>145</v>
      </c>
      <c r="C238" s="40" t="s">
        <v>641</v>
      </c>
      <c r="D238" s="19" t="s">
        <v>408</v>
      </c>
      <c r="E238" s="20" t="s">
        <v>409</v>
      </c>
      <c r="F238" s="21" t="s">
        <v>410</v>
      </c>
      <c r="G238" s="23" t="s">
        <v>411</v>
      </c>
      <c r="H238" s="227">
        <v>43466</v>
      </c>
      <c r="I238" s="227">
        <v>43890</v>
      </c>
      <c r="J238" s="21" t="s">
        <v>111</v>
      </c>
      <c r="K238" s="21" t="s">
        <v>316</v>
      </c>
      <c r="L238" s="21" t="s">
        <v>455</v>
      </c>
      <c r="M238" s="21" t="s">
        <v>455</v>
      </c>
      <c r="N238" s="21" t="s">
        <v>112</v>
      </c>
      <c r="O238" s="21">
        <v>121</v>
      </c>
      <c r="P238" s="185">
        <f>429826.2-8542.19</f>
        <v>421284.01</v>
      </c>
      <c r="Q238" s="185">
        <v>76424.679999999993</v>
      </c>
      <c r="R238" s="185">
        <v>0</v>
      </c>
      <c r="S238" s="185">
        <v>0</v>
      </c>
      <c r="T238" s="185">
        <v>0</v>
      </c>
      <c r="U238" s="185">
        <f t="shared" si="24"/>
        <v>497708.69</v>
      </c>
      <c r="V238" s="185" t="s">
        <v>301</v>
      </c>
      <c r="W238" s="185">
        <v>1</v>
      </c>
      <c r="X238" s="185">
        <f>55774.25+92949.02+91759.86+120761.2+60039.68</f>
        <v>421284.01</v>
      </c>
      <c r="Y238" s="187">
        <f>10117.95+16861.78+16646.06+21907.16+10891.73</f>
        <v>76424.679999999993</v>
      </c>
      <c r="AA238" s="75"/>
      <c r="AB238" s="75"/>
      <c r="AC238" s="75"/>
      <c r="AD238" s="75"/>
      <c r="AE238" s="75"/>
    </row>
    <row r="239" spans="1:95" s="24" customFormat="1" ht="84" customHeight="1" x14ac:dyDescent="0.2">
      <c r="A239" s="92">
        <v>62</v>
      </c>
      <c r="B239" s="40" t="s">
        <v>238</v>
      </c>
      <c r="C239" s="40" t="s">
        <v>642</v>
      </c>
      <c r="D239" s="19" t="s">
        <v>416</v>
      </c>
      <c r="E239" s="20" t="s">
        <v>417</v>
      </c>
      <c r="F239" s="21" t="s">
        <v>418</v>
      </c>
      <c r="G239" s="23" t="s">
        <v>419</v>
      </c>
      <c r="H239" s="227">
        <v>43070</v>
      </c>
      <c r="I239" s="227">
        <v>44286</v>
      </c>
      <c r="J239" s="21" t="s">
        <v>111</v>
      </c>
      <c r="K239" s="21" t="s">
        <v>316</v>
      </c>
      <c r="L239" s="21" t="s">
        <v>455</v>
      </c>
      <c r="M239" s="21" t="s">
        <v>455</v>
      </c>
      <c r="N239" s="21" t="s">
        <v>112</v>
      </c>
      <c r="O239" s="21">
        <v>121</v>
      </c>
      <c r="P239" s="199">
        <f>20760118.33-482900.76</f>
        <v>20277217.569999997</v>
      </c>
      <c r="Q239" s="199">
        <v>0</v>
      </c>
      <c r="R239" s="199">
        <f>3733165.57-86837.12</f>
        <v>3646328.4499999997</v>
      </c>
      <c r="S239" s="185">
        <v>0</v>
      </c>
      <c r="T239" s="199">
        <f>750011.03+500011.2</f>
        <v>1250022.23</v>
      </c>
      <c r="U239" s="185">
        <f t="shared" si="24"/>
        <v>25173568.249999996</v>
      </c>
      <c r="V239" s="185" t="s">
        <v>113</v>
      </c>
      <c r="W239" s="185">
        <v>2</v>
      </c>
      <c r="X239" s="185">
        <f>5917267.79+3121065.76+1608987.57+1588308.21+1670106.01+1638094.46+1705041.74</f>
        <v>17248871.539999999</v>
      </c>
      <c r="Y239" s="187">
        <v>0</v>
      </c>
      <c r="AA239" s="75"/>
      <c r="AB239" s="75"/>
      <c r="AC239" s="75"/>
      <c r="AD239" s="75"/>
      <c r="AE239" s="75"/>
    </row>
    <row r="240" spans="1:95" s="24" customFormat="1" ht="95.25" customHeight="1" x14ac:dyDescent="0.2">
      <c r="A240" s="103">
        <v>63</v>
      </c>
      <c r="B240" s="40" t="s">
        <v>145</v>
      </c>
      <c r="C240" s="40" t="s">
        <v>643</v>
      </c>
      <c r="D240" s="19" t="s">
        <v>412</v>
      </c>
      <c r="E240" s="20" t="s">
        <v>413</v>
      </c>
      <c r="F240" s="21" t="s">
        <v>414</v>
      </c>
      <c r="G240" s="23" t="s">
        <v>415</v>
      </c>
      <c r="H240" s="227">
        <v>43466</v>
      </c>
      <c r="I240" s="227">
        <v>43829</v>
      </c>
      <c r="J240" s="21" t="s">
        <v>111</v>
      </c>
      <c r="K240" s="21" t="s">
        <v>316</v>
      </c>
      <c r="L240" s="21" t="s">
        <v>455</v>
      </c>
      <c r="M240" s="21" t="s">
        <v>455</v>
      </c>
      <c r="N240" s="21" t="s">
        <v>112</v>
      </c>
      <c r="O240" s="21">
        <v>121</v>
      </c>
      <c r="P240" s="185">
        <f>106460.34-12.67</f>
        <v>106447.67</v>
      </c>
      <c r="Q240" s="185">
        <v>19310.580000000002</v>
      </c>
      <c r="R240" s="185">
        <v>0</v>
      </c>
      <c r="S240" s="185">
        <v>0</v>
      </c>
      <c r="T240" s="185">
        <v>0</v>
      </c>
      <c r="U240" s="185">
        <f t="shared" si="24"/>
        <v>125758.25</v>
      </c>
      <c r="V240" s="185" t="s">
        <v>301</v>
      </c>
      <c r="W240" s="185">
        <v>1</v>
      </c>
      <c r="X240" s="185">
        <f>79835.51+26612.16</f>
        <v>106447.67</v>
      </c>
      <c r="Y240" s="187">
        <f>14482.89+4827.69</f>
        <v>19310.579999999998</v>
      </c>
      <c r="AA240" s="75"/>
      <c r="AB240" s="75"/>
      <c r="AC240" s="75"/>
      <c r="AD240" s="75"/>
      <c r="AE240" s="75"/>
    </row>
    <row r="241" spans="1:31" s="24" customFormat="1" ht="75" customHeight="1" x14ac:dyDescent="0.2">
      <c r="A241" s="92">
        <v>64</v>
      </c>
      <c r="B241" s="40" t="s">
        <v>145</v>
      </c>
      <c r="C241" s="57" t="s">
        <v>644</v>
      </c>
      <c r="D241" s="63" t="s">
        <v>420</v>
      </c>
      <c r="E241" s="59" t="s">
        <v>422</v>
      </c>
      <c r="F241" s="60" t="s">
        <v>421</v>
      </c>
      <c r="G241" s="61" t="s">
        <v>423</v>
      </c>
      <c r="H241" s="238">
        <v>43466</v>
      </c>
      <c r="I241" s="238">
        <v>43829</v>
      </c>
      <c r="J241" s="60" t="s">
        <v>111</v>
      </c>
      <c r="K241" s="60" t="s">
        <v>316</v>
      </c>
      <c r="L241" s="60" t="s">
        <v>455</v>
      </c>
      <c r="M241" s="60" t="s">
        <v>455</v>
      </c>
      <c r="N241" s="60" t="s">
        <v>112</v>
      </c>
      <c r="O241" s="60">
        <v>121</v>
      </c>
      <c r="P241" s="215">
        <v>390167.41</v>
      </c>
      <c r="Q241" s="215">
        <v>70779.840000000084</v>
      </c>
      <c r="R241" s="215">
        <v>0</v>
      </c>
      <c r="S241" s="215">
        <v>0</v>
      </c>
      <c r="T241" s="215">
        <v>0</v>
      </c>
      <c r="U241" s="215">
        <f t="shared" si="24"/>
        <v>460947.25000000006</v>
      </c>
      <c r="V241" s="215" t="s">
        <v>301</v>
      </c>
      <c r="W241" s="215">
        <v>1</v>
      </c>
      <c r="X241" s="215">
        <f>266604.24+76116.07+47447.1</f>
        <v>390167.41</v>
      </c>
      <c r="Y241" s="187">
        <f>48364.38+13808.13+8607.33</f>
        <v>70779.839999999997</v>
      </c>
      <c r="Z241" s="71"/>
      <c r="AA241" s="75"/>
      <c r="AB241" s="75"/>
      <c r="AC241" s="75"/>
      <c r="AD241" s="75"/>
      <c r="AE241" s="75"/>
    </row>
    <row r="242" spans="1:31" s="24" customFormat="1" ht="77.25" customHeight="1" x14ac:dyDescent="0.2">
      <c r="A242" s="103">
        <v>65</v>
      </c>
      <c r="B242" s="40" t="s">
        <v>145</v>
      </c>
      <c r="C242" s="40" t="s">
        <v>645</v>
      </c>
      <c r="D242" s="19" t="s">
        <v>424</v>
      </c>
      <c r="E242" s="20" t="s">
        <v>428</v>
      </c>
      <c r="F242" s="21" t="s">
        <v>434</v>
      </c>
      <c r="G242" s="23" t="s">
        <v>435</v>
      </c>
      <c r="H242" s="227">
        <v>43374</v>
      </c>
      <c r="I242" s="227">
        <v>44561</v>
      </c>
      <c r="J242" s="21" t="s">
        <v>111</v>
      </c>
      <c r="K242" s="21" t="s">
        <v>316</v>
      </c>
      <c r="L242" s="21" t="s">
        <v>455</v>
      </c>
      <c r="M242" s="21" t="s">
        <v>455</v>
      </c>
      <c r="N242" s="21" t="s">
        <v>112</v>
      </c>
      <c r="O242" s="21">
        <v>121</v>
      </c>
      <c r="P242" s="185">
        <v>823140.89</v>
      </c>
      <c r="Q242" s="185">
        <v>0</v>
      </c>
      <c r="R242" s="185">
        <v>149325.07</v>
      </c>
      <c r="S242" s="185">
        <v>0</v>
      </c>
      <c r="T242" s="185">
        <v>0</v>
      </c>
      <c r="U242" s="185">
        <f t="shared" si="24"/>
        <v>972465.96</v>
      </c>
      <c r="V242" s="185" t="s">
        <v>113</v>
      </c>
      <c r="W242" s="185">
        <v>4</v>
      </c>
      <c r="X242" s="185">
        <f>204456.06+67467.07+57535.37+35959.61+125043.92+59404.5+99729.06+30822.52+22603.18+44863.89+41781.64</f>
        <v>789666.82000000018</v>
      </c>
      <c r="Y242" s="187">
        <v>0</v>
      </c>
      <c r="AA242" s="75"/>
      <c r="AB242" s="75"/>
      <c r="AC242" s="75"/>
      <c r="AD242" s="75"/>
      <c r="AE242" s="75"/>
    </row>
    <row r="243" spans="1:31" s="24" customFormat="1" ht="90.75" customHeight="1" x14ac:dyDescent="0.2">
      <c r="A243" s="92">
        <v>66</v>
      </c>
      <c r="B243" s="40" t="s">
        <v>145</v>
      </c>
      <c r="C243" s="40" t="s">
        <v>646</v>
      </c>
      <c r="D243" s="19" t="s">
        <v>425</v>
      </c>
      <c r="E243" s="20" t="s">
        <v>429</v>
      </c>
      <c r="F243" s="21" t="s">
        <v>754</v>
      </c>
      <c r="G243" s="23" t="s">
        <v>436</v>
      </c>
      <c r="H243" s="227">
        <v>42919</v>
      </c>
      <c r="I243" s="227">
        <v>45199</v>
      </c>
      <c r="J243" s="21" t="s">
        <v>111</v>
      </c>
      <c r="K243" s="21" t="s">
        <v>316</v>
      </c>
      <c r="L243" s="21" t="s">
        <v>455</v>
      </c>
      <c r="M243" s="21" t="s">
        <v>455</v>
      </c>
      <c r="N243" s="21" t="s">
        <v>112</v>
      </c>
      <c r="O243" s="21">
        <v>121</v>
      </c>
      <c r="P243" s="185">
        <v>4519118.4700000007</v>
      </c>
      <c r="Q243" s="185">
        <v>0</v>
      </c>
      <c r="R243" s="185">
        <v>813096.79</v>
      </c>
      <c r="S243" s="185">
        <v>0</v>
      </c>
      <c r="T243" s="185">
        <v>456379.54999999888</v>
      </c>
      <c r="U243" s="185">
        <f t="shared" si="24"/>
        <v>5788594.8099999996</v>
      </c>
      <c r="V243" s="185" t="s">
        <v>113</v>
      </c>
      <c r="W243" s="185">
        <v>4</v>
      </c>
      <c r="X243" s="185">
        <f>189050.27+104094.85+80637.33+232275.54+7135.01+6078.39+76482.89+6854.75+95541.46+7704.81+48410.7</f>
        <v>854266</v>
      </c>
      <c r="Y243" s="187">
        <v>0</v>
      </c>
      <c r="AA243" s="75"/>
      <c r="AB243" s="75"/>
      <c r="AC243" s="75"/>
      <c r="AD243" s="75"/>
      <c r="AE243" s="75"/>
    </row>
    <row r="244" spans="1:31" s="24" customFormat="1" ht="69" customHeight="1" x14ac:dyDescent="0.2">
      <c r="A244" s="103">
        <v>67</v>
      </c>
      <c r="B244" s="40" t="s">
        <v>145</v>
      </c>
      <c r="C244" s="40" t="s">
        <v>647</v>
      </c>
      <c r="D244" s="19" t="s">
        <v>426</v>
      </c>
      <c r="E244" s="20" t="s">
        <v>430</v>
      </c>
      <c r="F244" s="21" t="s">
        <v>432</v>
      </c>
      <c r="G244" s="23" t="s">
        <v>437</v>
      </c>
      <c r="H244" s="227">
        <v>43466</v>
      </c>
      <c r="I244" s="227">
        <v>43830</v>
      </c>
      <c r="J244" s="21" t="s">
        <v>111</v>
      </c>
      <c r="K244" s="21" t="s">
        <v>316</v>
      </c>
      <c r="L244" s="21" t="s">
        <v>455</v>
      </c>
      <c r="M244" s="21" t="s">
        <v>455</v>
      </c>
      <c r="N244" s="21" t="s">
        <v>112</v>
      </c>
      <c r="O244" s="21">
        <v>121</v>
      </c>
      <c r="P244" s="185">
        <v>844844</v>
      </c>
      <c r="Q244" s="185">
        <v>153262.19</v>
      </c>
      <c r="R244" s="185">
        <v>0</v>
      </c>
      <c r="S244" s="185">
        <v>0</v>
      </c>
      <c r="T244" s="185">
        <v>0</v>
      </c>
      <c r="U244" s="185">
        <f t="shared" si="24"/>
        <v>998106.19</v>
      </c>
      <c r="V244" s="185" t="s">
        <v>301</v>
      </c>
      <c r="W244" s="185">
        <v>1</v>
      </c>
      <c r="X244" s="185">
        <f>165891.49+149072.73+145360.3+152413.5+232105.98</f>
        <v>844844</v>
      </c>
      <c r="Y244" s="187">
        <f>30094.19+27043.11+26369.65+27649.16+42106.08</f>
        <v>153262.19</v>
      </c>
      <c r="AA244" s="75"/>
      <c r="AB244" s="75"/>
      <c r="AC244" s="75"/>
      <c r="AD244" s="75"/>
      <c r="AE244" s="75"/>
    </row>
    <row r="245" spans="1:31" s="24" customFormat="1" ht="112.5" customHeight="1" x14ac:dyDescent="0.2">
      <c r="A245" s="92">
        <v>68</v>
      </c>
      <c r="B245" s="40" t="s">
        <v>232</v>
      </c>
      <c r="C245" s="40" t="s">
        <v>648</v>
      </c>
      <c r="D245" s="19" t="s">
        <v>427</v>
      </c>
      <c r="E245" s="20" t="s">
        <v>431</v>
      </c>
      <c r="F245" s="21" t="s">
        <v>433</v>
      </c>
      <c r="G245" s="23" t="s">
        <v>438</v>
      </c>
      <c r="H245" s="227">
        <v>42278</v>
      </c>
      <c r="I245" s="227">
        <v>45291</v>
      </c>
      <c r="J245" s="21" t="s">
        <v>111</v>
      </c>
      <c r="K245" s="21" t="s">
        <v>316</v>
      </c>
      <c r="L245" s="21" t="s">
        <v>455</v>
      </c>
      <c r="M245" s="21" t="s">
        <v>455</v>
      </c>
      <c r="N245" s="21" t="s">
        <v>112</v>
      </c>
      <c r="O245" s="21">
        <v>121</v>
      </c>
      <c r="P245" s="185">
        <v>1086017.98</v>
      </c>
      <c r="Q245" s="185">
        <v>0</v>
      </c>
      <c r="R245" s="185">
        <v>193447.49000000046</v>
      </c>
      <c r="S245" s="185">
        <v>0</v>
      </c>
      <c r="T245" s="185">
        <v>154814.43999999971</v>
      </c>
      <c r="U245" s="185">
        <f t="shared" si="24"/>
        <v>1434279.9100000001</v>
      </c>
      <c r="V245" s="185" t="s">
        <v>113</v>
      </c>
      <c r="W245" s="185">
        <v>3</v>
      </c>
      <c r="X245" s="185">
        <f>18465.3+13814.94+20871.67+72837.66</f>
        <v>125989.57</v>
      </c>
      <c r="Y245" s="187">
        <v>0</v>
      </c>
      <c r="AA245" s="75"/>
      <c r="AB245" s="75"/>
      <c r="AC245" s="75"/>
      <c r="AD245" s="75"/>
      <c r="AE245" s="75"/>
    </row>
    <row r="246" spans="1:31" s="24" customFormat="1" ht="112.5" customHeight="1" x14ac:dyDescent="0.2">
      <c r="A246" s="103">
        <v>69</v>
      </c>
      <c r="B246" s="40" t="s">
        <v>145</v>
      </c>
      <c r="C246" s="40" t="s">
        <v>649</v>
      </c>
      <c r="D246" s="19" t="s">
        <v>439</v>
      </c>
      <c r="E246" s="20" t="s">
        <v>444</v>
      </c>
      <c r="F246" s="21" t="s">
        <v>754</v>
      </c>
      <c r="G246" s="23" t="s">
        <v>450</v>
      </c>
      <c r="H246" s="227">
        <v>42370</v>
      </c>
      <c r="I246" s="227">
        <v>45291</v>
      </c>
      <c r="J246" s="21" t="s">
        <v>111</v>
      </c>
      <c r="K246" s="21" t="s">
        <v>316</v>
      </c>
      <c r="L246" s="21" t="s">
        <v>455</v>
      </c>
      <c r="M246" s="21" t="s">
        <v>455</v>
      </c>
      <c r="N246" s="21" t="s">
        <v>112</v>
      </c>
      <c r="O246" s="21">
        <v>121</v>
      </c>
      <c r="P246" s="185">
        <v>43738501.979999997</v>
      </c>
      <c r="Q246" s="185">
        <v>0</v>
      </c>
      <c r="R246" s="185">
        <v>7869595.6900000004</v>
      </c>
      <c r="S246" s="185">
        <v>0</v>
      </c>
      <c r="T246" s="185">
        <f>2442330.34+3582796.47</f>
        <v>6025126.8100000005</v>
      </c>
      <c r="U246" s="185">
        <f t="shared" si="24"/>
        <v>57633224.479999997</v>
      </c>
      <c r="V246" s="185" t="s">
        <v>113</v>
      </c>
      <c r="W246" s="185">
        <v>5</v>
      </c>
      <c r="X246" s="185">
        <f>8713179.55+12418795.19+255730.02+2363250.23+2295521.42+608481.72+1496141.81+509636.6+49350.51+78143.36+977580.15+616058.55+631598.55+741256.84+135782.09+1001961.94+928470.29+102833.09+567074.28+727703.08</f>
        <v>35218549.270000011</v>
      </c>
      <c r="Y246" s="187">
        <v>0</v>
      </c>
      <c r="AA246" s="75"/>
      <c r="AB246" s="75"/>
      <c r="AC246" s="75"/>
      <c r="AD246" s="75"/>
      <c r="AE246" s="75"/>
    </row>
    <row r="247" spans="1:31" s="24" customFormat="1" ht="112.5" customHeight="1" x14ac:dyDescent="0.2">
      <c r="A247" s="92">
        <v>70</v>
      </c>
      <c r="B247" s="40" t="s">
        <v>145</v>
      </c>
      <c r="C247" s="40" t="s">
        <v>650</v>
      </c>
      <c r="D247" s="19" t="s">
        <v>440</v>
      </c>
      <c r="E247" s="20" t="s">
        <v>445</v>
      </c>
      <c r="F247" s="21" t="s">
        <v>449</v>
      </c>
      <c r="G247" s="23" t="s">
        <v>451</v>
      </c>
      <c r="H247" s="227">
        <v>43466</v>
      </c>
      <c r="I247" s="227">
        <v>43861</v>
      </c>
      <c r="J247" s="21" t="s">
        <v>111</v>
      </c>
      <c r="K247" s="21" t="s">
        <v>316</v>
      </c>
      <c r="L247" s="21" t="s">
        <v>455</v>
      </c>
      <c r="M247" s="21" t="s">
        <v>455</v>
      </c>
      <c r="N247" s="21" t="s">
        <v>112</v>
      </c>
      <c r="O247" s="21">
        <v>121</v>
      </c>
      <c r="P247" s="185">
        <f>200949.93-3556.26</f>
        <v>197393.66999999998</v>
      </c>
      <c r="Q247" s="185">
        <f>36454.08-645.13</f>
        <v>35808.950000000004</v>
      </c>
      <c r="R247" s="185">
        <v>0</v>
      </c>
      <c r="S247" s="185">
        <v>0</v>
      </c>
      <c r="T247" s="185">
        <v>0</v>
      </c>
      <c r="U247" s="185">
        <f t="shared" si="24"/>
        <v>233202.62</v>
      </c>
      <c r="V247" s="185" t="s">
        <v>301</v>
      </c>
      <c r="W247" s="185">
        <v>1</v>
      </c>
      <c r="X247" s="185">
        <f>54120.85+50676.01+52031.52+40565.29</f>
        <v>197393.67</v>
      </c>
      <c r="Y247" s="187">
        <f>9818+9193.08+9438.97+7358.9</f>
        <v>35808.950000000004</v>
      </c>
      <c r="AA247" s="75"/>
      <c r="AB247" s="75"/>
      <c r="AC247" s="75"/>
      <c r="AD247" s="75"/>
      <c r="AE247" s="75"/>
    </row>
    <row r="248" spans="1:31" s="24" customFormat="1" ht="112.5" customHeight="1" x14ac:dyDescent="0.2">
      <c r="A248" s="103">
        <v>71</v>
      </c>
      <c r="B248" s="40" t="s">
        <v>145</v>
      </c>
      <c r="C248" s="40" t="s">
        <v>651</v>
      </c>
      <c r="D248" s="19" t="s">
        <v>441</v>
      </c>
      <c r="E248" s="20" t="s">
        <v>448</v>
      </c>
      <c r="F248" s="21" t="s">
        <v>418</v>
      </c>
      <c r="G248" s="23" t="s">
        <v>452</v>
      </c>
      <c r="H248" s="227">
        <v>41926</v>
      </c>
      <c r="I248" s="227">
        <v>45291</v>
      </c>
      <c r="J248" s="21" t="s">
        <v>111</v>
      </c>
      <c r="K248" s="21" t="s">
        <v>316</v>
      </c>
      <c r="L248" s="21" t="s">
        <v>455</v>
      </c>
      <c r="M248" s="21" t="s">
        <v>455</v>
      </c>
      <c r="N248" s="21" t="s">
        <v>112</v>
      </c>
      <c r="O248" s="21">
        <v>121</v>
      </c>
      <c r="P248" s="185">
        <v>3584558.03</v>
      </c>
      <c r="Q248" s="185">
        <v>0</v>
      </c>
      <c r="R248" s="185">
        <v>650270.59</v>
      </c>
      <c r="S248" s="185">
        <v>0</v>
      </c>
      <c r="T248" s="185">
        <v>196082.63</v>
      </c>
      <c r="U248" s="185">
        <f t="shared" si="24"/>
        <v>4430911.25</v>
      </c>
      <c r="V248" s="185" t="s">
        <v>113</v>
      </c>
      <c r="W248" s="185">
        <v>3</v>
      </c>
      <c r="X248" s="185">
        <f>395897.22+101972+157522.17+189435.95+137584.24+96577.37</f>
        <v>1078988.9500000002</v>
      </c>
      <c r="Y248" s="187">
        <v>0</v>
      </c>
      <c r="AA248" s="75"/>
      <c r="AB248" s="75"/>
      <c r="AC248" s="75"/>
      <c r="AD248" s="75"/>
      <c r="AE248" s="75"/>
    </row>
    <row r="249" spans="1:31" s="24" customFormat="1" ht="112.5" customHeight="1" x14ac:dyDescent="0.2">
      <c r="A249" s="92">
        <v>72</v>
      </c>
      <c r="B249" s="40" t="s">
        <v>145</v>
      </c>
      <c r="C249" s="40" t="s">
        <v>652</v>
      </c>
      <c r="D249" s="19" t="s">
        <v>442</v>
      </c>
      <c r="E249" s="20" t="s">
        <v>446</v>
      </c>
      <c r="F249" s="21" t="s">
        <v>418</v>
      </c>
      <c r="G249" s="23" t="s">
        <v>453</v>
      </c>
      <c r="H249" s="227">
        <v>43466</v>
      </c>
      <c r="I249" s="227">
        <v>44985</v>
      </c>
      <c r="J249" s="21" t="s">
        <v>111</v>
      </c>
      <c r="K249" s="21" t="s">
        <v>316</v>
      </c>
      <c r="L249" s="21" t="s">
        <v>455</v>
      </c>
      <c r="M249" s="21" t="s">
        <v>455</v>
      </c>
      <c r="N249" s="21" t="s">
        <v>112</v>
      </c>
      <c r="O249" s="21">
        <v>121</v>
      </c>
      <c r="P249" s="185">
        <v>14970292.449999999</v>
      </c>
      <c r="Q249" s="185">
        <v>0</v>
      </c>
      <c r="R249" s="185">
        <v>2715743.95</v>
      </c>
      <c r="S249" s="185">
        <v>0</v>
      </c>
      <c r="T249" s="185">
        <v>584602.35</v>
      </c>
      <c r="U249" s="185">
        <f t="shared" si="24"/>
        <v>18270638.75</v>
      </c>
      <c r="V249" s="185" t="s">
        <v>113</v>
      </c>
      <c r="W249" s="185">
        <v>4</v>
      </c>
      <c r="X249" s="185">
        <f>612808.16+349183.08+702547.63+1046427.72+1034403.1+1025469.69+353946.05+716720.53+1134933.07+1101147.98+1388706.83</f>
        <v>9466293.8399999999</v>
      </c>
      <c r="Y249" s="187">
        <v>0</v>
      </c>
      <c r="AA249" s="75"/>
      <c r="AB249" s="75"/>
      <c r="AC249" s="75"/>
      <c r="AD249" s="75"/>
      <c r="AE249" s="75"/>
    </row>
    <row r="250" spans="1:31" s="24" customFormat="1" ht="112.5" customHeight="1" x14ac:dyDescent="0.2">
      <c r="A250" s="103">
        <v>73</v>
      </c>
      <c r="B250" s="40" t="s">
        <v>124</v>
      </c>
      <c r="C250" s="40" t="s">
        <v>653</v>
      </c>
      <c r="D250" s="19" t="s">
        <v>443</v>
      </c>
      <c r="E250" s="20" t="s">
        <v>447</v>
      </c>
      <c r="F250" s="21" t="s">
        <v>418</v>
      </c>
      <c r="G250" s="23" t="s">
        <v>454</v>
      </c>
      <c r="H250" s="227">
        <v>43466</v>
      </c>
      <c r="I250" s="227">
        <v>44773</v>
      </c>
      <c r="J250" s="21" t="s">
        <v>111</v>
      </c>
      <c r="K250" s="21" t="s">
        <v>316</v>
      </c>
      <c r="L250" s="21" t="s">
        <v>455</v>
      </c>
      <c r="M250" s="21" t="s">
        <v>455</v>
      </c>
      <c r="N250" s="21" t="s">
        <v>112</v>
      </c>
      <c r="O250" s="21">
        <v>121</v>
      </c>
      <c r="P250" s="185">
        <v>3073825.99</v>
      </c>
      <c r="Q250" s="185">
        <v>0</v>
      </c>
      <c r="R250" s="185">
        <v>555689.74</v>
      </c>
      <c r="S250" s="185">
        <v>0</v>
      </c>
      <c r="T250" s="185">
        <v>176688</v>
      </c>
      <c r="U250" s="185">
        <f t="shared" si="24"/>
        <v>3806203.7300000004</v>
      </c>
      <c r="V250" s="185" t="s">
        <v>113</v>
      </c>
      <c r="W250" s="185">
        <v>3</v>
      </c>
      <c r="X250" s="185">
        <f>96985.8+51957.13+148422.49+155871.39+154312.26+155871.39+163665.39+76896.55+16528.18+234784.41+219113.81+201103.31</f>
        <v>1675512.1100000003</v>
      </c>
      <c r="Y250" s="187">
        <v>0</v>
      </c>
      <c r="AA250" s="75"/>
      <c r="AB250" s="75"/>
      <c r="AC250" s="75"/>
      <c r="AD250" s="75"/>
      <c r="AE250" s="75"/>
    </row>
    <row r="251" spans="1:31" s="24" customFormat="1" ht="112.5" customHeight="1" x14ac:dyDescent="0.2">
      <c r="A251" s="92">
        <v>74</v>
      </c>
      <c r="B251" s="40" t="s">
        <v>124</v>
      </c>
      <c r="C251" s="40" t="s">
        <v>654</v>
      </c>
      <c r="D251" s="19" t="s">
        <v>456</v>
      </c>
      <c r="E251" s="20" t="s">
        <v>469</v>
      </c>
      <c r="F251" s="21" t="s">
        <v>480</v>
      </c>
      <c r="G251" s="23" t="s">
        <v>485</v>
      </c>
      <c r="H251" s="227">
        <v>43497</v>
      </c>
      <c r="I251" s="227">
        <v>45291</v>
      </c>
      <c r="J251" s="21" t="s">
        <v>111</v>
      </c>
      <c r="K251" s="21" t="s">
        <v>316</v>
      </c>
      <c r="L251" s="21" t="s">
        <v>455</v>
      </c>
      <c r="M251" s="21" t="s">
        <v>455</v>
      </c>
      <c r="N251" s="21" t="s">
        <v>112</v>
      </c>
      <c r="O251" s="21">
        <v>121</v>
      </c>
      <c r="P251" s="185">
        <v>65471072.990000002</v>
      </c>
      <c r="Q251" s="185">
        <v>0</v>
      </c>
      <c r="R251" s="185">
        <v>11835934.85</v>
      </c>
      <c r="S251" s="185">
        <v>0</v>
      </c>
      <c r="T251" s="185">
        <v>0</v>
      </c>
      <c r="U251" s="185">
        <f t="shared" si="24"/>
        <v>77307007.840000004</v>
      </c>
      <c r="V251" s="185" t="s">
        <v>113</v>
      </c>
      <c r="W251" s="185">
        <v>2</v>
      </c>
      <c r="X251" s="185">
        <f>1407553.99+764329.57+50627.5+1169440.91+1217477.82+73176.98+2351615.45</f>
        <v>7034222.2200000007</v>
      </c>
      <c r="Y251" s="187">
        <v>0</v>
      </c>
      <c r="AA251" s="75"/>
      <c r="AB251" s="75"/>
      <c r="AC251" s="75"/>
      <c r="AD251" s="75"/>
      <c r="AE251" s="75"/>
    </row>
    <row r="252" spans="1:31" s="24" customFormat="1" ht="112.5" customHeight="1" x14ac:dyDescent="0.2">
      <c r="A252" s="103">
        <v>75</v>
      </c>
      <c r="B252" s="57" t="s">
        <v>145</v>
      </c>
      <c r="C252" s="57" t="s">
        <v>655</v>
      </c>
      <c r="D252" s="63" t="s">
        <v>457</v>
      </c>
      <c r="E252" s="59" t="s">
        <v>470</v>
      </c>
      <c r="F252" s="60" t="s">
        <v>481</v>
      </c>
      <c r="G252" s="61" t="s">
        <v>486</v>
      </c>
      <c r="H252" s="238">
        <v>43466</v>
      </c>
      <c r="I252" s="238">
        <v>43830</v>
      </c>
      <c r="J252" s="60" t="s">
        <v>111</v>
      </c>
      <c r="K252" s="60" t="s">
        <v>316</v>
      </c>
      <c r="L252" s="60" t="s">
        <v>455</v>
      </c>
      <c r="M252" s="60" t="s">
        <v>455</v>
      </c>
      <c r="N252" s="60" t="s">
        <v>112</v>
      </c>
      <c r="O252" s="60">
        <v>121</v>
      </c>
      <c r="P252" s="215">
        <f>454386.66-46454.77</f>
        <v>407931.88999999996</v>
      </c>
      <c r="Q252" s="215">
        <f>82429.78-8427.32</f>
        <v>74002.459999999992</v>
      </c>
      <c r="R252" s="215">
        <v>0</v>
      </c>
      <c r="S252" s="215">
        <v>0</v>
      </c>
      <c r="T252" s="215">
        <v>0</v>
      </c>
      <c r="U252" s="215">
        <f t="shared" si="24"/>
        <v>481934.35</v>
      </c>
      <c r="V252" s="215" t="s">
        <v>301</v>
      </c>
      <c r="W252" s="215">
        <v>2</v>
      </c>
      <c r="X252" s="215">
        <f>124521.07+67068.88+64989.99+50725.58+100626.37</f>
        <v>407931.89</v>
      </c>
      <c r="Y252" s="216">
        <f>46545.88+18254.51</f>
        <v>64800.39</v>
      </c>
      <c r="Z252" s="71"/>
      <c r="AA252" s="75"/>
      <c r="AB252" s="75"/>
      <c r="AC252" s="75"/>
      <c r="AD252" s="75"/>
      <c r="AE252" s="75"/>
    </row>
    <row r="253" spans="1:31" s="24" customFormat="1" ht="112.5" customHeight="1" x14ac:dyDescent="0.2">
      <c r="A253" s="92">
        <v>76</v>
      </c>
      <c r="B253" s="40" t="s">
        <v>145</v>
      </c>
      <c r="C253" s="40" t="s">
        <v>656</v>
      </c>
      <c r="D253" s="19" t="s">
        <v>458</v>
      </c>
      <c r="E253" s="20" t="s">
        <v>471</v>
      </c>
      <c r="F253" s="21" t="s">
        <v>482</v>
      </c>
      <c r="G253" s="23" t="s">
        <v>437</v>
      </c>
      <c r="H253" s="227">
        <v>43466</v>
      </c>
      <c r="I253" s="227">
        <v>43830</v>
      </c>
      <c r="J253" s="21" t="s">
        <v>111</v>
      </c>
      <c r="K253" s="21" t="s">
        <v>316</v>
      </c>
      <c r="L253" s="21" t="s">
        <v>455</v>
      </c>
      <c r="M253" s="21" t="s">
        <v>455</v>
      </c>
      <c r="N253" s="21" t="s">
        <v>112</v>
      </c>
      <c r="O253" s="21">
        <v>121</v>
      </c>
      <c r="P253" s="185">
        <f>452466.03-21274.42</f>
        <v>431191.61000000004</v>
      </c>
      <c r="Q253" s="185">
        <f>82081.35-3859.38</f>
        <v>78221.97</v>
      </c>
      <c r="R253" s="185">
        <v>0</v>
      </c>
      <c r="S253" s="185">
        <v>0</v>
      </c>
      <c r="T253" s="185">
        <v>0</v>
      </c>
      <c r="U253" s="185">
        <f t="shared" si="24"/>
        <v>509413.58000000007</v>
      </c>
      <c r="V253" s="185" t="s">
        <v>301</v>
      </c>
      <c r="W253" s="185">
        <v>2</v>
      </c>
      <c r="X253" s="185">
        <f>157524.68+67985.37+67269.01+67852.66+70559.89</f>
        <v>431191.61</v>
      </c>
      <c r="Y253" s="187">
        <f>28576.37+12333.15+12203.19+9202.07+12309.07+12800.19</f>
        <v>87424.040000000008</v>
      </c>
      <c r="AA253" s="75"/>
      <c r="AB253" s="75"/>
      <c r="AC253" s="75"/>
      <c r="AD253" s="75"/>
      <c r="AE253" s="75"/>
    </row>
    <row r="254" spans="1:31" s="24" customFormat="1" ht="112.5" customHeight="1" x14ac:dyDescent="0.2">
      <c r="A254" s="103">
        <v>77</v>
      </c>
      <c r="B254" s="40" t="s">
        <v>142</v>
      </c>
      <c r="C254" s="40" t="s">
        <v>657</v>
      </c>
      <c r="D254" s="19" t="s">
        <v>459</v>
      </c>
      <c r="E254" s="20" t="s">
        <v>472</v>
      </c>
      <c r="F254" s="21" t="s">
        <v>771</v>
      </c>
      <c r="G254" s="23" t="s">
        <v>487</v>
      </c>
      <c r="H254" s="227">
        <v>43586</v>
      </c>
      <c r="I254" s="227">
        <v>45291</v>
      </c>
      <c r="J254" s="21" t="s">
        <v>111</v>
      </c>
      <c r="K254" s="21" t="s">
        <v>316</v>
      </c>
      <c r="L254" s="21" t="s">
        <v>455</v>
      </c>
      <c r="M254" s="21" t="s">
        <v>455</v>
      </c>
      <c r="N254" s="21" t="s">
        <v>112</v>
      </c>
      <c r="O254" s="21">
        <v>122</v>
      </c>
      <c r="P254" s="185">
        <v>5216239.38</v>
      </c>
      <c r="Q254" s="185">
        <v>0</v>
      </c>
      <c r="R254" s="185">
        <v>946272.13</v>
      </c>
      <c r="S254" s="185">
        <v>0</v>
      </c>
      <c r="T254" s="185">
        <v>0</v>
      </c>
      <c r="U254" s="185">
        <f t="shared" si="24"/>
        <v>6162511.5099999998</v>
      </c>
      <c r="V254" s="185" t="s">
        <v>113</v>
      </c>
      <c r="W254" s="185">
        <v>1</v>
      </c>
      <c r="X254" s="185">
        <v>0</v>
      </c>
      <c r="Y254" s="187">
        <v>0</v>
      </c>
      <c r="AA254" s="75"/>
      <c r="AB254" s="75"/>
      <c r="AC254" s="75"/>
      <c r="AD254" s="75"/>
      <c r="AE254" s="75"/>
    </row>
    <row r="255" spans="1:31" s="24" customFormat="1" ht="112.5" customHeight="1" x14ac:dyDescent="0.2">
      <c r="A255" s="92">
        <v>78</v>
      </c>
      <c r="B255" s="40" t="s">
        <v>120</v>
      </c>
      <c r="C255" s="40" t="s">
        <v>658</v>
      </c>
      <c r="D255" s="19" t="s">
        <v>460</v>
      </c>
      <c r="E255" s="20" t="s">
        <v>473</v>
      </c>
      <c r="F255" s="21" t="s">
        <v>772</v>
      </c>
      <c r="G255" s="23" t="s">
        <v>488</v>
      </c>
      <c r="H255" s="227">
        <v>43101</v>
      </c>
      <c r="I255" s="227">
        <v>44498</v>
      </c>
      <c r="J255" s="21" t="s">
        <v>111</v>
      </c>
      <c r="K255" s="21" t="s">
        <v>316</v>
      </c>
      <c r="L255" s="21" t="s">
        <v>455</v>
      </c>
      <c r="M255" s="21" t="s">
        <v>455</v>
      </c>
      <c r="N255" s="21" t="s">
        <v>112</v>
      </c>
      <c r="O255" s="21">
        <v>123</v>
      </c>
      <c r="P255" s="185">
        <v>5375351.9699999997</v>
      </c>
      <c r="Q255" s="185">
        <v>0</v>
      </c>
      <c r="R255" s="185">
        <v>967462.48</v>
      </c>
      <c r="S255" s="185">
        <v>0</v>
      </c>
      <c r="T255" s="185">
        <v>0</v>
      </c>
      <c r="U255" s="185">
        <f t="shared" si="24"/>
        <v>6342814.4499999993</v>
      </c>
      <c r="V255" s="185" t="s">
        <v>301</v>
      </c>
      <c r="W255" s="185">
        <v>4</v>
      </c>
      <c r="X255" s="185">
        <f>120993.67+529554.86+62289.13+1246312.87+1464086.33+1952115.11</f>
        <v>5375351.9700000007</v>
      </c>
      <c r="Y255" s="187">
        <v>0</v>
      </c>
      <c r="AA255" s="75"/>
      <c r="AB255" s="75"/>
      <c r="AC255" s="75"/>
      <c r="AD255" s="75"/>
      <c r="AE255" s="75"/>
    </row>
    <row r="256" spans="1:31" s="24" customFormat="1" ht="112.5" customHeight="1" x14ac:dyDescent="0.2">
      <c r="A256" s="103">
        <v>79</v>
      </c>
      <c r="B256" s="57" t="s">
        <v>120</v>
      </c>
      <c r="C256" s="57" t="s">
        <v>659</v>
      </c>
      <c r="D256" s="63" t="s">
        <v>461</v>
      </c>
      <c r="E256" s="59" t="s">
        <v>474</v>
      </c>
      <c r="F256" s="60" t="s">
        <v>782</v>
      </c>
      <c r="G256" s="61" t="s">
        <v>489</v>
      </c>
      <c r="H256" s="238">
        <v>43160</v>
      </c>
      <c r="I256" s="238">
        <v>43830</v>
      </c>
      <c r="J256" s="60" t="s">
        <v>111</v>
      </c>
      <c r="K256" s="60" t="s">
        <v>316</v>
      </c>
      <c r="L256" s="60" t="s">
        <v>455</v>
      </c>
      <c r="M256" s="60" t="s">
        <v>455</v>
      </c>
      <c r="N256" s="60" t="s">
        <v>112</v>
      </c>
      <c r="O256" s="60">
        <v>123</v>
      </c>
      <c r="P256" s="215">
        <f>375586.95-232853.23</f>
        <v>142733.72</v>
      </c>
      <c r="Q256" s="215">
        <v>0</v>
      </c>
      <c r="R256" s="215">
        <f>67899.04-42095.47</f>
        <v>25803.569999999992</v>
      </c>
      <c r="S256" s="215">
        <v>0</v>
      </c>
      <c r="T256" s="215">
        <v>0</v>
      </c>
      <c r="U256" s="215">
        <f t="shared" si="24"/>
        <v>168537.28999999998</v>
      </c>
      <c r="V256" s="215" t="s">
        <v>301</v>
      </c>
      <c r="W256" s="215">
        <v>1</v>
      </c>
      <c r="X256" s="215">
        <f>138955.58+3778.14</f>
        <v>142733.72</v>
      </c>
      <c r="Y256" s="216">
        <v>0</v>
      </c>
      <c r="Z256" s="71"/>
      <c r="AA256" s="75"/>
      <c r="AB256" s="75"/>
      <c r="AC256" s="75"/>
      <c r="AD256" s="75"/>
      <c r="AE256" s="75"/>
    </row>
    <row r="257" spans="1:85" s="24" customFormat="1" ht="112.5" customHeight="1" x14ac:dyDescent="0.2">
      <c r="A257" s="92">
        <v>80</v>
      </c>
      <c r="B257" s="40" t="s">
        <v>145</v>
      </c>
      <c r="C257" s="40" t="s">
        <v>660</v>
      </c>
      <c r="D257" s="19" t="s">
        <v>462</v>
      </c>
      <c r="E257" s="20" t="s">
        <v>762</v>
      </c>
      <c r="F257" s="21" t="s">
        <v>754</v>
      </c>
      <c r="G257" s="23" t="s">
        <v>490</v>
      </c>
      <c r="H257" s="227">
        <v>42705</v>
      </c>
      <c r="I257" s="227">
        <v>45291</v>
      </c>
      <c r="J257" s="21" t="s">
        <v>111</v>
      </c>
      <c r="K257" s="21" t="s">
        <v>316</v>
      </c>
      <c r="L257" s="21" t="s">
        <v>455</v>
      </c>
      <c r="M257" s="21" t="s">
        <v>455</v>
      </c>
      <c r="N257" s="21" t="s">
        <v>112</v>
      </c>
      <c r="O257" s="21">
        <v>121</v>
      </c>
      <c r="P257" s="185">
        <v>4567925.22</v>
      </c>
      <c r="Q257" s="185">
        <v>0</v>
      </c>
      <c r="R257" s="185">
        <v>825457.19</v>
      </c>
      <c r="S257" s="185">
        <v>0</v>
      </c>
      <c r="T257" s="185">
        <v>506052.59</v>
      </c>
      <c r="U257" s="185">
        <f t="shared" si="24"/>
        <v>5899435</v>
      </c>
      <c r="V257" s="185" t="s">
        <v>113</v>
      </c>
      <c r="W257" s="185">
        <v>5</v>
      </c>
      <c r="X257" s="185">
        <f>556339.19+7944.6+58276.64+6238.79+311319.1+5798.14</f>
        <v>945916.46</v>
      </c>
      <c r="Y257" s="187">
        <v>0</v>
      </c>
      <c r="AA257" s="75"/>
      <c r="AB257" s="75"/>
      <c r="AC257" s="75"/>
      <c r="AD257" s="75"/>
      <c r="AE257" s="75"/>
    </row>
    <row r="258" spans="1:85" s="24" customFormat="1" ht="112.5" customHeight="1" x14ac:dyDescent="0.2">
      <c r="A258" s="103">
        <v>81</v>
      </c>
      <c r="B258" s="57" t="s">
        <v>468</v>
      </c>
      <c r="C258" s="57" t="s">
        <v>661</v>
      </c>
      <c r="D258" s="63" t="s">
        <v>463</v>
      </c>
      <c r="E258" s="59" t="s">
        <v>475</v>
      </c>
      <c r="F258" s="60" t="s">
        <v>773</v>
      </c>
      <c r="G258" s="61" t="s">
        <v>491</v>
      </c>
      <c r="H258" s="238">
        <v>43344</v>
      </c>
      <c r="I258" s="238">
        <v>43921</v>
      </c>
      <c r="J258" s="60" t="s">
        <v>111</v>
      </c>
      <c r="K258" s="60" t="s">
        <v>316</v>
      </c>
      <c r="L258" s="60" t="s">
        <v>455</v>
      </c>
      <c r="M258" s="60" t="s">
        <v>455</v>
      </c>
      <c r="N258" s="60" t="s">
        <v>112</v>
      </c>
      <c r="O258" s="60">
        <v>121</v>
      </c>
      <c r="P258" s="215">
        <f>6519434.33-22295.14</f>
        <v>6497139.1900000004</v>
      </c>
      <c r="Q258" s="215">
        <v>0</v>
      </c>
      <c r="R258" s="215">
        <f>1182683.27-4044.54</f>
        <v>1178638.73</v>
      </c>
      <c r="S258" s="215">
        <v>0</v>
      </c>
      <c r="T258" s="215">
        <v>0</v>
      </c>
      <c r="U258" s="215">
        <f t="shared" si="24"/>
        <v>7675777.9199999999</v>
      </c>
      <c r="V258" s="215" t="s">
        <v>301</v>
      </c>
      <c r="W258" s="215">
        <v>2</v>
      </c>
      <c r="X258" s="215">
        <f>6333751.72+21660.14-21660.14+185047.61</f>
        <v>6518799.3300000001</v>
      </c>
      <c r="Y258" s="216">
        <v>0</v>
      </c>
      <c r="Z258" s="71"/>
      <c r="AA258" s="75"/>
      <c r="AB258" s="75"/>
      <c r="AC258" s="75"/>
      <c r="AD258" s="75"/>
      <c r="AE258" s="75"/>
    </row>
    <row r="259" spans="1:85" s="24" customFormat="1" ht="112.5" customHeight="1" x14ac:dyDescent="0.2">
      <c r="A259" s="92">
        <v>82</v>
      </c>
      <c r="B259" s="40" t="s">
        <v>468</v>
      </c>
      <c r="C259" s="40" t="s">
        <v>662</v>
      </c>
      <c r="D259" s="19" t="s">
        <v>464</v>
      </c>
      <c r="E259" s="20" t="s">
        <v>476</v>
      </c>
      <c r="F259" s="21" t="s">
        <v>773</v>
      </c>
      <c r="G259" s="23" t="s">
        <v>492</v>
      </c>
      <c r="H259" s="227">
        <v>43586</v>
      </c>
      <c r="I259" s="227">
        <v>44834</v>
      </c>
      <c r="J259" s="21" t="s">
        <v>111</v>
      </c>
      <c r="K259" s="21" t="s">
        <v>316</v>
      </c>
      <c r="L259" s="21" t="s">
        <v>455</v>
      </c>
      <c r="M259" s="21" t="s">
        <v>455</v>
      </c>
      <c r="N259" s="21" t="s">
        <v>112</v>
      </c>
      <c r="O259" s="21">
        <v>121</v>
      </c>
      <c r="P259" s="185">
        <v>79562.64</v>
      </c>
      <c r="Q259" s="185">
        <v>0</v>
      </c>
      <c r="R259" s="185">
        <v>14433.37</v>
      </c>
      <c r="S259" s="185">
        <v>0</v>
      </c>
      <c r="T259" s="185">
        <v>0</v>
      </c>
      <c r="U259" s="185">
        <f t="shared" si="24"/>
        <v>93996.01</v>
      </c>
      <c r="V259" s="185" t="s">
        <v>113</v>
      </c>
      <c r="W259" s="185">
        <v>3</v>
      </c>
      <c r="X259" s="185">
        <v>0</v>
      </c>
      <c r="Y259" s="187">
        <v>0</v>
      </c>
      <c r="AA259" s="75"/>
      <c r="AB259" s="75"/>
      <c r="AC259" s="75"/>
      <c r="AD259" s="75"/>
      <c r="AE259" s="75"/>
    </row>
    <row r="260" spans="1:85" s="24" customFormat="1" ht="112.5" customHeight="1" x14ac:dyDescent="0.2">
      <c r="A260" s="103">
        <v>83</v>
      </c>
      <c r="B260" s="40" t="s">
        <v>145</v>
      </c>
      <c r="C260" s="40" t="s">
        <v>663</v>
      </c>
      <c r="D260" s="19" t="s">
        <v>465</v>
      </c>
      <c r="E260" s="20" t="s">
        <v>477</v>
      </c>
      <c r="F260" s="21" t="s">
        <v>754</v>
      </c>
      <c r="G260" s="23" t="s">
        <v>493</v>
      </c>
      <c r="H260" s="227">
        <v>43313</v>
      </c>
      <c r="I260" s="227">
        <v>45291</v>
      </c>
      <c r="J260" s="21" t="s">
        <v>111</v>
      </c>
      <c r="K260" s="21" t="s">
        <v>316</v>
      </c>
      <c r="L260" s="21" t="s">
        <v>455</v>
      </c>
      <c r="M260" s="21" t="s">
        <v>455</v>
      </c>
      <c r="N260" s="21" t="s">
        <v>112</v>
      </c>
      <c r="O260" s="21">
        <v>121</v>
      </c>
      <c r="P260" s="185">
        <v>43603894.57</v>
      </c>
      <c r="Q260" s="185">
        <v>0</v>
      </c>
      <c r="R260" s="185">
        <v>7910133.5599999996</v>
      </c>
      <c r="S260" s="185">
        <v>0</v>
      </c>
      <c r="T260" s="185">
        <v>4656540.13</v>
      </c>
      <c r="U260" s="185">
        <f t="shared" si="24"/>
        <v>56170568.260000005</v>
      </c>
      <c r="V260" s="185" t="s">
        <v>113</v>
      </c>
      <c r="W260" s="185">
        <v>2</v>
      </c>
      <c r="X260" s="185">
        <f>9467297.23+618330.88+623798.67+658538.13+589669.52+620644.31+599632.7+616789.14+614594.21+24100</f>
        <v>14433394.790000003</v>
      </c>
      <c r="Y260" s="187">
        <v>0</v>
      </c>
      <c r="AA260" s="75"/>
      <c r="AB260" s="75"/>
      <c r="AC260" s="75"/>
      <c r="AD260" s="75"/>
      <c r="AE260" s="75"/>
    </row>
    <row r="261" spans="1:85" s="24" customFormat="1" ht="112.5" customHeight="1" x14ac:dyDescent="0.2">
      <c r="A261" s="92">
        <v>84</v>
      </c>
      <c r="B261" s="40" t="s">
        <v>232</v>
      </c>
      <c r="C261" s="40" t="s">
        <v>664</v>
      </c>
      <c r="D261" s="19" t="s">
        <v>466</v>
      </c>
      <c r="E261" s="20" t="s">
        <v>478</v>
      </c>
      <c r="F261" s="21" t="s">
        <v>483</v>
      </c>
      <c r="G261" s="23" t="s">
        <v>494</v>
      </c>
      <c r="H261" s="227">
        <v>43617</v>
      </c>
      <c r="I261" s="227">
        <v>44865</v>
      </c>
      <c r="J261" s="21" t="s">
        <v>111</v>
      </c>
      <c r="K261" s="21" t="s">
        <v>316</v>
      </c>
      <c r="L261" s="21" t="s">
        <v>455</v>
      </c>
      <c r="M261" s="21" t="s">
        <v>455</v>
      </c>
      <c r="N261" s="21" t="s">
        <v>112</v>
      </c>
      <c r="O261" s="21">
        <v>121</v>
      </c>
      <c r="P261" s="185">
        <f>3125050.82+0.01+0.02-0.01</f>
        <v>3125050.84</v>
      </c>
      <c r="Q261" s="185">
        <v>0</v>
      </c>
      <c r="R261" s="185">
        <v>556651.26</v>
      </c>
      <c r="S261" s="185">
        <v>0</v>
      </c>
      <c r="T261" s="185">
        <v>0</v>
      </c>
      <c r="U261" s="185">
        <f>P261+Q261+R261+S261+T261</f>
        <v>3681702.0999999996</v>
      </c>
      <c r="V261" s="185" t="s">
        <v>113</v>
      </c>
      <c r="W261" s="185">
        <v>4</v>
      </c>
      <c r="X261" s="185">
        <f>178342.74+58118.6+290613.68+713580.7+313455.42</f>
        <v>1554111.14</v>
      </c>
      <c r="Y261" s="187">
        <v>0</v>
      </c>
      <c r="AA261" s="75"/>
      <c r="AB261" s="75"/>
      <c r="AC261" s="75"/>
      <c r="AD261" s="75"/>
      <c r="AE261" s="75"/>
    </row>
    <row r="262" spans="1:85" s="24" customFormat="1" ht="112.5" customHeight="1" x14ac:dyDescent="0.2">
      <c r="A262" s="103">
        <v>85</v>
      </c>
      <c r="B262" s="40" t="s">
        <v>232</v>
      </c>
      <c r="C262" s="40" t="s">
        <v>665</v>
      </c>
      <c r="D262" s="19" t="s">
        <v>467</v>
      </c>
      <c r="E262" s="20" t="s">
        <v>479</v>
      </c>
      <c r="F262" s="21" t="s">
        <v>484</v>
      </c>
      <c r="G262" s="23" t="s">
        <v>495</v>
      </c>
      <c r="H262" s="227">
        <v>43435</v>
      </c>
      <c r="I262" s="227">
        <v>44742</v>
      </c>
      <c r="J262" s="21" t="s">
        <v>111</v>
      </c>
      <c r="K262" s="21" t="s">
        <v>316</v>
      </c>
      <c r="L262" s="21" t="s">
        <v>455</v>
      </c>
      <c r="M262" s="21" t="s">
        <v>455</v>
      </c>
      <c r="N262" s="21" t="s">
        <v>112</v>
      </c>
      <c r="O262" s="21">
        <v>121</v>
      </c>
      <c r="P262" s="185">
        <v>4160298.29</v>
      </c>
      <c r="Q262" s="185">
        <v>0</v>
      </c>
      <c r="R262" s="185">
        <v>741055.21</v>
      </c>
      <c r="S262" s="185">
        <v>0</v>
      </c>
      <c r="T262" s="185">
        <v>0</v>
      </c>
      <c r="U262" s="185">
        <f t="shared" ref="U262:U271" si="25">P262+Q262+R262+S262+T262</f>
        <v>4901353.5</v>
      </c>
      <c r="V262" s="185" t="s">
        <v>113</v>
      </c>
      <c r="W262" s="185">
        <v>2</v>
      </c>
      <c r="X262" s="185">
        <f>745339.32+59519.29+61224.91+26855.84+55167.3+79388.83+79282.72+99921.33</f>
        <v>1206699.54</v>
      </c>
      <c r="Y262" s="216">
        <v>0</v>
      </c>
      <c r="Z262" s="76"/>
      <c r="AA262" s="75"/>
      <c r="AB262" s="75"/>
      <c r="AC262" s="75"/>
      <c r="AD262" s="75"/>
      <c r="AE262" s="75"/>
    </row>
    <row r="263" spans="1:85" s="24" customFormat="1" ht="112.5" customHeight="1" x14ac:dyDescent="0.2">
      <c r="A263" s="92">
        <v>86</v>
      </c>
      <c r="B263" s="40" t="s">
        <v>145</v>
      </c>
      <c r="C263" s="40" t="s">
        <v>666</v>
      </c>
      <c r="D263" s="19" t="s">
        <v>496</v>
      </c>
      <c r="E263" s="20" t="s">
        <v>498</v>
      </c>
      <c r="F263" s="21" t="s">
        <v>754</v>
      </c>
      <c r="G263" s="23" t="s">
        <v>531</v>
      </c>
      <c r="H263" s="227">
        <v>43435</v>
      </c>
      <c r="I263" s="227">
        <v>43799</v>
      </c>
      <c r="J263" s="21" t="s">
        <v>111</v>
      </c>
      <c r="K263" s="21" t="s">
        <v>316</v>
      </c>
      <c r="L263" s="21" t="s">
        <v>455</v>
      </c>
      <c r="M263" s="21" t="s">
        <v>455</v>
      </c>
      <c r="N263" s="21" t="s">
        <v>112</v>
      </c>
      <c r="O263" s="21">
        <v>121</v>
      </c>
      <c r="P263" s="185">
        <v>911328.7</v>
      </c>
      <c r="Q263" s="185">
        <v>0</v>
      </c>
      <c r="R263" s="185">
        <v>165323.1</v>
      </c>
      <c r="S263" s="185">
        <v>0</v>
      </c>
      <c r="T263" s="185">
        <v>0</v>
      </c>
      <c r="U263" s="185">
        <f t="shared" si="25"/>
        <v>1076651.8</v>
      </c>
      <c r="V263" s="185" t="s">
        <v>301</v>
      </c>
      <c r="W263" s="185">
        <v>1</v>
      </c>
      <c r="X263" s="185">
        <v>911328.7</v>
      </c>
      <c r="Y263" s="187">
        <v>0</v>
      </c>
      <c r="AA263" s="75"/>
      <c r="AB263" s="75"/>
      <c r="AC263" s="75"/>
      <c r="AD263" s="75"/>
      <c r="AE263" s="75"/>
    </row>
    <row r="264" spans="1:85" s="24" customFormat="1" ht="112.5" customHeight="1" x14ac:dyDescent="0.2">
      <c r="A264" s="103">
        <v>87</v>
      </c>
      <c r="B264" s="40" t="s">
        <v>238</v>
      </c>
      <c r="C264" s="40" t="s">
        <v>667</v>
      </c>
      <c r="D264" s="40" t="s">
        <v>497</v>
      </c>
      <c r="E264" s="20" t="s">
        <v>499</v>
      </c>
      <c r="F264" s="81" t="s">
        <v>500</v>
      </c>
      <c r="G264" s="23" t="s">
        <v>501</v>
      </c>
      <c r="H264" s="227">
        <v>43101</v>
      </c>
      <c r="I264" s="227">
        <v>44530</v>
      </c>
      <c r="J264" s="21" t="s">
        <v>111</v>
      </c>
      <c r="K264" s="21" t="s">
        <v>316</v>
      </c>
      <c r="L264" s="21" t="s">
        <v>455</v>
      </c>
      <c r="M264" s="21" t="s">
        <v>455</v>
      </c>
      <c r="N264" s="21" t="s">
        <v>112</v>
      </c>
      <c r="O264" s="21">
        <v>121</v>
      </c>
      <c r="P264" s="185">
        <v>6263463.1799999997</v>
      </c>
      <c r="Q264" s="185">
        <v>0</v>
      </c>
      <c r="R264" s="185">
        <v>1115682.57</v>
      </c>
      <c r="S264" s="185">
        <v>0</v>
      </c>
      <c r="T264" s="185">
        <v>0</v>
      </c>
      <c r="U264" s="185">
        <f t="shared" si="25"/>
        <v>7379145.75</v>
      </c>
      <c r="V264" s="185" t="s">
        <v>113</v>
      </c>
      <c r="W264" s="185">
        <v>2</v>
      </c>
      <c r="X264" s="185">
        <f>2071285.26+997244.98+17283.39+146826.46+725665.47+374164.72+187.59+321009.09+309804+590450.67</f>
        <v>5553921.6299999999</v>
      </c>
      <c r="Y264" s="187">
        <v>0</v>
      </c>
      <c r="AA264" s="75"/>
      <c r="AB264" s="75"/>
      <c r="AC264" s="75"/>
      <c r="AD264" s="75"/>
      <c r="AE264" s="75"/>
    </row>
    <row r="265" spans="1:85" s="24" customFormat="1" ht="112.5" customHeight="1" x14ac:dyDescent="0.2">
      <c r="A265" s="92">
        <v>88</v>
      </c>
      <c r="B265" s="40" t="s">
        <v>504</v>
      </c>
      <c r="C265" s="40" t="s">
        <v>668</v>
      </c>
      <c r="D265" s="40" t="s">
        <v>503</v>
      </c>
      <c r="E265" s="20" t="s">
        <v>505</v>
      </c>
      <c r="F265" s="21" t="s">
        <v>771</v>
      </c>
      <c r="G265" s="23" t="s">
        <v>763</v>
      </c>
      <c r="H265" s="227">
        <v>42583</v>
      </c>
      <c r="I265" s="227">
        <v>44957</v>
      </c>
      <c r="J265" s="21" t="s">
        <v>111</v>
      </c>
      <c r="K265" s="21" t="s">
        <v>316</v>
      </c>
      <c r="L265" s="21" t="s">
        <v>455</v>
      </c>
      <c r="M265" s="21" t="s">
        <v>455</v>
      </c>
      <c r="N265" s="21" t="s">
        <v>112</v>
      </c>
      <c r="O265" s="21">
        <v>123</v>
      </c>
      <c r="P265" s="185">
        <v>5667290.9199999999</v>
      </c>
      <c r="Q265" s="185">
        <v>0</v>
      </c>
      <c r="R265" s="185">
        <v>1024539.27</v>
      </c>
      <c r="S265" s="185">
        <v>0</v>
      </c>
      <c r="T265" s="185">
        <v>0</v>
      </c>
      <c r="U265" s="185">
        <f t="shared" si="25"/>
        <v>6691830.1899999995</v>
      </c>
      <c r="V265" s="185" t="s">
        <v>311</v>
      </c>
      <c r="W265" s="185">
        <v>1</v>
      </c>
      <c r="X265" s="185">
        <f>30140+147769.76+82660.28+1209.37+1209.37</f>
        <v>262988.78000000003</v>
      </c>
      <c r="Y265" s="187">
        <v>0</v>
      </c>
      <c r="AA265" s="75"/>
      <c r="AB265" s="75"/>
      <c r="AC265" s="75"/>
      <c r="AD265" s="75"/>
      <c r="AE265" s="75"/>
    </row>
    <row r="266" spans="1:85" s="24" customFormat="1" ht="112.5" customHeight="1" x14ac:dyDescent="0.2">
      <c r="A266" s="103">
        <v>89</v>
      </c>
      <c r="B266" s="40" t="s">
        <v>166</v>
      </c>
      <c r="C266" s="40" t="s">
        <v>669</v>
      </c>
      <c r="D266" s="40" t="s">
        <v>506</v>
      </c>
      <c r="E266" s="20" t="s">
        <v>507</v>
      </c>
      <c r="F266" s="21" t="s">
        <v>754</v>
      </c>
      <c r="G266" s="23" t="s">
        <v>532</v>
      </c>
      <c r="H266" s="227">
        <v>42856</v>
      </c>
      <c r="I266" s="227">
        <v>45291</v>
      </c>
      <c r="J266" s="21" t="s">
        <v>111</v>
      </c>
      <c r="K266" s="21" t="s">
        <v>316</v>
      </c>
      <c r="L266" s="21" t="s">
        <v>455</v>
      </c>
      <c r="M266" s="21" t="s">
        <v>455</v>
      </c>
      <c r="N266" s="21" t="s">
        <v>112</v>
      </c>
      <c r="O266" s="21">
        <v>121</v>
      </c>
      <c r="P266" s="185">
        <v>6417542.5499999998</v>
      </c>
      <c r="Q266" s="185">
        <v>0</v>
      </c>
      <c r="R266" s="185">
        <v>1159696.42</v>
      </c>
      <c r="S266" s="185">
        <v>0</v>
      </c>
      <c r="T266" s="185">
        <v>354372.23</v>
      </c>
      <c r="U266" s="185">
        <f t="shared" si="25"/>
        <v>7931611.1999999993</v>
      </c>
      <c r="V266" s="185" t="s">
        <v>311</v>
      </c>
      <c r="W266" s="185">
        <v>5</v>
      </c>
      <c r="X266" s="185">
        <f>20384.98+91791.15+93085.79+27336.66+120874.4+23978.31+75481.89</f>
        <v>452933.18</v>
      </c>
      <c r="Y266" s="187">
        <v>0</v>
      </c>
      <c r="AA266" s="75"/>
      <c r="AB266" s="75"/>
      <c r="AC266" s="75"/>
      <c r="AD266" s="75"/>
      <c r="AE266" s="75"/>
    </row>
    <row r="267" spans="1:85" s="70" customFormat="1" ht="112.5" customHeight="1" x14ac:dyDescent="0.2">
      <c r="A267" s="92">
        <v>90</v>
      </c>
      <c r="B267" s="40" t="s">
        <v>121</v>
      </c>
      <c r="C267" s="40" t="s">
        <v>670</v>
      </c>
      <c r="D267" s="40" t="s">
        <v>512</v>
      </c>
      <c r="E267" s="20" t="s">
        <v>508</v>
      </c>
      <c r="F267" s="21" t="s">
        <v>754</v>
      </c>
      <c r="G267" s="23" t="s">
        <v>509</v>
      </c>
      <c r="H267" s="227">
        <v>43556</v>
      </c>
      <c r="I267" s="227">
        <v>45291</v>
      </c>
      <c r="J267" s="21" t="s">
        <v>111</v>
      </c>
      <c r="K267" s="21" t="s">
        <v>316</v>
      </c>
      <c r="L267" s="21" t="s">
        <v>455</v>
      </c>
      <c r="M267" s="21" t="s">
        <v>455</v>
      </c>
      <c r="N267" s="21" t="s">
        <v>112</v>
      </c>
      <c r="O267" s="21">
        <v>121</v>
      </c>
      <c r="P267" s="185">
        <f>9544153.57-5563809.31</f>
        <v>3980344.2600000007</v>
      </c>
      <c r="Q267" s="185">
        <v>0</v>
      </c>
      <c r="R267" s="185">
        <v>719571.13</v>
      </c>
      <c r="S267" s="185">
        <v>0</v>
      </c>
      <c r="T267" s="185">
        <v>0</v>
      </c>
      <c r="U267" s="185">
        <f t="shared" si="25"/>
        <v>4699915.3900000006</v>
      </c>
      <c r="V267" s="185" t="str">
        <f>V266</f>
        <v>in implementare</v>
      </c>
      <c r="W267" s="185">
        <v>1</v>
      </c>
      <c r="X267" s="185">
        <v>0</v>
      </c>
      <c r="Y267" s="187">
        <v>0</v>
      </c>
      <c r="Z267" s="24"/>
      <c r="AA267" s="75"/>
      <c r="AB267" s="75"/>
      <c r="AC267" s="75"/>
      <c r="AD267" s="75"/>
      <c r="AE267" s="75"/>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82"/>
    </row>
    <row r="268" spans="1:85" s="70" customFormat="1" ht="112.5" customHeight="1" x14ac:dyDescent="0.2">
      <c r="A268" s="103">
        <v>91</v>
      </c>
      <c r="B268" s="40" t="s">
        <v>133</v>
      </c>
      <c r="C268" s="40" t="s">
        <v>671</v>
      </c>
      <c r="D268" s="40" t="s">
        <v>513</v>
      </c>
      <c r="E268" s="20" t="s">
        <v>510</v>
      </c>
      <c r="F268" s="21" t="s">
        <v>774</v>
      </c>
      <c r="G268" s="23" t="s">
        <v>511</v>
      </c>
      <c r="H268" s="227">
        <v>43313</v>
      </c>
      <c r="I268" s="227">
        <v>45291</v>
      </c>
      <c r="J268" s="21" t="s">
        <v>111</v>
      </c>
      <c r="K268" s="21" t="s">
        <v>316</v>
      </c>
      <c r="L268" s="21" t="s">
        <v>455</v>
      </c>
      <c r="M268" s="21" t="s">
        <v>455</v>
      </c>
      <c r="N268" s="21" t="s">
        <v>112</v>
      </c>
      <c r="O268" s="21">
        <v>123</v>
      </c>
      <c r="P268" s="185">
        <v>3064891.58</v>
      </c>
      <c r="Q268" s="185">
        <v>0</v>
      </c>
      <c r="R268" s="185">
        <v>554074.57999999996</v>
      </c>
      <c r="S268" s="185">
        <v>0</v>
      </c>
      <c r="T268" s="185">
        <v>21108.9</v>
      </c>
      <c r="U268" s="185">
        <f t="shared" si="25"/>
        <v>3640075.06</v>
      </c>
      <c r="V268" s="185" t="str">
        <f>V267</f>
        <v>in implementare</v>
      </c>
      <c r="W268" s="185">
        <v>3</v>
      </c>
      <c r="X268" s="185">
        <f>923931.62+60679.18+12534.92+6598.12</f>
        <v>1003743.8400000001</v>
      </c>
      <c r="Y268" s="187">
        <v>0</v>
      </c>
      <c r="Z268" s="24"/>
      <c r="AA268" s="75"/>
      <c r="AB268" s="75"/>
      <c r="AC268" s="75"/>
      <c r="AD268" s="75"/>
      <c r="AE268" s="75"/>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82"/>
    </row>
    <row r="269" spans="1:85" s="84" customFormat="1" ht="112.5" customHeight="1" x14ac:dyDescent="0.2">
      <c r="A269" s="92">
        <v>92</v>
      </c>
      <c r="B269" s="40" t="s">
        <v>166</v>
      </c>
      <c r="C269" s="40" t="s">
        <v>672</v>
      </c>
      <c r="D269" s="40" t="s">
        <v>515</v>
      </c>
      <c r="E269" s="20" t="s">
        <v>514</v>
      </c>
      <c r="F269" s="21" t="s">
        <v>775</v>
      </c>
      <c r="G269" s="20" t="s">
        <v>764</v>
      </c>
      <c r="H269" s="227">
        <v>43524</v>
      </c>
      <c r="I269" s="227">
        <v>44712</v>
      </c>
      <c r="J269" s="21" t="s">
        <v>111</v>
      </c>
      <c r="K269" s="21" t="s">
        <v>316</v>
      </c>
      <c r="L269" s="21" t="s">
        <v>455</v>
      </c>
      <c r="M269" s="21" t="s">
        <v>455</v>
      </c>
      <c r="N269" s="21" t="s">
        <v>112</v>
      </c>
      <c r="O269" s="21">
        <f>O268</f>
        <v>123</v>
      </c>
      <c r="P269" s="185">
        <v>298494.96000000002</v>
      </c>
      <c r="Q269" s="185">
        <v>0</v>
      </c>
      <c r="R269" s="185">
        <v>54149.64</v>
      </c>
      <c r="S269" s="185">
        <v>0</v>
      </c>
      <c r="T269" s="185">
        <v>0</v>
      </c>
      <c r="U269" s="185">
        <f t="shared" si="25"/>
        <v>352644.60000000003</v>
      </c>
      <c r="V269" s="185" t="str">
        <f>V268</f>
        <v>in implementare</v>
      </c>
      <c r="W269" s="185">
        <v>2</v>
      </c>
      <c r="X269" s="185">
        <f>42281.86+261.89+43540.54+6245.09+7339.39+2726.08</f>
        <v>102394.85</v>
      </c>
      <c r="Y269" s="187">
        <v>0</v>
      </c>
      <c r="Z269" s="24"/>
      <c r="AA269" s="75"/>
      <c r="AB269" s="75"/>
      <c r="AC269" s="75"/>
      <c r="AD269" s="75"/>
      <c r="AE269" s="75"/>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83"/>
    </row>
    <row r="270" spans="1:85" s="70" customFormat="1" ht="112.5" customHeight="1" x14ac:dyDescent="0.2">
      <c r="A270" s="103">
        <v>93</v>
      </c>
      <c r="B270" s="40" t="s">
        <v>121</v>
      </c>
      <c r="C270" s="40" t="s">
        <v>673</v>
      </c>
      <c r="D270" s="40" t="s">
        <v>516</v>
      </c>
      <c r="E270" s="20" t="s">
        <v>518</v>
      </c>
      <c r="F270" s="21" t="s">
        <v>483</v>
      </c>
      <c r="G270" s="23" t="s">
        <v>533</v>
      </c>
      <c r="H270" s="227">
        <v>43678</v>
      </c>
      <c r="I270" s="227">
        <v>44957</v>
      </c>
      <c r="J270" s="21" t="s">
        <v>111</v>
      </c>
      <c r="K270" s="21" t="s">
        <v>316</v>
      </c>
      <c r="L270" s="21" t="s">
        <v>455</v>
      </c>
      <c r="M270" s="21" t="s">
        <v>455</v>
      </c>
      <c r="N270" s="21" t="s">
        <v>112</v>
      </c>
      <c r="O270" s="21">
        <v>121</v>
      </c>
      <c r="P270" s="185">
        <v>5570588.8700000001</v>
      </c>
      <c r="Q270" s="185">
        <v>0</v>
      </c>
      <c r="R270" s="185">
        <v>1007057.35</v>
      </c>
      <c r="S270" s="185">
        <v>0</v>
      </c>
      <c r="T270" s="185">
        <v>0</v>
      </c>
      <c r="U270" s="185">
        <f t="shared" si="25"/>
        <v>6577646.2199999997</v>
      </c>
      <c r="V270" s="185" t="s">
        <v>311</v>
      </c>
      <c r="W270" s="185">
        <v>2</v>
      </c>
      <c r="X270" s="185">
        <f>13784.1+7598.36+87218.43+52033.35+61071.44+20200.19+41206.62+74891.99+130388.67+675255.41</f>
        <v>1163648.56</v>
      </c>
      <c r="Y270" s="187">
        <v>0</v>
      </c>
      <c r="Z270" s="24"/>
      <c r="AA270" s="75"/>
      <c r="AB270" s="75"/>
      <c r="AC270" s="75"/>
      <c r="AD270" s="75"/>
      <c r="AE270" s="75"/>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82"/>
    </row>
    <row r="271" spans="1:85" s="24" customFormat="1" ht="112.5" customHeight="1" x14ac:dyDescent="0.2">
      <c r="A271" s="92">
        <v>94</v>
      </c>
      <c r="B271" s="40" t="s">
        <v>166</v>
      </c>
      <c r="C271" s="40" t="s">
        <v>674</v>
      </c>
      <c r="D271" s="40" t="s">
        <v>519</v>
      </c>
      <c r="E271" s="20" t="s">
        <v>520</v>
      </c>
      <c r="F271" s="21" t="s">
        <v>521</v>
      </c>
      <c r="G271" s="20" t="s">
        <v>522</v>
      </c>
      <c r="H271" s="227">
        <v>43101</v>
      </c>
      <c r="I271" s="227">
        <v>44530</v>
      </c>
      <c r="J271" s="21" t="s">
        <v>111</v>
      </c>
      <c r="K271" s="21" t="s">
        <v>316</v>
      </c>
      <c r="L271" s="21" t="s">
        <v>455</v>
      </c>
      <c r="M271" s="21" t="s">
        <v>455</v>
      </c>
      <c r="N271" s="21" t="s">
        <v>112</v>
      </c>
      <c r="O271" s="21">
        <f>O270</f>
        <v>121</v>
      </c>
      <c r="P271" s="185">
        <v>1290798.6499999999</v>
      </c>
      <c r="Q271" s="185">
        <v>0</v>
      </c>
      <c r="R271" s="185">
        <v>234162.33000000007</v>
      </c>
      <c r="S271" s="185">
        <v>0</v>
      </c>
      <c r="T271" s="185">
        <v>229883.06</v>
      </c>
      <c r="U271" s="185">
        <f t="shared" si="25"/>
        <v>1754844.04</v>
      </c>
      <c r="V271" s="185" t="s">
        <v>311</v>
      </c>
      <c r="W271" s="185">
        <v>2</v>
      </c>
      <c r="X271" s="185">
        <f>112760.99+267932.65+101106.9+145819.72+19768.14+66505.13+100547.67+76211.13+69803.61</f>
        <v>960455.94000000006</v>
      </c>
      <c r="Y271" s="187">
        <v>0</v>
      </c>
      <c r="AA271" s="75"/>
      <c r="AB271" s="75"/>
      <c r="AC271" s="75"/>
      <c r="AD271" s="75"/>
      <c r="AE271" s="75"/>
    </row>
    <row r="272" spans="1:85" s="24" customFormat="1" ht="112.5" customHeight="1" x14ac:dyDescent="0.2">
      <c r="A272" s="103">
        <v>95</v>
      </c>
      <c r="B272" s="40" t="s">
        <v>121</v>
      </c>
      <c r="C272" s="64" t="s">
        <v>675</v>
      </c>
      <c r="D272" s="40" t="s">
        <v>523</v>
      </c>
      <c r="E272" s="20" t="s">
        <v>525</v>
      </c>
      <c r="F272" s="21" t="s">
        <v>527</v>
      </c>
      <c r="G272" s="23" t="s">
        <v>528</v>
      </c>
      <c r="H272" s="227">
        <v>43784</v>
      </c>
      <c r="I272" s="227">
        <v>44695</v>
      </c>
      <c r="J272" s="21" t="s">
        <v>111</v>
      </c>
      <c r="K272" s="21" t="s">
        <v>316</v>
      </c>
      <c r="L272" s="21" t="s">
        <v>455</v>
      </c>
      <c r="M272" s="21" t="s">
        <v>455</v>
      </c>
      <c r="N272" s="21" t="s">
        <v>112</v>
      </c>
      <c r="O272" s="21">
        <f>O271</f>
        <v>121</v>
      </c>
      <c r="P272" s="185">
        <v>10740687.01</v>
      </c>
      <c r="Q272" s="185">
        <v>1941713.59</v>
      </c>
      <c r="R272" s="185">
        <v>0</v>
      </c>
      <c r="S272" s="185">
        <v>258824.5</v>
      </c>
      <c r="T272" s="185">
        <v>0</v>
      </c>
      <c r="U272" s="185">
        <f>P272+Q272+R272+S272+T272</f>
        <v>12941225.1</v>
      </c>
      <c r="V272" s="185" t="s">
        <v>311</v>
      </c>
      <c r="W272" s="185">
        <v>3</v>
      </c>
      <c r="X272" s="191">
        <f>1694919.26+74553.27-35368.07-45151.98+847459.63-321538.84+1694919.26+40537.15-259497.33-129379.32+444250.81-105960.66+692087.4+1090721.21</f>
        <v>5682551.79</v>
      </c>
      <c r="Y272" s="187">
        <f>13477.81+35368.07+45151.98+7328.22+259497.33+129379.32+105960.66</f>
        <v>596163.39</v>
      </c>
      <c r="Z272" s="65"/>
      <c r="AA272" s="75"/>
      <c r="AB272" s="75"/>
      <c r="AC272" s="75"/>
      <c r="AD272" s="75"/>
      <c r="AE272" s="75"/>
    </row>
    <row r="273" spans="1:85" s="24" customFormat="1" ht="112.5" customHeight="1" x14ac:dyDescent="0.2">
      <c r="A273" s="92">
        <v>96</v>
      </c>
      <c r="B273" s="40" t="s">
        <v>166</v>
      </c>
      <c r="C273" s="40" t="s">
        <v>676</v>
      </c>
      <c r="D273" s="40" t="s">
        <v>524</v>
      </c>
      <c r="E273" s="20" t="s">
        <v>526</v>
      </c>
      <c r="F273" s="21" t="s">
        <v>776</v>
      </c>
      <c r="G273" s="20" t="s">
        <v>534</v>
      </c>
      <c r="H273" s="227">
        <v>43591</v>
      </c>
      <c r="I273" s="227">
        <v>44926</v>
      </c>
      <c r="J273" s="21" t="s">
        <v>111</v>
      </c>
      <c r="K273" s="21" t="s">
        <v>316</v>
      </c>
      <c r="L273" s="21" t="s">
        <v>455</v>
      </c>
      <c r="M273" s="21" t="s">
        <v>455</v>
      </c>
      <c r="N273" s="21" t="s">
        <v>112</v>
      </c>
      <c r="O273" s="21">
        <v>122</v>
      </c>
      <c r="P273" s="185">
        <v>5892540.79</v>
      </c>
      <c r="Q273" s="185">
        <v>0</v>
      </c>
      <c r="R273" s="185">
        <v>1068959.21</v>
      </c>
      <c r="S273" s="185">
        <v>0</v>
      </c>
      <c r="T273" s="185">
        <v>0</v>
      </c>
      <c r="U273" s="185">
        <f>P273+Q273+R273+S273+T273</f>
        <v>6961500</v>
      </c>
      <c r="V273" s="185" t="s">
        <v>311</v>
      </c>
      <c r="W273" s="185">
        <v>2</v>
      </c>
      <c r="X273" s="185">
        <f>235701.63+1767762.24+353552.45</f>
        <v>2357016.3200000003</v>
      </c>
      <c r="Y273" s="187">
        <v>0</v>
      </c>
      <c r="AA273" s="75"/>
      <c r="AB273" s="75"/>
      <c r="AC273" s="75"/>
      <c r="AD273" s="75"/>
      <c r="AE273" s="75"/>
    </row>
    <row r="274" spans="1:85" s="24" customFormat="1" ht="112.5" customHeight="1" x14ac:dyDescent="0.2">
      <c r="A274" s="103">
        <v>97</v>
      </c>
      <c r="B274" s="40" t="s">
        <v>166</v>
      </c>
      <c r="C274" s="40" t="s">
        <v>677</v>
      </c>
      <c r="D274" s="40" t="s">
        <v>535</v>
      </c>
      <c r="E274" s="20" t="s">
        <v>537</v>
      </c>
      <c r="F274" s="21" t="s">
        <v>777</v>
      </c>
      <c r="G274" s="20" t="s">
        <v>538</v>
      </c>
      <c r="H274" s="227">
        <v>43739</v>
      </c>
      <c r="I274" s="227">
        <v>45291</v>
      </c>
      <c r="J274" s="21" t="s">
        <v>111</v>
      </c>
      <c r="K274" s="21" t="s">
        <v>316</v>
      </c>
      <c r="L274" s="21" t="s">
        <v>455</v>
      </c>
      <c r="M274" s="21" t="s">
        <v>455</v>
      </c>
      <c r="N274" s="21" t="s">
        <v>112</v>
      </c>
      <c r="O274" s="21">
        <v>121</v>
      </c>
      <c r="P274" s="185">
        <v>5516090.5899999999</v>
      </c>
      <c r="Q274" s="185">
        <v>0</v>
      </c>
      <c r="R274" s="185">
        <v>1000667.8</v>
      </c>
      <c r="S274" s="185">
        <v>0</v>
      </c>
      <c r="T274" s="185">
        <v>98076.19</v>
      </c>
      <c r="U274" s="185">
        <f>P274+Q274+R274+S274+T274</f>
        <v>6614834.5800000001</v>
      </c>
      <c r="V274" s="185" t="s">
        <v>311</v>
      </c>
      <c r="W274" s="185">
        <v>3</v>
      </c>
      <c r="X274" s="185">
        <f>44999.67+15361.92+178754.37+184089.53+184089.53+49091.39+104609</f>
        <v>760995.41</v>
      </c>
      <c r="Y274" s="187">
        <v>0</v>
      </c>
      <c r="AA274" s="75"/>
      <c r="AB274" s="75"/>
      <c r="AC274" s="75"/>
      <c r="AD274" s="75"/>
      <c r="AE274" s="75"/>
    </row>
    <row r="275" spans="1:85" s="24" customFormat="1" ht="112.5" customHeight="1" x14ac:dyDescent="0.2">
      <c r="A275" s="92">
        <v>98</v>
      </c>
      <c r="B275" s="40" t="s">
        <v>166</v>
      </c>
      <c r="C275" s="40" t="s">
        <v>678</v>
      </c>
      <c r="D275" s="40" t="s">
        <v>536</v>
      </c>
      <c r="E275" s="20" t="s">
        <v>765</v>
      </c>
      <c r="F275" s="21" t="s">
        <v>777</v>
      </c>
      <c r="G275" s="20" t="s">
        <v>539</v>
      </c>
      <c r="H275" s="227">
        <v>43556</v>
      </c>
      <c r="I275" s="227" t="s">
        <v>784</v>
      </c>
      <c r="J275" s="21" t="s">
        <v>111</v>
      </c>
      <c r="K275" s="21" t="s">
        <v>316</v>
      </c>
      <c r="L275" s="21" t="s">
        <v>455</v>
      </c>
      <c r="M275" s="21" t="s">
        <v>455</v>
      </c>
      <c r="N275" s="21" t="s">
        <v>112</v>
      </c>
      <c r="O275" s="21">
        <f>O274</f>
        <v>121</v>
      </c>
      <c r="P275" s="185">
        <v>91124.51</v>
      </c>
      <c r="Q275" s="185">
        <v>0</v>
      </c>
      <c r="R275" s="185">
        <v>16530.78</v>
      </c>
      <c r="S275" s="185">
        <v>0</v>
      </c>
      <c r="T275" s="185">
        <v>8489.48</v>
      </c>
      <c r="U275" s="185">
        <f>P275+Q275+R275+S275+T275</f>
        <v>116144.76999999999</v>
      </c>
      <c r="V275" s="185" t="s">
        <v>311</v>
      </c>
      <c r="W275" s="185">
        <v>2</v>
      </c>
      <c r="X275" s="185">
        <f>20479.54+17640.35+16189.47</f>
        <v>54309.36</v>
      </c>
      <c r="Y275" s="187">
        <v>0</v>
      </c>
      <c r="AA275" s="75"/>
      <c r="AB275" s="75"/>
      <c r="AC275" s="75"/>
      <c r="AD275" s="75"/>
      <c r="AE275" s="75"/>
    </row>
    <row r="276" spans="1:85" s="24" customFormat="1" ht="112.5" customHeight="1" x14ac:dyDescent="0.2">
      <c r="A276" s="103">
        <v>99</v>
      </c>
      <c r="B276" s="40" t="s">
        <v>166</v>
      </c>
      <c r="C276" s="40" t="s">
        <v>679</v>
      </c>
      <c r="D276" s="40" t="s">
        <v>541</v>
      </c>
      <c r="E276" s="20" t="s">
        <v>826</v>
      </c>
      <c r="F276" s="21" t="s">
        <v>827</v>
      </c>
      <c r="G276" s="20" t="s">
        <v>828</v>
      </c>
      <c r="H276" s="227">
        <v>43739</v>
      </c>
      <c r="I276" s="227">
        <v>44651</v>
      </c>
      <c r="J276" s="21" t="s">
        <v>111</v>
      </c>
      <c r="K276" s="21" t="s">
        <v>316</v>
      </c>
      <c r="L276" s="21" t="s">
        <v>455</v>
      </c>
      <c r="M276" s="21" t="s">
        <v>455</v>
      </c>
      <c r="N276" s="21" t="s">
        <v>112</v>
      </c>
      <c r="O276" s="21">
        <f>O275</f>
        <v>121</v>
      </c>
      <c r="P276" s="185">
        <v>44616.57</v>
      </c>
      <c r="Q276" s="185">
        <v>0</v>
      </c>
      <c r="R276" s="185">
        <v>8093.85</v>
      </c>
      <c r="S276" s="185">
        <v>0</v>
      </c>
      <c r="T276" s="185">
        <v>0</v>
      </c>
      <c r="U276" s="185">
        <f t="shared" ref="U276:U284" si="26">P276+Q276+R276+S276+T276</f>
        <v>52710.42</v>
      </c>
      <c r="V276" s="185" t="s">
        <v>311</v>
      </c>
      <c r="W276" s="185">
        <v>1</v>
      </c>
      <c r="X276" s="185">
        <f>5109.16+24688.32</f>
        <v>29797.48</v>
      </c>
      <c r="Y276" s="187">
        <v>0</v>
      </c>
      <c r="AA276" s="75"/>
      <c r="AB276" s="75"/>
      <c r="AC276" s="75"/>
      <c r="AD276" s="75"/>
      <c r="AE276" s="75"/>
    </row>
    <row r="277" spans="1:85" s="24" customFormat="1" ht="112.5" customHeight="1" x14ac:dyDescent="0.2">
      <c r="A277" s="92">
        <v>100</v>
      </c>
      <c r="B277" s="40" t="s">
        <v>166</v>
      </c>
      <c r="C277" s="40" t="s">
        <v>680</v>
      </c>
      <c r="D277" s="19" t="s">
        <v>543</v>
      </c>
      <c r="E277" s="21" t="s">
        <v>544</v>
      </c>
      <c r="F277" s="21" t="s">
        <v>545</v>
      </c>
      <c r="G277" s="20" t="s">
        <v>546</v>
      </c>
      <c r="H277" s="227">
        <v>43891</v>
      </c>
      <c r="I277" s="227">
        <v>45016</v>
      </c>
      <c r="J277" s="21" t="s">
        <v>111</v>
      </c>
      <c r="K277" s="21" t="s">
        <v>316</v>
      </c>
      <c r="L277" s="21" t="s">
        <v>455</v>
      </c>
      <c r="M277" s="21" t="s">
        <v>455</v>
      </c>
      <c r="N277" s="21" t="s">
        <v>112</v>
      </c>
      <c r="O277" s="21">
        <v>121</v>
      </c>
      <c r="P277" s="185">
        <v>24469925.940000001</v>
      </c>
      <c r="Q277" s="185">
        <v>0</v>
      </c>
      <c r="R277" s="185">
        <v>4439061.76</v>
      </c>
      <c r="S277" s="185">
        <v>0</v>
      </c>
      <c r="T277" s="185">
        <v>2693998.27</v>
      </c>
      <c r="U277" s="185">
        <f t="shared" si="26"/>
        <v>31602985.970000003</v>
      </c>
      <c r="V277" s="185" t="s">
        <v>311</v>
      </c>
      <c r="W277" s="185">
        <v>2</v>
      </c>
      <c r="X277" s="185">
        <f>1428686.34+1198215.7+898875.48+747341.87+769318.23</f>
        <v>5042437.6199999992</v>
      </c>
      <c r="Y277" s="187">
        <v>0</v>
      </c>
      <c r="AA277" s="75"/>
      <c r="AB277" s="75"/>
      <c r="AC277" s="75"/>
      <c r="AD277" s="75"/>
      <c r="AE277" s="75"/>
    </row>
    <row r="278" spans="1:85" s="70" customFormat="1" ht="112.5" customHeight="1" x14ac:dyDescent="0.2">
      <c r="A278" s="103">
        <v>101</v>
      </c>
      <c r="B278" s="40" t="s">
        <v>166</v>
      </c>
      <c r="C278" s="40" t="s">
        <v>681</v>
      </c>
      <c r="D278" s="19" t="s">
        <v>547</v>
      </c>
      <c r="E278" s="21" t="s">
        <v>548</v>
      </c>
      <c r="F278" s="21" t="s">
        <v>418</v>
      </c>
      <c r="G278" s="20" t="s">
        <v>549</v>
      </c>
      <c r="H278" s="227">
        <v>43800</v>
      </c>
      <c r="I278" s="227">
        <v>45291</v>
      </c>
      <c r="J278" s="21" t="s">
        <v>111</v>
      </c>
      <c r="K278" s="21" t="s">
        <v>316</v>
      </c>
      <c r="L278" s="21" t="s">
        <v>455</v>
      </c>
      <c r="M278" s="21" t="s">
        <v>455</v>
      </c>
      <c r="N278" s="21" t="s">
        <v>112</v>
      </c>
      <c r="O278" s="21">
        <v>121</v>
      </c>
      <c r="P278" s="185">
        <v>2031868.94</v>
      </c>
      <c r="Q278" s="185">
        <v>0</v>
      </c>
      <c r="R278" s="185">
        <v>368599.06000000006</v>
      </c>
      <c r="S278" s="185">
        <v>0</v>
      </c>
      <c r="T278" s="185">
        <v>0</v>
      </c>
      <c r="U278" s="185">
        <f t="shared" si="26"/>
        <v>2400468</v>
      </c>
      <c r="V278" s="185" t="str">
        <f>V277</f>
        <v>in implementare</v>
      </c>
      <c r="W278" s="185">
        <v>2</v>
      </c>
      <c r="X278" s="185">
        <v>0</v>
      </c>
      <c r="Y278" s="187">
        <v>0</v>
      </c>
      <c r="Z278" s="24"/>
      <c r="AA278" s="75"/>
      <c r="AB278" s="75"/>
      <c r="AC278" s="75"/>
      <c r="AD278" s="75"/>
      <c r="AE278" s="75"/>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82"/>
    </row>
    <row r="279" spans="1:85" s="24" customFormat="1" ht="112.5" customHeight="1" x14ac:dyDescent="0.2">
      <c r="A279" s="92">
        <v>102</v>
      </c>
      <c r="B279" s="40" t="s">
        <v>550</v>
      </c>
      <c r="C279" s="40" t="s">
        <v>682</v>
      </c>
      <c r="D279" s="19" t="s">
        <v>551</v>
      </c>
      <c r="E279" s="20" t="s">
        <v>552</v>
      </c>
      <c r="F279" s="21" t="s">
        <v>778</v>
      </c>
      <c r="G279" s="20" t="s">
        <v>553</v>
      </c>
      <c r="H279" s="227">
        <v>43831</v>
      </c>
      <c r="I279" s="227">
        <v>45199</v>
      </c>
      <c r="J279" s="21" t="s">
        <v>111</v>
      </c>
      <c r="K279" s="21" t="s">
        <v>316</v>
      </c>
      <c r="L279" s="21" t="s">
        <v>455</v>
      </c>
      <c r="M279" s="21" t="s">
        <v>455</v>
      </c>
      <c r="N279" s="21" t="s">
        <v>112</v>
      </c>
      <c r="O279" s="21">
        <v>121</v>
      </c>
      <c r="P279" s="185">
        <v>0</v>
      </c>
      <c r="Q279" s="185">
        <v>0</v>
      </c>
      <c r="R279" s="185">
        <v>0</v>
      </c>
      <c r="S279" s="185">
        <v>0</v>
      </c>
      <c r="T279" s="185">
        <v>0</v>
      </c>
      <c r="U279" s="185">
        <f t="shared" si="26"/>
        <v>0</v>
      </c>
      <c r="V279" s="185" t="s">
        <v>399</v>
      </c>
      <c r="W279" s="185">
        <v>1</v>
      </c>
      <c r="X279" s="185">
        <v>0</v>
      </c>
      <c r="Y279" s="187">
        <v>0</v>
      </c>
      <c r="AA279" s="75"/>
      <c r="AB279" s="75"/>
      <c r="AC279" s="75"/>
      <c r="AD279" s="75"/>
      <c r="AE279" s="75"/>
    </row>
    <row r="280" spans="1:85" s="70" customFormat="1" ht="112.5" customHeight="1" x14ac:dyDescent="0.2">
      <c r="A280" s="103">
        <v>103</v>
      </c>
      <c r="B280" s="40" t="s">
        <v>312</v>
      </c>
      <c r="C280" s="40" t="s">
        <v>683</v>
      </c>
      <c r="D280" s="19" t="s">
        <v>554</v>
      </c>
      <c r="E280" s="20" t="s">
        <v>555</v>
      </c>
      <c r="F280" s="21" t="s">
        <v>778</v>
      </c>
      <c r="G280" s="20" t="s">
        <v>556</v>
      </c>
      <c r="H280" s="227">
        <v>43620</v>
      </c>
      <c r="I280" s="227">
        <v>45107</v>
      </c>
      <c r="J280" s="21" t="s">
        <v>111</v>
      </c>
      <c r="K280" s="21" t="s">
        <v>316</v>
      </c>
      <c r="L280" s="21" t="s">
        <v>455</v>
      </c>
      <c r="M280" s="21" t="s">
        <v>455</v>
      </c>
      <c r="N280" s="21" t="str">
        <f>N279</f>
        <v>autoritate publică centrală</v>
      </c>
      <c r="O280" s="21">
        <v>121</v>
      </c>
      <c r="P280" s="185">
        <v>40929565.780000001</v>
      </c>
      <c r="Q280" s="185">
        <v>0</v>
      </c>
      <c r="R280" s="185">
        <v>7424986.5899999999</v>
      </c>
      <c r="S280" s="185">
        <v>0</v>
      </c>
      <c r="T280" s="185">
        <v>770159.66</v>
      </c>
      <c r="U280" s="185">
        <f t="shared" si="26"/>
        <v>49124712.030000001</v>
      </c>
      <c r="V280" s="185" t="s">
        <v>311</v>
      </c>
      <c r="W280" s="185">
        <v>1</v>
      </c>
      <c r="X280" s="185">
        <f>9430712.62+96917.33+255265.59+20739.64+90739.12+15500408.44+76206.47+98873.92+25986.77+8484458.3</f>
        <v>34080308.200000003</v>
      </c>
      <c r="Y280" s="187">
        <v>0</v>
      </c>
      <c r="Z280" s="24"/>
      <c r="AA280" s="75"/>
      <c r="AB280" s="75"/>
      <c r="AC280" s="75"/>
      <c r="AD280" s="75"/>
      <c r="AE280" s="75"/>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82"/>
    </row>
    <row r="281" spans="1:85" s="24" customFormat="1" ht="112.5" customHeight="1" x14ac:dyDescent="0.2">
      <c r="A281" s="92">
        <v>104</v>
      </c>
      <c r="B281" s="40" t="s">
        <v>166</v>
      </c>
      <c r="C281" s="40" t="s">
        <v>684</v>
      </c>
      <c r="D281" s="19" t="s">
        <v>557</v>
      </c>
      <c r="E281" s="20" t="s">
        <v>558</v>
      </c>
      <c r="F281" s="21" t="s">
        <v>779</v>
      </c>
      <c r="G281" s="20" t="s">
        <v>559</v>
      </c>
      <c r="H281" s="227">
        <v>43829</v>
      </c>
      <c r="I281" s="227">
        <v>44837</v>
      </c>
      <c r="J281" s="21" t="s">
        <v>111</v>
      </c>
      <c r="K281" s="21" t="s">
        <v>316</v>
      </c>
      <c r="L281" s="21" t="s">
        <v>455</v>
      </c>
      <c r="M281" s="21" t="s">
        <v>455</v>
      </c>
      <c r="N281" s="21" t="str">
        <f>N280</f>
        <v>autoritate publică centrală</v>
      </c>
      <c r="O281" s="21">
        <v>122</v>
      </c>
      <c r="P281" s="185">
        <v>0</v>
      </c>
      <c r="Q281" s="185">
        <v>0</v>
      </c>
      <c r="R281" s="185">
        <v>0</v>
      </c>
      <c r="S281" s="185">
        <v>0</v>
      </c>
      <c r="T281" s="185">
        <v>0</v>
      </c>
      <c r="U281" s="185">
        <f t="shared" si="26"/>
        <v>0</v>
      </c>
      <c r="V281" s="185" t="s">
        <v>399</v>
      </c>
      <c r="W281" s="185">
        <v>0</v>
      </c>
      <c r="X281" s="185">
        <v>0</v>
      </c>
      <c r="Y281" s="187">
        <v>0</v>
      </c>
      <c r="AA281" s="75"/>
      <c r="AB281" s="75"/>
      <c r="AC281" s="75"/>
      <c r="AD281" s="75"/>
      <c r="AE281" s="75"/>
    </row>
    <row r="282" spans="1:85" s="24" customFormat="1" ht="112.5" customHeight="1" x14ac:dyDescent="0.2">
      <c r="A282" s="103">
        <v>105</v>
      </c>
      <c r="B282" s="40" t="s">
        <v>166</v>
      </c>
      <c r="C282" s="40" t="s">
        <v>685</v>
      </c>
      <c r="D282" s="19" t="s">
        <v>560</v>
      </c>
      <c r="E282" s="20" t="s">
        <v>561</v>
      </c>
      <c r="F282" s="21" t="s">
        <v>780</v>
      </c>
      <c r="G282" s="20" t="s">
        <v>807</v>
      </c>
      <c r="H282" s="227">
        <v>44027</v>
      </c>
      <c r="I282" s="227">
        <v>45291</v>
      </c>
      <c r="J282" s="21" t="s">
        <v>111</v>
      </c>
      <c r="K282" s="21" t="s">
        <v>316</v>
      </c>
      <c r="L282" s="21" t="s">
        <v>455</v>
      </c>
      <c r="M282" s="21" t="s">
        <v>455</v>
      </c>
      <c r="N282" s="21" t="str">
        <f>N281</f>
        <v>autoritate publică centrală</v>
      </c>
      <c r="O282" s="21">
        <v>121</v>
      </c>
      <c r="P282" s="185">
        <v>16260555.449999999</v>
      </c>
      <c r="Q282" s="185">
        <v>0</v>
      </c>
      <c r="R282" s="185">
        <v>2933776.91</v>
      </c>
      <c r="S282" s="185">
        <v>0</v>
      </c>
      <c r="T282" s="185">
        <v>469572.5</v>
      </c>
      <c r="U282" s="185">
        <f t="shared" si="26"/>
        <v>19663904.859999999</v>
      </c>
      <c r="V282" s="185" t="s">
        <v>311</v>
      </c>
      <c r="W282" s="185">
        <v>6</v>
      </c>
      <c r="X282" s="185">
        <f>18423.9+109107.51+1899841.12+507568.93+1214707.86</f>
        <v>3749649.3200000003</v>
      </c>
      <c r="Y282" s="187">
        <v>0</v>
      </c>
      <c r="AA282" s="75"/>
      <c r="AB282" s="75"/>
      <c r="AC282" s="75"/>
      <c r="AD282" s="75"/>
      <c r="AE282" s="75"/>
    </row>
    <row r="283" spans="1:85" s="24" customFormat="1" ht="112.5" customHeight="1" x14ac:dyDescent="0.2">
      <c r="A283" s="92">
        <v>106</v>
      </c>
      <c r="B283" s="40" t="s">
        <v>166</v>
      </c>
      <c r="C283" s="40" t="s">
        <v>686</v>
      </c>
      <c r="D283" s="19" t="s">
        <v>562</v>
      </c>
      <c r="E283" s="20" t="s">
        <v>803</v>
      </c>
      <c r="F283" s="21" t="s">
        <v>781</v>
      </c>
      <c r="G283" s="20" t="s">
        <v>565</v>
      </c>
      <c r="H283" s="227">
        <v>43556</v>
      </c>
      <c r="I283" s="227">
        <v>44681</v>
      </c>
      <c r="J283" s="21" t="s">
        <v>111</v>
      </c>
      <c r="K283" s="21" t="s">
        <v>316</v>
      </c>
      <c r="L283" s="21" t="s">
        <v>455</v>
      </c>
      <c r="M283" s="21" t="s">
        <v>455</v>
      </c>
      <c r="N283" s="21" t="str">
        <f>N282</f>
        <v>autoritate publică centrală</v>
      </c>
      <c r="O283" s="21">
        <v>121</v>
      </c>
      <c r="P283" s="185">
        <v>238414.91</v>
      </c>
      <c r="Q283" s="185">
        <v>0</v>
      </c>
      <c r="R283" s="185">
        <v>43250.59</v>
      </c>
      <c r="S283" s="185">
        <v>0</v>
      </c>
      <c r="T283" s="185">
        <v>0</v>
      </c>
      <c r="U283" s="185">
        <f t="shared" si="26"/>
        <v>281665.5</v>
      </c>
      <c r="V283" s="185" t="s">
        <v>311</v>
      </c>
      <c r="W283" s="185">
        <v>2</v>
      </c>
      <c r="X283" s="185">
        <f>43312.69+128726.68+2637.57+3228.19</f>
        <v>177905.13</v>
      </c>
      <c r="Y283" s="187">
        <v>0</v>
      </c>
      <c r="AA283" s="75"/>
      <c r="AB283" s="75"/>
      <c r="AC283" s="75"/>
      <c r="AD283" s="75"/>
      <c r="AE283" s="75"/>
    </row>
    <row r="284" spans="1:85" s="24" customFormat="1" ht="112.5" customHeight="1" x14ac:dyDescent="0.2">
      <c r="A284" s="103">
        <v>107</v>
      </c>
      <c r="B284" s="40" t="s">
        <v>166</v>
      </c>
      <c r="C284" s="40" t="s">
        <v>687</v>
      </c>
      <c r="D284" s="19" t="s">
        <v>563</v>
      </c>
      <c r="E284" s="20" t="s">
        <v>564</v>
      </c>
      <c r="F284" s="21" t="s">
        <v>783</v>
      </c>
      <c r="G284" s="20" t="s">
        <v>566</v>
      </c>
      <c r="H284" s="227">
        <v>43846</v>
      </c>
      <c r="I284" s="227">
        <v>44926</v>
      </c>
      <c r="J284" s="21" t="s">
        <v>111</v>
      </c>
      <c r="K284" s="21" t="s">
        <v>316</v>
      </c>
      <c r="L284" s="21" t="s">
        <v>455</v>
      </c>
      <c r="M284" s="21" t="s">
        <v>455</v>
      </c>
      <c r="N284" s="21" t="str">
        <f>N283</f>
        <v>autoritate publică centrală</v>
      </c>
      <c r="O284" s="21">
        <v>121</v>
      </c>
      <c r="P284" s="185">
        <v>26685351</v>
      </c>
      <c r="Q284" s="185">
        <v>0</v>
      </c>
      <c r="R284" s="185">
        <v>4814649</v>
      </c>
      <c r="S284" s="185">
        <v>0</v>
      </c>
      <c r="T284" s="185">
        <v>0</v>
      </c>
      <c r="U284" s="185">
        <f t="shared" si="26"/>
        <v>31500000</v>
      </c>
      <c r="V284" s="185" t="s">
        <v>311</v>
      </c>
      <c r="W284" s="185">
        <v>0</v>
      </c>
      <c r="X284" s="185">
        <f>2760210.59+1044895.29+2876491.58</f>
        <v>6681597.46</v>
      </c>
      <c r="Y284" s="187">
        <v>0</v>
      </c>
      <c r="AA284" s="75"/>
      <c r="AB284" s="75"/>
      <c r="AC284" s="75"/>
      <c r="AD284" s="75"/>
      <c r="AE284" s="75"/>
    </row>
    <row r="285" spans="1:85" s="24" customFormat="1" ht="102" x14ac:dyDescent="0.2">
      <c r="A285" s="92">
        <v>108</v>
      </c>
      <c r="B285" s="31" t="s">
        <v>121</v>
      </c>
      <c r="C285" s="19" t="s">
        <v>703</v>
      </c>
      <c r="D285" s="31" t="s">
        <v>689</v>
      </c>
      <c r="E285" s="20" t="s">
        <v>690</v>
      </c>
      <c r="F285" s="21" t="s">
        <v>780</v>
      </c>
      <c r="G285" s="23" t="s">
        <v>691</v>
      </c>
      <c r="H285" s="227">
        <v>44046</v>
      </c>
      <c r="I285" s="227">
        <v>44592</v>
      </c>
      <c r="J285" s="21" t="s">
        <v>111</v>
      </c>
      <c r="K285" s="21" t="s">
        <v>316</v>
      </c>
      <c r="L285" s="13" t="s">
        <v>455</v>
      </c>
      <c r="M285" s="13" t="s">
        <v>455</v>
      </c>
      <c r="N285" s="21" t="s">
        <v>112</v>
      </c>
      <c r="O285" s="21">
        <v>121</v>
      </c>
      <c r="P285" s="185">
        <v>1646249.02</v>
      </c>
      <c r="Q285" s="185">
        <v>0</v>
      </c>
      <c r="R285" s="185">
        <v>293190.96000000002</v>
      </c>
      <c r="S285" s="185">
        <v>0</v>
      </c>
      <c r="T285" s="185">
        <v>43500</v>
      </c>
      <c r="U285" s="185">
        <f t="shared" ref="U285:U293" si="27">P285+Q285+R285+S285+T285</f>
        <v>1982939.98</v>
      </c>
      <c r="V285" s="185" t="s">
        <v>113</v>
      </c>
      <c r="W285" s="185">
        <v>3</v>
      </c>
      <c r="X285" s="185">
        <f>286542.77+615358.83+381362.21</f>
        <v>1283263.81</v>
      </c>
      <c r="Y285" s="187">
        <v>0</v>
      </c>
      <c r="AA285" s="75"/>
      <c r="AB285" s="75"/>
      <c r="AC285" s="75"/>
      <c r="AD285" s="75"/>
      <c r="AE285" s="75"/>
    </row>
    <row r="286" spans="1:85" s="24" customFormat="1" ht="112.5" customHeight="1" x14ac:dyDescent="0.2">
      <c r="A286" s="103">
        <v>109</v>
      </c>
      <c r="B286" s="31" t="s">
        <v>121</v>
      </c>
      <c r="C286" s="19">
        <v>140620</v>
      </c>
      <c r="D286" s="19" t="s">
        <v>692</v>
      </c>
      <c r="E286" s="20" t="s">
        <v>693</v>
      </c>
      <c r="F286" s="21" t="s">
        <v>780</v>
      </c>
      <c r="G286" s="20" t="s">
        <v>694</v>
      </c>
      <c r="H286" s="227">
        <v>43846</v>
      </c>
      <c r="I286" s="227">
        <v>44925</v>
      </c>
      <c r="J286" s="21" t="s">
        <v>111</v>
      </c>
      <c r="K286" s="21" t="s">
        <v>316</v>
      </c>
      <c r="L286" s="13" t="s">
        <v>455</v>
      </c>
      <c r="M286" s="13" t="s">
        <v>455</v>
      </c>
      <c r="N286" s="21" t="s">
        <v>112</v>
      </c>
      <c r="O286" s="21">
        <v>121</v>
      </c>
      <c r="P286" s="185">
        <v>15703299.5</v>
      </c>
      <c r="Q286" s="185">
        <v>0</v>
      </c>
      <c r="R286" s="185">
        <v>2796700.5</v>
      </c>
      <c r="S286" s="185">
        <v>0</v>
      </c>
      <c r="T286" s="185">
        <v>0</v>
      </c>
      <c r="U286" s="185">
        <f t="shared" si="27"/>
        <v>18500000</v>
      </c>
      <c r="V286" s="185" t="s">
        <v>113</v>
      </c>
      <c r="W286" s="185">
        <v>0</v>
      </c>
      <c r="X286" s="185">
        <f>1382830.8+722670.6+993744.08</f>
        <v>3099245.48</v>
      </c>
      <c r="Y286" s="187">
        <v>0</v>
      </c>
      <c r="AA286" s="75"/>
      <c r="AB286" s="75"/>
      <c r="AC286" s="75"/>
      <c r="AD286" s="75"/>
      <c r="AE286" s="75"/>
    </row>
    <row r="287" spans="1:85" s="24" customFormat="1" ht="112.5" customHeight="1" x14ac:dyDescent="0.2">
      <c r="A287" s="92">
        <v>110</v>
      </c>
      <c r="B287" s="40" t="s">
        <v>166</v>
      </c>
      <c r="C287" s="40">
        <v>140452</v>
      </c>
      <c r="D287" s="19" t="s">
        <v>695</v>
      </c>
      <c r="E287" s="20" t="s">
        <v>696</v>
      </c>
      <c r="F287" s="21" t="s">
        <v>697</v>
      </c>
      <c r="G287" s="20" t="s">
        <v>698</v>
      </c>
      <c r="H287" s="227">
        <v>44044</v>
      </c>
      <c r="I287" s="227">
        <v>44712</v>
      </c>
      <c r="J287" s="21" t="s">
        <v>111</v>
      </c>
      <c r="K287" s="21" t="s">
        <v>316</v>
      </c>
      <c r="L287" s="13" t="s">
        <v>455</v>
      </c>
      <c r="M287" s="13" t="s">
        <v>455</v>
      </c>
      <c r="N287" s="21" t="s">
        <v>112</v>
      </c>
      <c r="O287" s="21">
        <v>122</v>
      </c>
      <c r="P287" s="185">
        <v>3070755.12</v>
      </c>
      <c r="Q287" s="185">
        <v>541897.97</v>
      </c>
      <c r="R287" s="185">
        <v>0</v>
      </c>
      <c r="S287" s="185">
        <v>0</v>
      </c>
      <c r="T287" s="185">
        <v>0</v>
      </c>
      <c r="U287" s="185">
        <f t="shared" si="27"/>
        <v>3612653.09</v>
      </c>
      <c r="V287" s="185" t="s">
        <v>113</v>
      </c>
      <c r="W287" s="185">
        <v>3</v>
      </c>
      <c r="X287" s="185">
        <f>31938.16+73708.41+98387.09+121703.56+88608.84+88305.12+184780.7+448721.46+585446.02</f>
        <v>1721599.3599999999</v>
      </c>
      <c r="Y287" s="187">
        <f>5636.14+13007.37+17362.42+21477.1+15636.85+15583.25+32608.37+79186.14+103314</f>
        <v>303811.64</v>
      </c>
      <c r="AA287" s="75"/>
      <c r="AB287" s="75"/>
      <c r="AC287" s="75"/>
      <c r="AD287" s="75"/>
      <c r="AE287" s="75"/>
    </row>
    <row r="288" spans="1:85" s="24" customFormat="1" ht="112.5" customHeight="1" x14ac:dyDescent="0.2">
      <c r="A288" s="103">
        <v>111</v>
      </c>
      <c r="B288" s="40" t="s">
        <v>166</v>
      </c>
      <c r="C288" s="40">
        <v>140453</v>
      </c>
      <c r="D288" s="19" t="s">
        <v>699</v>
      </c>
      <c r="E288" s="20" t="s">
        <v>700</v>
      </c>
      <c r="F288" s="21" t="s">
        <v>701</v>
      </c>
      <c r="G288" s="20" t="s">
        <v>702</v>
      </c>
      <c r="H288" s="227">
        <v>44044</v>
      </c>
      <c r="I288" s="227">
        <v>44926</v>
      </c>
      <c r="J288" s="21" t="s">
        <v>111</v>
      </c>
      <c r="K288" s="21" t="s">
        <v>316</v>
      </c>
      <c r="L288" s="13" t="s">
        <v>455</v>
      </c>
      <c r="M288" s="13" t="s">
        <v>455</v>
      </c>
      <c r="N288" s="21" t="s">
        <v>112</v>
      </c>
      <c r="O288" s="21">
        <v>122</v>
      </c>
      <c r="P288" s="185">
        <v>3166786.12</v>
      </c>
      <c r="Q288" s="185">
        <v>558844.59</v>
      </c>
      <c r="R288" s="185">
        <v>0</v>
      </c>
      <c r="S288" s="185">
        <v>0</v>
      </c>
      <c r="T288" s="185">
        <v>0</v>
      </c>
      <c r="U288" s="185">
        <f t="shared" si="27"/>
        <v>3725630.71</v>
      </c>
      <c r="V288" s="185" t="s">
        <v>113</v>
      </c>
      <c r="W288" s="185">
        <v>2</v>
      </c>
      <c r="X288" s="185">
        <f>133574.4+119495.47+211188.88+207117.59+315016.57+615739.84</f>
        <v>1602132.75</v>
      </c>
      <c r="Y288" s="187">
        <f>23571.95+21087.43+37268.62+36550.16+55591.16+108659.96</f>
        <v>282729.28000000003</v>
      </c>
      <c r="AA288" s="75"/>
      <c r="AB288" s="75"/>
      <c r="AC288" s="75"/>
      <c r="AD288" s="75"/>
      <c r="AE288" s="75"/>
    </row>
    <row r="289" spans="1:31" s="24" customFormat="1" ht="112.5" customHeight="1" x14ac:dyDescent="0.2">
      <c r="A289" s="92">
        <v>112</v>
      </c>
      <c r="B289" s="40" t="s">
        <v>166</v>
      </c>
      <c r="C289" s="40">
        <v>140449</v>
      </c>
      <c r="D289" s="19" t="s">
        <v>704</v>
      </c>
      <c r="E289" s="20" t="s">
        <v>705</v>
      </c>
      <c r="F289" s="21" t="s">
        <v>706</v>
      </c>
      <c r="G289" s="20" t="s">
        <v>707</v>
      </c>
      <c r="H289" s="227">
        <v>44044</v>
      </c>
      <c r="I289" s="227">
        <v>44926</v>
      </c>
      <c r="J289" s="21" t="s">
        <v>111</v>
      </c>
      <c r="K289" s="21" t="s">
        <v>316</v>
      </c>
      <c r="L289" s="13" t="s">
        <v>455</v>
      </c>
      <c r="M289" s="13" t="s">
        <v>455</v>
      </c>
      <c r="N289" s="21" t="s">
        <v>112</v>
      </c>
      <c r="O289" s="21">
        <v>122</v>
      </c>
      <c r="P289" s="185">
        <v>2579733.0499999998</v>
      </c>
      <c r="Q289" s="185">
        <v>455246.99</v>
      </c>
      <c r="R289" s="185">
        <v>0</v>
      </c>
      <c r="S289" s="185">
        <v>0</v>
      </c>
      <c r="T289" s="185">
        <v>3750</v>
      </c>
      <c r="U289" s="185">
        <f t="shared" si="27"/>
        <v>3038730.04</v>
      </c>
      <c r="V289" s="185" t="s">
        <v>113</v>
      </c>
      <c r="W289" s="185">
        <v>2</v>
      </c>
      <c r="X289" s="185">
        <f>205280.85+20093.49-618.59-98516.53-11093.82+176599.23-20964.95+86229.82+205280.85-9827.17-18952.92-11839.21+42878.93+181640.55+110454.23</f>
        <v>856644.75999999978</v>
      </c>
      <c r="Y289" s="187">
        <f>15258.32+20964.95+15217.03+9827.17+18952.92+11839.21+7566.87+19491.92</f>
        <v>119118.39</v>
      </c>
      <c r="AA289" s="75"/>
      <c r="AB289" s="75"/>
      <c r="AC289" s="75"/>
      <c r="AD289" s="75"/>
      <c r="AE289" s="75"/>
    </row>
    <row r="290" spans="1:31" s="24" customFormat="1" ht="112.5" customHeight="1" x14ac:dyDescent="0.2">
      <c r="A290" s="103">
        <v>113</v>
      </c>
      <c r="B290" s="40" t="s">
        <v>166</v>
      </c>
      <c r="C290" s="40">
        <v>140581</v>
      </c>
      <c r="D290" s="40" t="s">
        <v>710</v>
      </c>
      <c r="E290" s="20" t="s">
        <v>708</v>
      </c>
      <c r="F290" s="21" t="s">
        <v>709</v>
      </c>
      <c r="G290" s="23" t="s">
        <v>711</v>
      </c>
      <c r="H290" s="227">
        <v>44075</v>
      </c>
      <c r="I290" s="227">
        <v>44926</v>
      </c>
      <c r="J290" s="21" t="s">
        <v>111</v>
      </c>
      <c r="K290" s="21" t="s">
        <v>316</v>
      </c>
      <c r="L290" s="21" t="s">
        <v>455</v>
      </c>
      <c r="M290" s="21" t="s">
        <v>455</v>
      </c>
      <c r="N290" s="21" t="s">
        <v>112</v>
      </c>
      <c r="O290" s="21">
        <v>122</v>
      </c>
      <c r="P290" s="185">
        <v>2680324.14</v>
      </c>
      <c r="Q290" s="185">
        <v>472998.37</v>
      </c>
      <c r="R290" s="185">
        <v>0</v>
      </c>
      <c r="S290" s="185">
        <v>0</v>
      </c>
      <c r="T290" s="185">
        <v>0</v>
      </c>
      <c r="U290" s="185">
        <f t="shared" si="27"/>
        <v>3153322.5100000002</v>
      </c>
      <c r="V290" s="185" t="s">
        <v>113</v>
      </c>
      <c r="W290" s="185">
        <v>3</v>
      </c>
      <c r="X290" s="185">
        <f>240397.01+98350.44+196590.33+254107.5+266880.76+216576.94+402872.21</f>
        <v>1675775.19</v>
      </c>
      <c r="Y290" s="187">
        <f>42423+17355.96+34692.41+44842.5+47096.6+38219.46+71095.1</f>
        <v>295725.03000000003</v>
      </c>
      <c r="AA290" s="75"/>
      <c r="AB290" s="75"/>
      <c r="AC290" s="75"/>
      <c r="AD290" s="75"/>
      <c r="AE290" s="75"/>
    </row>
    <row r="291" spans="1:31" s="24" customFormat="1" ht="112.5" customHeight="1" x14ac:dyDescent="0.2">
      <c r="A291" s="92">
        <v>114</v>
      </c>
      <c r="B291" s="40" t="s">
        <v>166</v>
      </c>
      <c r="C291" s="40">
        <v>140458</v>
      </c>
      <c r="D291" s="40" t="s">
        <v>712</v>
      </c>
      <c r="E291" s="20" t="s">
        <v>713</v>
      </c>
      <c r="F291" s="21" t="s">
        <v>481</v>
      </c>
      <c r="G291" s="23" t="s">
        <v>714</v>
      </c>
      <c r="H291" s="227">
        <v>44046</v>
      </c>
      <c r="I291" s="227">
        <v>44926</v>
      </c>
      <c r="J291" s="21" t="s">
        <v>111</v>
      </c>
      <c r="K291" s="21" t="s">
        <v>316</v>
      </c>
      <c r="L291" s="21" t="s">
        <v>455</v>
      </c>
      <c r="M291" s="21" t="s">
        <v>455</v>
      </c>
      <c r="N291" s="21" t="s">
        <v>112</v>
      </c>
      <c r="O291" s="21">
        <v>122</v>
      </c>
      <c r="P291" s="185">
        <v>2550943.9</v>
      </c>
      <c r="Q291" s="185">
        <v>450166.58</v>
      </c>
      <c r="R291" s="185">
        <v>0</v>
      </c>
      <c r="S291" s="185">
        <v>0</v>
      </c>
      <c r="T291" s="185">
        <v>0</v>
      </c>
      <c r="U291" s="185">
        <f t="shared" si="27"/>
        <v>3001110.48</v>
      </c>
      <c r="V291" s="185" t="s">
        <v>113</v>
      </c>
      <c r="W291" s="185">
        <v>2</v>
      </c>
      <c r="X291" s="185">
        <f>102817.36+162642.14+239001.38+374553.33</f>
        <v>879014.21</v>
      </c>
      <c r="Y291" s="187">
        <f>18144.24+28701.56+42176.72+66097.64</f>
        <v>155120.16</v>
      </c>
      <c r="AA291" s="75"/>
      <c r="AB291" s="75"/>
      <c r="AC291" s="75"/>
      <c r="AD291" s="75"/>
      <c r="AE291" s="75"/>
    </row>
    <row r="292" spans="1:31" s="24" customFormat="1" ht="112.5" customHeight="1" x14ac:dyDescent="0.2">
      <c r="A292" s="103">
        <v>115</v>
      </c>
      <c r="B292" s="40" t="s">
        <v>166</v>
      </c>
      <c r="C292" s="40" t="s">
        <v>715</v>
      </c>
      <c r="D292" s="40" t="s">
        <v>716</v>
      </c>
      <c r="E292" s="20" t="s">
        <v>717</v>
      </c>
      <c r="F292" s="21" t="s">
        <v>718</v>
      </c>
      <c r="G292" s="23" t="s">
        <v>719</v>
      </c>
      <c r="H292" s="227">
        <v>44013</v>
      </c>
      <c r="I292" s="227">
        <v>44926</v>
      </c>
      <c r="J292" s="21" t="s">
        <v>111</v>
      </c>
      <c r="K292" s="21" t="s">
        <v>316</v>
      </c>
      <c r="L292" s="21" t="s">
        <v>455</v>
      </c>
      <c r="M292" s="21" t="s">
        <v>455</v>
      </c>
      <c r="N292" s="21" t="s">
        <v>112</v>
      </c>
      <c r="O292" s="21">
        <v>122</v>
      </c>
      <c r="P292" s="185">
        <v>4284382.25</v>
      </c>
      <c r="Q292" s="185">
        <v>756067.45</v>
      </c>
      <c r="R292" s="185">
        <v>0</v>
      </c>
      <c r="S292" s="185">
        <v>0</v>
      </c>
      <c r="T292" s="185">
        <v>0</v>
      </c>
      <c r="U292" s="185">
        <f t="shared" si="27"/>
        <v>5040449.7</v>
      </c>
      <c r="V292" s="185" t="s">
        <v>113</v>
      </c>
      <c r="W292" s="185">
        <v>2</v>
      </c>
      <c r="X292" s="185">
        <f>323904.82+335581.27+344279.77+246564.11</f>
        <v>1250329.9700000002</v>
      </c>
      <c r="Y292" s="187">
        <f>57159.67+59220.23+60755.26+43511.32</f>
        <v>220646.48</v>
      </c>
      <c r="AA292" s="75"/>
      <c r="AB292" s="75"/>
      <c r="AC292" s="75"/>
      <c r="AD292" s="75"/>
      <c r="AE292" s="75"/>
    </row>
    <row r="293" spans="1:31" s="24" customFormat="1" ht="112.5" customHeight="1" x14ac:dyDescent="0.2">
      <c r="A293" s="92">
        <v>116</v>
      </c>
      <c r="B293" s="40" t="s">
        <v>121</v>
      </c>
      <c r="C293" s="40" t="s">
        <v>720</v>
      </c>
      <c r="D293" s="40" t="s">
        <v>721</v>
      </c>
      <c r="E293" s="20" t="s">
        <v>724</v>
      </c>
      <c r="F293" s="21" t="s">
        <v>722</v>
      </c>
      <c r="G293" s="23" t="s">
        <v>723</v>
      </c>
      <c r="H293" s="227">
        <v>44075</v>
      </c>
      <c r="I293" s="227">
        <v>44742</v>
      </c>
      <c r="J293" s="21" t="s">
        <v>111</v>
      </c>
      <c r="K293" s="21" t="s">
        <v>316</v>
      </c>
      <c r="L293" s="21" t="s">
        <v>455</v>
      </c>
      <c r="M293" s="21" t="s">
        <v>455</v>
      </c>
      <c r="N293" s="21" t="s">
        <v>112</v>
      </c>
      <c r="O293" s="21">
        <v>121</v>
      </c>
      <c r="P293" s="185">
        <v>1305920.4099999999</v>
      </c>
      <c r="Q293" s="185">
        <v>230456.55</v>
      </c>
      <c r="R293" s="185">
        <v>0</v>
      </c>
      <c r="S293" s="185">
        <v>0</v>
      </c>
      <c r="T293" s="185">
        <v>155610</v>
      </c>
      <c r="U293" s="185">
        <f t="shared" si="27"/>
        <v>1691986.96</v>
      </c>
      <c r="V293" s="185" t="s">
        <v>311</v>
      </c>
      <c r="W293" s="185">
        <v>2</v>
      </c>
      <c r="X293" s="185">
        <f>69224.32+19035.06+20850.07+21669.74+18350.51+20991.17+153637.69</f>
        <v>323758.56</v>
      </c>
      <c r="Y293" s="187">
        <f>12216.06+3359.13+3679.42+3824.07+3238.33+3704.33</f>
        <v>30021.340000000004</v>
      </c>
      <c r="AA293" s="75"/>
      <c r="AB293" s="75"/>
      <c r="AC293" s="75"/>
      <c r="AD293" s="75"/>
      <c r="AE293" s="75"/>
    </row>
    <row r="294" spans="1:31" s="24" customFormat="1" ht="112.5" customHeight="1" x14ac:dyDescent="0.2">
      <c r="A294" s="103">
        <v>117</v>
      </c>
      <c r="B294" s="40" t="s">
        <v>121</v>
      </c>
      <c r="C294" s="40" t="s">
        <v>725</v>
      </c>
      <c r="D294" s="40" t="s">
        <v>726</v>
      </c>
      <c r="E294" s="20" t="s">
        <v>727</v>
      </c>
      <c r="F294" s="21" t="s">
        <v>709</v>
      </c>
      <c r="G294" s="23" t="s">
        <v>728</v>
      </c>
      <c r="H294" s="227">
        <v>44075</v>
      </c>
      <c r="I294" s="227">
        <v>44926</v>
      </c>
      <c r="J294" s="21" t="s">
        <v>111</v>
      </c>
      <c r="K294" s="21" t="s">
        <v>316</v>
      </c>
      <c r="L294" s="21" t="s">
        <v>455</v>
      </c>
      <c r="M294" s="21" t="s">
        <v>455</v>
      </c>
      <c r="N294" s="21" t="s">
        <v>112</v>
      </c>
      <c r="O294" s="21">
        <v>121</v>
      </c>
      <c r="P294" s="185">
        <v>4016721.51</v>
      </c>
      <c r="Q294" s="185">
        <v>708833.21</v>
      </c>
      <c r="R294" s="185">
        <v>0</v>
      </c>
      <c r="S294" s="185">
        <v>0</v>
      </c>
      <c r="T294" s="185">
        <v>0</v>
      </c>
      <c r="U294" s="185">
        <f>P294+Q294+R294+S294+T294</f>
        <v>4725554.72</v>
      </c>
      <c r="V294" s="185" t="s">
        <v>311</v>
      </c>
      <c r="W294" s="185">
        <v>2</v>
      </c>
      <c r="X294" s="185">
        <f>43218.89+26414.91+37479.3+17726.96+14116.08+7158.23+15712.34</f>
        <v>161826.71</v>
      </c>
      <c r="Y294" s="187">
        <f>7626.86+4661.45+6614+3128.29+2491.07+1263.22+2772.76</f>
        <v>28557.65</v>
      </c>
      <c r="AA294" s="75"/>
      <c r="AB294" s="75"/>
      <c r="AC294" s="75"/>
      <c r="AD294" s="75"/>
      <c r="AE294" s="75"/>
    </row>
    <row r="295" spans="1:31" s="24" customFormat="1" ht="112.5" customHeight="1" x14ac:dyDescent="0.2">
      <c r="A295" s="92">
        <v>118</v>
      </c>
      <c r="B295" s="40" t="s">
        <v>121</v>
      </c>
      <c r="C295" s="40" t="s">
        <v>729</v>
      </c>
      <c r="D295" s="40" t="s">
        <v>730</v>
      </c>
      <c r="E295" s="20" t="s">
        <v>731</v>
      </c>
      <c r="F295" s="21" t="s">
        <v>701</v>
      </c>
      <c r="G295" s="23" t="s">
        <v>732</v>
      </c>
      <c r="H295" s="227">
        <v>44075</v>
      </c>
      <c r="I295" s="227">
        <v>44926</v>
      </c>
      <c r="J295" s="21" t="s">
        <v>111</v>
      </c>
      <c r="K295" s="21" t="s">
        <v>316</v>
      </c>
      <c r="L295" s="21" t="s">
        <v>455</v>
      </c>
      <c r="M295" s="21" t="s">
        <v>455</v>
      </c>
      <c r="N295" s="21" t="s">
        <v>112</v>
      </c>
      <c r="O295" s="21">
        <v>121</v>
      </c>
      <c r="P295" s="185">
        <v>7498283.8300000001</v>
      </c>
      <c r="Q295" s="185">
        <v>1323226.56</v>
      </c>
      <c r="R295" s="185">
        <v>0</v>
      </c>
      <c r="S295" s="185">
        <v>0</v>
      </c>
      <c r="T295" s="185">
        <v>0</v>
      </c>
      <c r="U295" s="185">
        <f>P295+Q295+R295+S295+T295</f>
        <v>8821510.3900000006</v>
      </c>
      <c r="V295" s="185" t="s">
        <v>311</v>
      </c>
      <c r="W295" s="185">
        <v>1</v>
      </c>
      <c r="X295" s="185">
        <f>49182.91+14200.14+50340.27+63922.63+36237.88+39645.44</f>
        <v>253529.27000000002</v>
      </c>
      <c r="Y295" s="187">
        <f>8679.34+2505.91+8883.58+11280.47+6394.92+6996.26</f>
        <v>44740.480000000003</v>
      </c>
      <c r="AA295" s="75"/>
      <c r="AB295" s="75"/>
      <c r="AC295" s="75"/>
      <c r="AD295" s="75"/>
      <c r="AE295" s="75"/>
    </row>
    <row r="296" spans="1:31" s="24" customFormat="1" ht="112.5" customHeight="1" x14ac:dyDescent="0.2">
      <c r="A296" s="103">
        <v>119</v>
      </c>
      <c r="B296" s="40" t="s">
        <v>121</v>
      </c>
      <c r="C296" s="40" t="s">
        <v>733</v>
      </c>
      <c r="D296" s="40" t="s">
        <v>734</v>
      </c>
      <c r="E296" s="20" t="s">
        <v>735</v>
      </c>
      <c r="F296" s="21" t="s">
        <v>481</v>
      </c>
      <c r="G296" s="23" t="s">
        <v>736</v>
      </c>
      <c r="H296" s="227">
        <v>44075</v>
      </c>
      <c r="I296" s="227">
        <v>44926</v>
      </c>
      <c r="J296" s="21" t="s">
        <v>111</v>
      </c>
      <c r="K296" s="21" t="s">
        <v>316</v>
      </c>
      <c r="L296" s="21" t="s">
        <v>455</v>
      </c>
      <c r="M296" s="21" t="s">
        <v>455</v>
      </c>
      <c r="N296" s="21" t="s">
        <v>112</v>
      </c>
      <c r="O296" s="21">
        <v>121</v>
      </c>
      <c r="P296" s="185">
        <v>3674953.2</v>
      </c>
      <c r="Q296" s="185">
        <v>648521.15</v>
      </c>
      <c r="R296" s="185">
        <v>0</v>
      </c>
      <c r="S296" s="185">
        <v>0</v>
      </c>
      <c r="T296" s="185">
        <v>0</v>
      </c>
      <c r="U296" s="185">
        <f>P296+Q296+R296+S296+T296</f>
        <v>4323474.3500000006</v>
      </c>
      <c r="V296" s="185" t="s">
        <v>311</v>
      </c>
      <c r="W296" s="185">
        <v>1</v>
      </c>
      <c r="X296" s="185">
        <f>27631.97+13303.78+22262.56+10079</f>
        <v>73277.31</v>
      </c>
      <c r="Y296" s="187">
        <f>4876.23+2347.72+3928.69+1778.65</f>
        <v>12931.289999999999</v>
      </c>
      <c r="AA296" s="75"/>
      <c r="AB296" s="75"/>
      <c r="AC296" s="75"/>
      <c r="AD296" s="75"/>
      <c r="AE296" s="75"/>
    </row>
    <row r="297" spans="1:31" s="24" customFormat="1" ht="112.5" customHeight="1" x14ac:dyDescent="0.2">
      <c r="A297" s="92">
        <v>120</v>
      </c>
      <c r="B297" s="40" t="s">
        <v>121</v>
      </c>
      <c r="C297" s="19">
        <v>143590</v>
      </c>
      <c r="D297" s="19" t="s">
        <v>738</v>
      </c>
      <c r="E297" s="20" t="s">
        <v>740</v>
      </c>
      <c r="F297" s="21" t="s">
        <v>718</v>
      </c>
      <c r="G297" s="23" t="s">
        <v>742</v>
      </c>
      <c r="H297" s="227">
        <v>44075</v>
      </c>
      <c r="I297" s="227">
        <v>44561</v>
      </c>
      <c r="J297" s="21" t="s">
        <v>111</v>
      </c>
      <c r="K297" s="21" t="s">
        <v>316</v>
      </c>
      <c r="L297" s="21" t="s">
        <v>455</v>
      </c>
      <c r="M297" s="21" t="s">
        <v>455</v>
      </c>
      <c r="N297" s="21" t="s">
        <v>112</v>
      </c>
      <c r="O297" s="21">
        <v>121</v>
      </c>
      <c r="P297" s="185">
        <v>0</v>
      </c>
      <c r="Q297" s="185">
        <v>0</v>
      </c>
      <c r="R297" s="185">
        <v>0</v>
      </c>
      <c r="S297" s="185">
        <v>0</v>
      </c>
      <c r="T297" s="185">
        <v>0</v>
      </c>
      <c r="U297" s="185">
        <f t="shared" ref="U297:U311" si="28">P297+Q297+R297+S297+T297</f>
        <v>0</v>
      </c>
      <c r="V297" s="185" t="s">
        <v>399</v>
      </c>
      <c r="W297" s="185">
        <v>0</v>
      </c>
      <c r="X297" s="185">
        <v>34528.699999999997</v>
      </c>
      <c r="Y297" s="187">
        <v>6093.3</v>
      </c>
      <c r="AA297" s="75"/>
      <c r="AB297" s="75"/>
      <c r="AC297" s="75"/>
      <c r="AD297" s="75"/>
      <c r="AE297" s="75"/>
    </row>
    <row r="298" spans="1:31" s="24" customFormat="1" ht="112.5" customHeight="1" x14ac:dyDescent="0.2">
      <c r="A298" s="103">
        <v>121</v>
      </c>
      <c r="B298" s="40" t="s">
        <v>121</v>
      </c>
      <c r="C298" s="19" t="s">
        <v>737</v>
      </c>
      <c r="D298" s="19" t="s">
        <v>739</v>
      </c>
      <c r="E298" s="20" t="s">
        <v>741</v>
      </c>
      <c r="F298" s="21" t="s">
        <v>706</v>
      </c>
      <c r="G298" s="20" t="s">
        <v>751</v>
      </c>
      <c r="H298" s="227">
        <v>44136</v>
      </c>
      <c r="I298" s="227">
        <v>44926</v>
      </c>
      <c r="J298" s="21" t="s">
        <v>111</v>
      </c>
      <c r="K298" s="21" t="s">
        <v>316</v>
      </c>
      <c r="L298" s="21" t="s">
        <v>455</v>
      </c>
      <c r="M298" s="21" t="s">
        <v>455</v>
      </c>
      <c r="N298" s="21" t="s">
        <v>112</v>
      </c>
      <c r="O298" s="21">
        <v>121</v>
      </c>
      <c r="P298" s="185">
        <v>981771.23</v>
      </c>
      <c r="Q298" s="185">
        <v>173253.75</v>
      </c>
      <c r="R298" s="185">
        <v>0</v>
      </c>
      <c r="S298" s="185">
        <v>0</v>
      </c>
      <c r="T298" s="185">
        <v>0</v>
      </c>
      <c r="U298" s="185">
        <f t="shared" si="28"/>
        <v>1155024.98</v>
      </c>
      <c r="V298" s="185" t="s">
        <v>311</v>
      </c>
      <c r="W298" s="185">
        <v>2</v>
      </c>
      <c r="X298" s="185">
        <f>10597.08+20470.21+15306.67+10649.86+13042.78</f>
        <v>70066.600000000006</v>
      </c>
      <c r="Y298" s="187">
        <f>1870.07+3612.39+2701.18+1879.39+2301.67</f>
        <v>12364.699999999999</v>
      </c>
      <c r="AA298" s="75"/>
      <c r="AB298" s="75"/>
      <c r="AC298" s="75"/>
      <c r="AD298" s="75"/>
      <c r="AE298" s="75"/>
    </row>
    <row r="299" spans="1:31" s="24" customFormat="1" ht="112.5" customHeight="1" x14ac:dyDescent="0.2">
      <c r="A299" s="92">
        <v>122</v>
      </c>
      <c r="B299" s="40" t="s">
        <v>166</v>
      </c>
      <c r="C299" s="40" t="s">
        <v>743</v>
      </c>
      <c r="D299" s="40" t="s">
        <v>744</v>
      </c>
      <c r="E299" s="20" t="s">
        <v>745</v>
      </c>
      <c r="F299" s="21" t="s">
        <v>746</v>
      </c>
      <c r="G299" s="23" t="s">
        <v>747</v>
      </c>
      <c r="H299" s="227">
        <v>44044</v>
      </c>
      <c r="I299" s="227">
        <v>44926</v>
      </c>
      <c r="J299" s="21" t="s">
        <v>111</v>
      </c>
      <c r="K299" s="21" t="s">
        <v>316</v>
      </c>
      <c r="L299" s="21" t="s">
        <v>455</v>
      </c>
      <c r="M299" s="21" t="s">
        <v>455</v>
      </c>
      <c r="N299" s="21" t="s">
        <v>112</v>
      </c>
      <c r="O299" s="21">
        <v>122</v>
      </c>
      <c r="P299" s="185">
        <v>2697634.82</v>
      </c>
      <c r="Q299" s="185">
        <v>476053.19</v>
      </c>
      <c r="R299" s="185">
        <v>0</v>
      </c>
      <c r="S299" s="185">
        <v>0</v>
      </c>
      <c r="T299" s="185">
        <v>0</v>
      </c>
      <c r="U299" s="185">
        <f t="shared" si="28"/>
        <v>3173688.01</v>
      </c>
      <c r="V299" s="185" t="s">
        <v>311</v>
      </c>
      <c r="W299" s="185">
        <v>2</v>
      </c>
      <c r="X299" s="185">
        <f>374263.68+181511.59+125160.07+210137.67+335244.7+195941.2</f>
        <v>1422258.9100000001</v>
      </c>
      <c r="Y299" s="187">
        <f>66046.53+32031.45+22087.07+37083.12+59160.83+34577.86</f>
        <v>250986.86</v>
      </c>
      <c r="AA299" s="75"/>
      <c r="AB299" s="75"/>
      <c r="AC299" s="75"/>
      <c r="AD299" s="75"/>
      <c r="AE299" s="75"/>
    </row>
    <row r="300" spans="1:31" s="24" customFormat="1" ht="112.5" customHeight="1" x14ac:dyDescent="0.2">
      <c r="A300" s="103">
        <v>123</v>
      </c>
      <c r="B300" s="40" t="s">
        <v>121</v>
      </c>
      <c r="C300" s="40">
        <v>141736</v>
      </c>
      <c r="D300" s="40" t="s">
        <v>748</v>
      </c>
      <c r="E300" s="20" t="s">
        <v>749</v>
      </c>
      <c r="F300" s="21" t="s">
        <v>746</v>
      </c>
      <c r="G300" s="23" t="s">
        <v>750</v>
      </c>
      <c r="H300" s="227">
        <v>44044</v>
      </c>
      <c r="I300" s="227">
        <v>44926</v>
      </c>
      <c r="J300" s="21" t="s">
        <v>111</v>
      </c>
      <c r="K300" s="21" t="s">
        <v>316</v>
      </c>
      <c r="L300" s="21" t="s">
        <v>455</v>
      </c>
      <c r="M300" s="21" t="s">
        <v>455</v>
      </c>
      <c r="N300" s="21" t="s">
        <v>112</v>
      </c>
      <c r="O300" s="21">
        <v>121</v>
      </c>
      <c r="P300" s="185">
        <v>8771230.75</v>
      </c>
      <c r="Q300" s="185">
        <v>1547864.25</v>
      </c>
      <c r="R300" s="185">
        <v>0</v>
      </c>
      <c r="S300" s="185">
        <v>0</v>
      </c>
      <c r="T300" s="185">
        <v>0</v>
      </c>
      <c r="U300" s="185">
        <f t="shared" si="28"/>
        <v>10319095</v>
      </c>
      <c r="V300" s="185" t="s">
        <v>311</v>
      </c>
      <c r="W300" s="185">
        <v>1</v>
      </c>
      <c r="X300" s="185">
        <f>98289.58+69022.59+47953.22+60171.74+53428.19</f>
        <v>328865.32</v>
      </c>
      <c r="Y300" s="187">
        <f>17345.22+12180.46+8462.33+10618.54+9428.51</f>
        <v>58035.060000000005</v>
      </c>
      <c r="AA300" s="75"/>
      <c r="AB300" s="75"/>
      <c r="AC300" s="75"/>
      <c r="AD300" s="75"/>
      <c r="AE300" s="75"/>
    </row>
    <row r="301" spans="1:31" s="24" customFormat="1" ht="112.5" customHeight="1" x14ac:dyDescent="0.2">
      <c r="A301" s="92">
        <v>124</v>
      </c>
      <c r="B301" s="40" t="s">
        <v>121</v>
      </c>
      <c r="C301" s="40" t="s">
        <v>785</v>
      </c>
      <c r="D301" s="40" t="s">
        <v>786</v>
      </c>
      <c r="E301" s="20" t="s">
        <v>790</v>
      </c>
      <c r="F301" s="21" t="s">
        <v>701</v>
      </c>
      <c r="G301" s="23" t="s">
        <v>791</v>
      </c>
      <c r="H301" s="227">
        <v>43573</v>
      </c>
      <c r="I301" s="227">
        <v>44926</v>
      </c>
      <c r="J301" s="21" t="s">
        <v>111</v>
      </c>
      <c r="K301" s="21" t="s">
        <v>316</v>
      </c>
      <c r="L301" s="21" t="s">
        <v>455</v>
      </c>
      <c r="M301" s="21" t="s">
        <v>455</v>
      </c>
      <c r="N301" s="21" t="s">
        <v>112</v>
      </c>
      <c r="O301" s="21">
        <v>121</v>
      </c>
      <c r="P301" s="185">
        <v>42292662.950000003</v>
      </c>
      <c r="Q301" s="185">
        <v>6279007.4000000004</v>
      </c>
      <c r="R301" s="185">
        <v>1184403.68</v>
      </c>
      <c r="S301" s="185">
        <v>0</v>
      </c>
      <c r="T301" s="185">
        <v>2694925.28</v>
      </c>
      <c r="U301" s="185">
        <f t="shared" si="28"/>
        <v>52450999.310000002</v>
      </c>
      <c r="V301" s="185" t="s">
        <v>311</v>
      </c>
      <c r="W301" s="185">
        <v>1</v>
      </c>
      <c r="X301" s="185">
        <f>396152.4+61701.5+38437+105537.74</f>
        <v>601828.64</v>
      </c>
      <c r="Y301" s="187">
        <f>69909.25+15315.3+18624.31</f>
        <v>103848.86</v>
      </c>
      <c r="AA301" s="75"/>
      <c r="AB301" s="75"/>
      <c r="AC301" s="75"/>
      <c r="AD301" s="75"/>
      <c r="AE301" s="75"/>
    </row>
    <row r="302" spans="1:31" s="24" customFormat="1" ht="112.5" customHeight="1" x14ac:dyDescent="0.2">
      <c r="A302" s="103">
        <v>125</v>
      </c>
      <c r="B302" s="40" t="s">
        <v>166</v>
      </c>
      <c r="C302" s="40" t="s">
        <v>787</v>
      </c>
      <c r="D302" s="40" t="s">
        <v>788</v>
      </c>
      <c r="E302" s="23" t="s">
        <v>792</v>
      </c>
      <c r="F302" s="13" t="s">
        <v>789</v>
      </c>
      <c r="G302" s="23" t="s">
        <v>793</v>
      </c>
      <c r="H302" s="227">
        <v>44348</v>
      </c>
      <c r="I302" s="227">
        <v>44926</v>
      </c>
      <c r="J302" s="21" t="s">
        <v>111</v>
      </c>
      <c r="K302" s="21" t="s">
        <v>316</v>
      </c>
      <c r="L302" s="21" t="s">
        <v>455</v>
      </c>
      <c r="M302" s="21" t="s">
        <v>455</v>
      </c>
      <c r="N302" s="21" t="s">
        <v>112</v>
      </c>
      <c r="O302" s="21">
        <v>122</v>
      </c>
      <c r="P302" s="185">
        <v>2325643.2400000002</v>
      </c>
      <c r="Q302" s="185">
        <v>581410.80000000005</v>
      </c>
      <c r="R302" s="185">
        <v>0</v>
      </c>
      <c r="S302" s="185">
        <v>0</v>
      </c>
      <c r="T302" s="185">
        <v>0</v>
      </c>
      <c r="U302" s="185">
        <f t="shared" si="28"/>
        <v>2907054.04</v>
      </c>
      <c r="V302" s="185" t="s">
        <v>311</v>
      </c>
      <c r="W302" s="185">
        <v>1</v>
      </c>
      <c r="X302" s="185">
        <v>0</v>
      </c>
      <c r="Y302" s="187">
        <v>0</v>
      </c>
      <c r="AA302" s="75"/>
      <c r="AB302" s="75"/>
      <c r="AC302" s="75"/>
      <c r="AD302" s="75"/>
      <c r="AE302" s="75"/>
    </row>
    <row r="303" spans="1:31" s="24" customFormat="1" ht="112.5" customHeight="1" x14ac:dyDescent="0.2">
      <c r="A303" s="92">
        <v>126</v>
      </c>
      <c r="B303" s="40" t="s">
        <v>121</v>
      </c>
      <c r="C303" s="40">
        <v>143537</v>
      </c>
      <c r="D303" s="40" t="s">
        <v>794</v>
      </c>
      <c r="E303" s="23" t="s">
        <v>797</v>
      </c>
      <c r="F303" s="13" t="s">
        <v>481</v>
      </c>
      <c r="G303" s="23" t="s">
        <v>800</v>
      </c>
      <c r="H303" s="227">
        <v>44013</v>
      </c>
      <c r="I303" s="227">
        <v>44926</v>
      </c>
      <c r="J303" s="21" t="s">
        <v>111</v>
      </c>
      <c r="K303" s="21" t="s">
        <v>316</v>
      </c>
      <c r="L303" s="21" t="s">
        <v>455</v>
      </c>
      <c r="M303" s="21" t="s">
        <v>455</v>
      </c>
      <c r="N303" s="21" t="s">
        <v>112</v>
      </c>
      <c r="O303" s="21">
        <v>121</v>
      </c>
      <c r="P303" s="185">
        <v>18778112.850000001</v>
      </c>
      <c r="Q303" s="185">
        <v>2799329.73</v>
      </c>
      <c r="R303" s="185">
        <v>514454.89</v>
      </c>
      <c r="S303" s="185">
        <v>0</v>
      </c>
      <c r="T303" s="185">
        <v>3729687.73</v>
      </c>
      <c r="U303" s="185">
        <f t="shared" si="28"/>
        <v>25821585.200000003</v>
      </c>
      <c r="V303" s="185" t="s">
        <v>311</v>
      </c>
      <c r="W303" s="185">
        <v>1</v>
      </c>
      <c r="X303" s="185">
        <f>232745.68+88506.25+42159.57+36336.61+67872.5</f>
        <v>467620.61</v>
      </c>
      <c r="Y303" s="187">
        <f>41072.77+13536.25+7439.93+6412.34+10380.5</f>
        <v>78841.789999999994</v>
      </c>
      <c r="AA303" s="75"/>
      <c r="AB303" s="75"/>
      <c r="AC303" s="75"/>
      <c r="AD303" s="75"/>
      <c r="AE303" s="75"/>
    </row>
    <row r="304" spans="1:31" s="24" customFormat="1" ht="112.5" customHeight="1" x14ac:dyDescent="0.2">
      <c r="A304" s="103">
        <v>127</v>
      </c>
      <c r="B304" s="40" t="s">
        <v>121</v>
      </c>
      <c r="C304" s="40">
        <v>146315</v>
      </c>
      <c r="D304" s="40" t="s">
        <v>795</v>
      </c>
      <c r="E304" s="23" t="s">
        <v>798</v>
      </c>
      <c r="F304" s="13" t="s">
        <v>706</v>
      </c>
      <c r="G304" s="23" t="s">
        <v>801</v>
      </c>
      <c r="H304" s="227">
        <v>43648</v>
      </c>
      <c r="I304" s="227">
        <v>44926</v>
      </c>
      <c r="J304" s="21" t="s">
        <v>111</v>
      </c>
      <c r="K304" s="21" t="s">
        <v>316</v>
      </c>
      <c r="L304" s="21" t="s">
        <v>455</v>
      </c>
      <c r="M304" s="21" t="s">
        <v>455</v>
      </c>
      <c r="N304" s="21" t="s">
        <v>112</v>
      </c>
      <c r="O304" s="21">
        <v>121</v>
      </c>
      <c r="P304" s="185">
        <v>31933371.190000001</v>
      </c>
      <c r="Q304" s="185">
        <v>4903603.37</v>
      </c>
      <c r="R304" s="185">
        <v>731697.38</v>
      </c>
      <c r="S304" s="185">
        <v>0</v>
      </c>
      <c r="T304" s="185">
        <v>2814269.17</v>
      </c>
      <c r="U304" s="185">
        <f t="shared" si="28"/>
        <v>40382941.110000007</v>
      </c>
      <c r="V304" s="185" t="s">
        <v>311</v>
      </c>
      <c r="W304" s="185">
        <v>1</v>
      </c>
      <c r="X304" s="185">
        <f>319634.5+30548.83+136552.5+411400.31</f>
        <v>898136.14</v>
      </c>
      <c r="Y304" s="187">
        <f>56406.09+5390.97+20884.5+62920.05</f>
        <v>145601.60999999999</v>
      </c>
      <c r="AA304" s="75"/>
      <c r="AB304" s="75"/>
      <c r="AC304" s="75"/>
      <c r="AD304" s="75"/>
      <c r="AE304" s="75"/>
    </row>
    <row r="305" spans="1:95" s="24" customFormat="1" ht="112.5" customHeight="1" x14ac:dyDescent="0.2">
      <c r="A305" s="92">
        <v>128</v>
      </c>
      <c r="B305" s="40" t="s">
        <v>121</v>
      </c>
      <c r="C305" s="40">
        <v>143361</v>
      </c>
      <c r="D305" s="40" t="s">
        <v>796</v>
      </c>
      <c r="E305" s="23" t="s">
        <v>799</v>
      </c>
      <c r="F305" s="13" t="s">
        <v>722</v>
      </c>
      <c r="G305" s="23" t="s">
        <v>802</v>
      </c>
      <c r="H305" s="227">
        <v>44105</v>
      </c>
      <c r="I305" s="227">
        <v>44926</v>
      </c>
      <c r="J305" s="21" t="s">
        <v>111</v>
      </c>
      <c r="K305" s="21" t="s">
        <v>316</v>
      </c>
      <c r="L305" s="21" t="s">
        <v>455</v>
      </c>
      <c r="M305" s="21" t="s">
        <v>455</v>
      </c>
      <c r="N305" s="21" t="s">
        <v>112</v>
      </c>
      <c r="O305" s="21">
        <v>121</v>
      </c>
      <c r="P305" s="185">
        <v>20166724.02</v>
      </c>
      <c r="Q305" s="185">
        <v>3022574.54</v>
      </c>
      <c r="R305" s="185">
        <v>536259.1</v>
      </c>
      <c r="S305" s="185">
        <v>0</v>
      </c>
      <c r="T305" s="185">
        <v>2129673.92</v>
      </c>
      <c r="U305" s="185">
        <f t="shared" si="28"/>
        <v>25855231.579999998</v>
      </c>
      <c r="V305" s="185" t="s">
        <v>311</v>
      </c>
      <c r="W305" s="185">
        <v>1</v>
      </c>
      <c r="X305" s="185">
        <f>272900.42+25863.59+27158.78+45926.82+28295.89</f>
        <v>400145.50000000006</v>
      </c>
      <c r="Y305" s="187">
        <f>48158.89+3955.61+4153.69+8104.73+4993.39</f>
        <v>69366.31</v>
      </c>
      <c r="AA305" s="75"/>
      <c r="AB305" s="75"/>
      <c r="AC305" s="75"/>
      <c r="AD305" s="75"/>
      <c r="AE305" s="75"/>
    </row>
    <row r="306" spans="1:95" s="24" customFormat="1" ht="112.5" customHeight="1" x14ac:dyDescent="0.2">
      <c r="A306" s="92">
        <v>129</v>
      </c>
      <c r="B306" s="40" t="s">
        <v>121</v>
      </c>
      <c r="C306" s="40" t="s">
        <v>804</v>
      </c>
      <c r="D306" s="40" t="s">
        <v>805</v>
      </c>
      <c r="E306" s="23" t="s">
        <v>808</v>
      </c>
      <c r="F306" s="13" t="s">
        <v>722</v>
      </c>
      <c r="G306" s="23" t="s">
        <v>806</v>
      </c>
      <c r="H306" s="227">
        <v>44105</v>
      </c>
      <c r="I306" s="227">
        <v>44926</v>
      </c>
      <c r="J306" s="21" t="s">
        <v>111</v>
      </c>
      <c r="K306" s="21" t="s">
        <v>316</v>
      </c>
      <c r="L306" s="21" t="s">
        <v>455</v>
      </c>
      <c r="M306" s="21" t="s">
        <v>455</v>
      </c>
      <c r="N306" s="21" t="s">
        <v>112</v>
      </c>
      <c r="O306" s="21">
        <v>121</v>
      </c>
      <c r="P306" s="185">
        <v>24275235.300000001</v>
      </c>
      <c r="Q306" s="185">
        <v>3725681.18</v>
      </c>
      <c r="R306" s="185">
        <v>558183.86</v>
      </c>
      <c r="S306" s="185">
        <v>0</v>
      </c>
      <c r="T306" s="185">
        <v>4082130.8</v>
      </c>
      <c r="U306" s="185">
        <f t="shared" si="28"/>
        <v>32641231.140000001</v>
      </c>
      <c r="V306" s="185" t="s">
        <v>311</v>
      </c>
      <c r="W306" s="185">
        <v>0</v>
      </c>
      <c r="X306" s="185">
        <f>242629.82+15567.51+32732.28</f>
        <v>290929.61</v>
      </c>
      <c r="Y306" s="187">
        <f>42817.03+2747.21+5776.27</f>
        <v>51340.509999999995</v>
      </c>
      <c r="AA306" s="75"/>
      <c r="AB306" s="75"/>
      <c r="AC306" s="75"/>
      <c r="AD306" s="75"/>
      <c r="AE306" s="75"/>
    </row>
    <row r="307" spans="1:95" s="24" customFormat="1" ht="112.5" customHeight="1" x14ac:dyDescent="0.2">
      <c r="A307" s="92">
        <v>130</v>
      </c>
      <c r="B307" s="40" t="s">
        <v>121</v>
      </c>
      <c r="C307" s="40">
        <v>143410</v>
      </c>
      <c r="D307" s="40" t="s">
        <v>809</v>
      </c>
      <c r="E307" s="20" t="s">
        <v>811</v>
      </c>
      <c r="F307" s="21" t="s">
        <v>709</v>
      </c>
      <c r="G307" s="20" t="s">
        <v>814</v>
      </c>
      <c r="H307" s="227">
        <v>44044</v>
      </c>
      <c r="I307" s="227">
        <v>44926</v>
      </c>
      <c r="J307" s="21" t="s">
        <v>111</v>
      </c>
      <c r="K307" s="21" t="s">
        <v>316</v>
      </c>
      <c r="L307" s="21" t="s">
        <v>455</v>
      </c>
      <c r="M307" s="21" t="s">
        <v>455</v>
      </c>
      <c r="N307" s="21" t="s">
        <v>112</v>
      </c>
      <c r="O307" s="21">
        <v>121</v>
      </c>
      <c r="P307" s="185">
        <v>36150706.579999998</v>
      </c>
      <c r="Q307" s="185">
        <v>5429690.8600000003</v>
      </c>
      <c r="R307" s="185">
        <v>949845.56</v>
      </c>
      <c r="S307" s="185">
        <v>0</v>
      </c>
      <c r="T307" s="185">
        <v>247620.02</v>
      </c>
      <c r="U307" s="185">
        <f t="shared" si="28"/>
        <v>42777863.020000003</v>
      </c>
      <c r="V307" s="185" t="s">
        <v>311</v>
      </c>
      <c r="W307" s="185">
        <v>0</v>
      </c>
      <c r="X307" s="185">
        <f>344061.44+30363.96+19526.36</f>
        <v>393951.76</v>
      </c>
      <c r="Y307" s="187">
        <f>60716.72+4643.9+2986.39</f>
        <v>68347.010000000009</v>
      </c>
      <c r="AA307" s="75"/>
      <c r="AB307" s="75"/>
      <c r="AC307" s="75"/>
      <c r="AD307" s="75"/>
      <c r="AE307" s="75"/>
    </row>
    <row r="308" spans="1:95" s="24" customFormat="1" ht="112.5" customHeight="1" x14ac:dyDescent="0.2">
      <c r="A308" s="92">
        <v>131</v>
      </c>
      <c r="B308" s="40" t="s">
        <v>121</v>
      </c>
      <c r="C308" s="40">
        <v>146275</v>
      </c>
      <c r="D308" s="40" t="s">
        <v>810</v>
      </c>
      <c r="E308" s="20" t="s">
        <v>812</v>
      </c>
      <c r="F308" s="21" t="s">
        <v>813</v>
      </c>
      <c r="G308" s="20" t="s">
        <v>815</v>
      </c>
      <c r="H308" s="227">
        <v>43705</v>
      </c>
      <c r="I308" s="227">
        <v>44926</v>
      </c>
      <c r="J308" s="21" t="s">
        <v>111</v>
      </c>
      <c r="K308" s="21" t="s">
        <v>316</v>
      </c>
      <c r="L308" s="21" t="s">
        <v>455</v>
      </c>
      <c r="M308" s="21" t="s">
        <v>455</v>
      </c>
      <c r="N308" s="21" t="s">
        <v>112</v>
      </c>
      <c r="O308" s="21">
        <v>121</v>
      </c>
      <c r="P308" s="185">
        <v>30353749.440000001</v>
      </c>
      <c r="Q308" s="185">
        <v>4556739.0999999996</v>
      </c>
      <c r="R308" s="185">
        <v>799804.82</v>
      </c>
      <c r="S308" s="185">
        <v>0</v>
      </c>
      <c r="T308" s="185">
        <v>7475282.7000000002</v>
      </c>
      <c r="U308" s="185">
        <f t="shared" si="28"/>
        <v>43185576.060000002</v>
      </c>
      <c r="V308" s="185" t="s">
        <v>311</v>
      </c>
      <c r="W308" s="185">
        <v>0</v>
      </c>
      <c r="X308" s="185">
        <f>1225703.91+62987.64+24638.95</f>
        <v>1313330.4999999998</v>
      </c>
      <c r="Y308" s="187">
        <f>216300.68+9633.41+3768.31</f>
        <v>229702.39999999999</v>
      </c>
      <c r="AA308" s="75"/>
      <c r="AB308" s="75"/>
      <c r="AC308" s="75"/>
      <c r="AD308" s="75"/>
      <c r="AE308" s="75"/>
    </row>
    <row r="309" spans="1:95" s="70" customFormat="1" ht="51" x14ac:dyDescent="0.2">
      <c r="A309" s="92">
        <v>132</v>
      </c>
      <c r="B309" s="40" t="s">
        <v>121</v>
      </c>
      <c r="C309" s="40">
        <v>143538</v>
      </c>
      <c r="D309" s="40" t="s">
        <v>823</v>
      </c>
      <c r="E309" s="20" t="s">
        <v>824</v>
      </c>
      <c r="F309" s="21" t="s">
        <v>481</v>
      </c>
      <c r="G309" s="20" t="s">
        <v>825</v>
      </c>
      <c r="H309" s="227">
        <v>44013</v>
      </c>
      <c r="I309" s="227">
        <v>44926</v>
      </c>
      <c r="J309" s="21" t="s">
        <v>111</v>
      </c>
      <c r="K309" s="21" t="s">
        <v>316</v>
      </c>
      <c r="L309" s="21" t="s">
        <v>455</v>
      </c>
      <c r="M309" s="21" t="s">
        <v>455</v>
      </c>
      <c r="N309" s="21" t="s">
        <v>112</v>
      </c>
      <c r="O309" s="21">
        <v>121</v>
      </c>
      <c r="P309" s="185">
        <v>20256546.760000002</v>
      </c>
      <c r="Q309" s="185">
        <v>3113848.07</v>
      </c>
      <c r="R309" s="185">
        <v>460836.6</v>
      </c>
      <c r="S309" s="185">
        <v>0</v>
      </c>
      <c r="T309" s="185">
        <v>1248999.1200000001</v>
      </c>
      <c r="U309" s="185">
        <f t="shared" si="28"/>
        <v>25080230.550000004</v>
      </c>
      <c r="V309" s="185" t="s">
        <v>311</v>
      </c>
      <c r="W309" s="185">
        <v>0</v>
      </c>
      <c r="X309" s="185">
        <f>254699.35+25639.82+676192.81</f>
        <v>956531.98</v>
      </c>
      <c r="Y309" s="187">
        <f>44946.95+4524.68+103417.72</f>
        <v>152889.35</v>
      </c>
      <c r="Z309" s="24"/>
      <c r="AA309" s="75"/>
      <c r="AB309" s="75"/>
      <c r="AC309" s="75"/>
      <c r="AD309" s="75"/>
      <c r="AE309" s="75"/>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82"/>
    </row>
    <row r="310" spans="1:95" s="24" customFormat="1" ht="112.5" customHeight="1" x14ac:dyDescent="0.2">
      <c r="A310" s="92">
        <v>132</v>
      </c>
      <c r="B310" s="40" t="s">
        <v>121</v>
      </c>
      <c r="C310" s="40">
        <v>143479</v>
      </c>
      <c r="D310" s="40" t="s">
        <v>816</v>
      </c>
      <c r="E310" s="20" t="s">
        <v>818</v>
      </c>
      <c r="F310" s="21" t="s">
        <v>820</v>
      </c>
      <c r="G310" s="23" t="s">
        <v>821</v>
      </c>
      <c r="H310" s="227">
        <v>44013</v>
      </c>
      <c r="I310" s="227">
        <v>44773</v>
      </c>
      <c r="J310" s="21" t="s">
        <v>111</v>
      </c>
      <c r="K310" s="21" t="s">
        <v>316</v>
      </c>
      <c r="L310" s="21" t="s">
        <v>256</v>
      </c>
      <c r="M310" s="21" t="s">
        <v>256</v>
      </c>
      <c r="N310" s="21" t="s">
        <v>112</v>
      </c>
      <c r="O310" s="21">
        <v>121</v>
      </c>
      <c r="P310" s="185">
        <v>12337300.73</v>
      </c>
      <c r="Q310" s="185">
        <v>1707062.33</v>
      </c>
      <c r="R310" s="185">
        <v>470108.39</v>
      </c>
      <c r="S310" s="185">
        <v>0</v>
      </c>
      <c r="T310" s="185">
        <v>0</v>
      </c>
      <c r="U310" s="185">
        <f t="shared" si="28"/>
        <v>14514471.450000001</v>
      </c>
      <c r="V310" s="185" t="s">
        <v>311</v>
      </c>
      <c r="W310" s="185">
        <v>0</v>
      </c>
      <c r="X310" s="185">
        <v>0</v>
      </c>
      <c r="Y310" s="187">
        <v>0</v>
      </c>
      <c r="AA310" s="75"/>
      <c r="AB310" s="75"/>
      <c r="AC310" s="75"/>
      <c r="AD310" s="75"/>
      <c r="AE310" s="75"/>
    </row>
    <row r="311" spans="1:95" s="24" customFormat="1" ht="112.5" customHeight="1" thickBot="1" x14ac:dyDescent="0.25">
      <c r="A311" s="94">
        <v>133</v>
      </c>
      <c r="B311" s="62" t="s">
        <v>121</v>
      </c>
      <c r="C311" s="62">
        <v>143478</v>
      </c>
      <c r="D311" s="62" t="s">
        <v>817</v>
      </c>
      <c r="E311" s="30" t="s">
        <v>819</v>
      </c>
      <c r="F311" s="22" t="s">
        <v>820</v>
      </c>
      <c r="G311" s="15" t="s">
        <v>822</v>
      </c>
      <c r="H311" s="225">
        <v>44013</v>
      </c>
      <c r="I311" s="225">
        <v>44773</v>
      </c>
      <c r="J311" s="22" t="s">
        <v>111</v>
      </c>
      <c r="K311" s="22" t="s">
        <v>316</v>
      </c>
      <c r="L311" s="22" t="s">
        <v>256</v>
      </c>
      <c r="M311" s="22" t="s">
        <v>256</v>
      </c>
      <c r="N311" s="22" t="s">
        <v>112</v>
      </c>
      <c r="O311" s="22">
        <v>121</v>
      </c>
      <c r="P311" s="177">
        <v>20442956.199999999</v>
      </c>
      <c r="Q311" s="177">
        <v>2255632.9300000002</v>
      </c>
      <c r="R311" s="177">
        <v>1351947.56</v>
      </c>
      <c r="S311" s="177">
        <v>0</v>
      </c>
      <c r="T311" s="177">
        <v>2421010.2799999998</v>
      </c>
      <c r="U311" s="177">
        <f t="shared" si="28"/>
        <v>26471546.969999999</v>
      </c>
      <c r="V311" s="177" t="s">
        <v>311</v>
      </c>
      <c r="W311" s="177">
        <v>0</v>
      </c>
      <c r="X311" s="177">
        <v>0</v>
      </c>
      <c r="Y311" s="183">
        <v>0</v>
      </c>
      <c r="AA311" s="75"/>
      <c r="AB311" s="75"/>
      <c r="AC311" s="75"/>
      <c r="AD311" s="75"/>
      <c r="AE311" s="75"/>
    </row>
    <row r="312" spans="1:95" s="104" customFormat="1" ht="26.25" customHeight="1" thickBot="1" x14ac:dyDescent="0.25">
      <c r="A312" s="111" t="str">
        <f>[1]Sheet1!$A$280</f>
        <v>TOTAL PROIECTE CU ACOPERIRE NAŢIONALĂ</v>
      </c>
      <c r="B312" s="112"/>
      <c r="C312" s="112"/>
      <c r="D312" s="112"/>
      <c r="E312" s="112"/>
      <c r="F312" s="112"/>
      <c r="G312" s="112"/>
      <c r="H312" s="112"/>
      <c r="I312" s="112"/>
      <c r="J312" s="112"/>
      <c r="K312" s="112"/>
      <c r="L312" s="112"/>
      <c r="M312" s="112"/>
      <c r="N312" s="112"/>
      <c r="O312" s="114"/>
      <c r="P312" s="217">
        <f>SUM(P178:P311)</f>
        <v>1620550882.4700003</v>
      </c>
      <c r="Q312" s="217">
        <f t="shared" ref="Q312:Y312" si="29">SUM(Q178:Q311)</f>
        <v>55582841.020000003</v>
      </c>
      <c r="R312" s="217">
        <f t="shared" si="29"/>
        <v>235296891.51999995</v>
      </c>
      <c r="S312" s="217">
        <f t="shared" si="29"/>
        <v>653867.28</v>
      </c>
      <c r="T312" s="217">
        <f t="shared" si="29"/>
        <v>62534332.869999997</v>
      </c>
      <c r="U312" s="217">
        <f t="shared" si="29"/>
        <v>1974618815.1599994</v>
      </c>
      <c r="V312" s="217"/>
      <c r="W312" s="217"/>
      <c r="X312" s="217">
        <f t="shared" si="29"/>
        <v>1015569114.1800003</v>
      </c>
      <c r="Y312" s="217">
        <f t="shared" si="29"/>
        <v>7917674.9900000021</v>
      </c>
      <c r="Z312" s="65"/>
      <c r="AA312" s="75"/>
      <c r="AB312" s="75"/>
      <c r="AC312" s="75"/>
      <c r="AD312" s="75"/>
      <c r="AE312" s="75"/>
      <c r="AF312" s="65"/>
      <c r="AG312" s="65"/>
      <c r="AH312" s="65"/>
      <c r="AI312" s="65"/>
      <c r="AJ312" s="65"/>
      <c r="AK312" s="65"/>
      <c r="AL312" s="65"/>
      <c r="AM312" s="65"/>
      <c r="AN312" s="65"/>
      <c r="AO312" s="65"/>
      <c r="AP312" s="65"/>
      <c r="AQ312" s="65"/>
      <c r="AR312" s="65"/>
      <c r="AS312" s="65"/>
      <c r="AT312" s="65"/>
      <c r="AU312" s="65"/>
      <c r="AV312" s="65"/>
      <c r="AW312" s="65"/>
      <c r="AX312" s="65"/>
      <c r="AY312" s="65"/>
      <c r="AZ312" s="65"/>
      <c r="BA312" s="65"/>
      <c r="BB312" s="65"/>
      <c r="BC312" s="65"/>
      <c r="BD312" s="65"/>
      <c r="BE312" s="65"/>
      <c r="BF312" s="65"/>
      <c r="BG312" s="65"/>
      <c r="BH312" s="65"/>
      <c r="BI312" s="65"/>
      <c r="BJ312" s="65"/>
      <c r="BK312" s="65"/>
      <c r="BL312" s="65"/>
      <c r="BM312" s="65"/>
      <c r="BN312" s="65"/>
      <c r="BO312" s="65"/>
      <c r="BP312" s="65"/>
      <c r="BQ312" s="65"/>
      <c r="BR312" s="65"/>
      <c r="BS312" s="65"/>
      <c r="BT312" s="65"/>
      <c r="BU312" s="65"/>
      <c r="BV312" s="65"/>
      <c r="BW312" s="65"/>
      <c r="BX312" s="65"/>
      <c r="BY312" s="65"/>
      <c r="BZ312" s="65"/>
      <c r="CA312" s="65"/>
      <c r="CB312" s="65"/>
      <c r="CC312" s="65"/>
      <c r="CD312" s="65"/>
      <c r="CE312" s="65"/>
      <c r="CF312" s="65"/>
      <c r="CG312" s="65"/>
      <c r="CH312" s="65"/>
      <c r="CI312" s="65"/>
      <c r="CJ312" s="65"/>
      <c r="CK312" s="65"/>
      <c r="CL312" s="65"/>
      <c r="CM312" s="65"/>
      <c r="CN312" s="65"/>
      <c r="CO312" s="65"/>
      <c r="CP312" s="65"/>
      <c r="CQ312" s="65"/>
    </row>
    <row r="313" spans="1:95" s="104" customFormat="1" ht="24.75" customHeight="1" thickBot="1" x14ac:dyDescent="0.25">
      <c r="A313" s="111" t="s">
        <v>398</v>
      </c>
      <c r="B313" s="112"/>
      <c r="C313" s="112"/>
      <c r="D313" s="112"/>
      <c r="E313" s="112"/>
      <c r="F313" s="112"/>
      <c r="G313" s="112"/>
      <c r="H313" s="112"/>
      <c r="I313" s="112"/>
      <c r="J313" s="112"/>
      <c r="K313" s="112"/>
      <c r="L313" s="112"/>
      <c r="M313" s="112"/>
      <c r="N313" s="112"/>
      <c r="O313" s="113"/>
      <c r="P313" s="217">
        <f>P19+P22+P25+P28+P32+P36+P40+P44+P56+P48+P78+P128+P163+P312+P159</f>
        <v>1711929214.7000003</v>
      </c>
      <c r="Q313" s="217">
        <f t="shared" ref="Q313:U313" si="30">Q19+Q22+Q25+Q28+Q32+Q36+Q40+Q44+Q56+Q48+Q78+Q128+Q163+Q312+Q159</f>
        <v>59509035.150000006</v>
      </c>
      <c r="R313" s="217">
        <f t="shared" si="30"/>
        <v>247883423.89999995</v>
      </c>
      <c r="S313" s="217">
        <f t="shared" si="30"/>
        <v>817992.77</v>
      </c>
      <c r="T313" s="217">
        <f t="shared" si="30"/>
        <v>62639625.75</v>
      </c>
      <c r="U313" s="217">
        <f t="shared" si="30"/>
        <v>2082779292.2699993</v>
      </c>
      <c r="V313" s="217"/>
      <c r="W313" s="217"/>
      <c r="X313" s="217">
        <f t="shared" ref="X313" si="31">X19+X22+X25+X28+X32+X36+X40+X44+X56+X48+X78+X128+X163+X312+X159</f>
        <v>1103719263.4000003</v>
      </c>
      <c r="Y313" s="217">
        <f t="shared" ref="Y313" si="32">Y19+Y22+Y25+Y28+Y32+Y36+Y40+Y44+Y56+Y48+Y78+Y128+Y163+Y312+Y159</f>
        <v>11843869.120000001</v>
      </c>
      <c r="Z313" s="65"/>
      <c r="AA313" s="75"/>
      <c r="AB313" s="75"/>
      <c r="AC313" s="75"/>
      <c r="AD313" s="75"/>
      <c r="AE313" s="75"/>
      <c r="AF313" s="65"/>
      <c r="AG313" s="65"/>
      <c r="AH313" s="65"/>
      <c r="AI313" s="65"/>
      <c r="AJ313" s="65"/>
      <c r="AK313" s="65"/>
      <c r="AL313" s="65"/>
      <c r="AM313" s="65"/>
      <c r="AN313" s="65"/>
      <c r="AO313" s="65"/>
      <c r="AP313" s="65"/>
      <c r="AQ313" s="65"/>
      <c r="AR313" s="65"/>
      <c r="AS313" s="65"/>
      <c r="AT313" s="65"/>
      <c r="AU313" s="65"/>
      <c r="AV313" s="65"/>
      <c r="AW313" s="65"/>
      <c r="AX313" s="65"/>
      <c r="AY313" s="65"/>
      <c r="AZ313" s="65"/>
      <c r="BA313" s="65"/>
      <c r="BB313" s="65"/>
      <c r="BC313" s="65"/>
      <c r="BD313" s="65"/>
      <c r="BE313" s="65"/>
      <c r="BF313" s="65"/>
      <c r="BG313" s="65"/>
      <c r="BH313" s="65"/>
      <c r="BI313" s="65"/>
      <c r="BJ313" s="65"/>
      <c r="BK313" s="65"/>
      <c r="BL313" s="65"/>
      <c r="BM313" s="65"/>
      <c r="BN313" s="65"/>
      <c r="BO313" s="65"/>
      <c r="BP313" s="65"/>
      <c r="BQ313" s="65"/>
      <c r="BR313" s="65"/>
      <c r="BS313" s="65"/>
      <c r="BT313" s="65"/>
      <c r="BU313" s="65"/>
      <c r="BV313" s="65"/>
      <c r="BW313" s="65"/>
      <c r="BX313" s="65"/>
      <c r="BY313" s="65"/>
      <c r="BZ313" s="65"/>
      <c r="CA313" s="65"/>
      <c r="CB313" s="65"/>
      <c r="CC313" s="65"/>
      <c r="CD313" s="65"/>
      <c r="CE313" s="65"/>
      <c r="CF313" s="65"/>
      <c r="CG313" s="65"/>
      <c r="CH313" s="65"/>
      <c r="CI313" s="65"/>
      <c r="CJ313" s="65"/>
      <c r="CK313" s="65"/>
      <c r="CL313" s="65"/>
      <c r="CM313" s="65"/>
      <c r="CN313" s="65"/>
      <c r="CO313" s="65"/>
      <c r="CP313" s="65"/>
      <c r="CQ313" s="65"/>
    </row>
    <row r="314" spans="1:95" x14ac:dyDescent="0.25">
      <c r="Z314" s="10"/>
      <c r="AA314" s="75"/>
      <c r="AB314" s="75"/>
      <c r="AC314" s="75"/>
      <c r="AD314" s="75"/>
      <c r="AE314" s="75"/>
    </row>
    <row r="315" spans="1:95" s="7" customFormat="1" ht="135.75" customHeight="1" x14ac:dyDescent="0.25">
      <c r="A315" s="131" t="s">
        <v>307</v>
      </c>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6"/>
    </row>
    <row r="318" spans="1:95" x14ac:dyDescent="0.25">
      <c r="P318" s="218"/>
    </row>
  </sheetData>
  <mergeCells count="142">
    <mergeCell ref="A22:O22"/>
    <mergeCell ref="L13:L15"/>
    <mergeCell ref="M13:M15"/>
    <mergeCell ref="N13:N15"/>
    <mergeCell ref="O13:O15"/>
    <mergeCell ref="P13:R13"/>
    <mergeCell ref="U13:U15"/>
    <mergeCell ref="A85:Y85"/>
    <mergeCell ref="E13:E15"/>
    <mergeCell ref="F13:F15"/>
    <mergeCell ref="G13:G15"/>
    <mergeCell ref="H13:H15"/>
    <mergeCell ref="I13:I15"/>
    <mergeCell ref="J13:J15"/>
    <mergeCell ref="K13:K15"/>
    <mergeCell ref="A79:Y79"/>
    <mergeCell ref="A81:O81"/>
    <mergeCell ref="A82:Y82"/>
    <mergeCell ref="A84:O84"/>
    <mergeCell ref="V13:V15"/>
    <mergeCell ref="A41:Y41"/>
    <mergeCell ref="A44:O44"/>
    <mergeCell ref="A45:Y45"/>
    <mergeCell ref="A74:Y74"/>
    <mergeCell ref="A92:Y92"/>
    <mergeCell ref="A104:Y104"/>
    <mergeCell ref="A108:O108"/>
    <mergeCell ref="A109:Y109"/>
    <mergeCell ref="A132:O132"/>
    <mergeCell ref="A117:O117"/>
    <mergeCell ref="A71:Y71"/>
    <mergeCell ref="A73:O73"/>
    <mergeCell ref="A76:Y76"/>
    <mergeCell ref="A75:O75"/>
    <mergeCell ref="A114:Y114"/>
    <mergeCell ref="H10:H12"/>
    <mergeCell ref="I10:I12"/>
    <mergeCell ref="J10:J12"/>
    <mergeCell ref="X10:Y10"/>
    <mergeCell ref="A61:Y61"/>
    <mergeCell ref="A40:O40"/>
    <mergeCell ref="A87:O87"/>
    <mergeCell ref="A88:Y88"/>
    <mergeCell ref="A91:O91"/>
    <mergeCell ref="A63:O63"/>
    <mergeCell ref="A64:Y64"/>
    <mergeCell ref="A66:O66"/>
    <mergeCell ref="A67:Y67"/>
    <mergeCell ref="A70:O70"/>
    <mergeCell ref="W13:W15"/>
    <mergeCell ref="X13:Y13"/>
    <mergeCell ref="P14:Q14"/>
    <mergeCell ref="R14:R15"/>
    <mergeCell ref="S14:S15"/>
    <mergeCell ref="T14:T15"/>
    <mergeCell ref="X14:X15"/>
    <mergeCell ref="Y14:Y15"/>
    <mergeCell ref="A13:A15"/>
    <mergeCell ref="B13:B15"/>
    <mergeCell ref="A137:Y137"/>
    <mergeCell ref="A140:O140"/>
    <mergeCell ref="A141:Y141"/>
    <mergeCell ref="A143:O143"/>
    <mergeCell ref="A126:Y126"/>
    <mergeCell ref="A129:Y129"/>
    <mergeCell ref="A6:Y6"/>
    <mergeCell ref="P10:R10"/>
    <mergeCell ref="U10:U12"/>
    <mergeCell ref="V10:V12"/>
    <mergeCell ref="W10:W12"/>
    <mergeCell ref="P11:Q11"/>
    <mergeCell ref="R11:R12"/>
    <mergeCell ref="A9:U9"/>
    <mergeCell ref="A10:A12"/>
    <mergeCell ref="E10:E12"/>
    <mergeCell ref="F10:F12"/>
    <mergeCell ref="K10:K12"/>
    <mergeCell ref="L10:L12"/>
    <mergeCell ref="M10:M12"/>
    <mergeCell ref="N10:N12"/>
    <mergeCell ref="A7:Y7"/>
    <mergeCell ref="O10:O12"/>
    <mergeCell ref="B10:B12"/>
    <mergeCell ref="A315:Y315"/>
    <mergeCell ref="A177:Y177"/>
    <mergeCell ref="A164:Y164"/>
    <mergeCell ref="A168:O168"/>
    <mergeCell ref="A169:Y169"/>
    <mergeCell ref="A172:O172"/>
    <mergeCell ref="A156:O156"/>
    <mergeCell ref="A157:Y157"/>
    <mergeCell ref="A160:Y160"/>
    <mergeCell ref="A176:O176"/>
    <mergeCell ref="A173:Y173"/>
    <mergeCell ref="X11:X12"/>
    <mergeCell ref="Y11:Y12"/>
    <mergeCell ref="A17:Y17"/>
    <mergeCell ref="A20:Y20"/>
    <mergeCell ref="C10:C12"/>
    <mergeCell ref="C14:D14"/>
    <mergeCell ref="D10:D12"/>
    <mergeCell ref="A113:O113"/>
    <mergeCell ref="A95:O95"/>
    <mergeCell ref="A96:Y96"/>
    <mergeCell ref="A99:O99"/>
    <mergeCell ref="A100:Y100"/>
    <mergeCell ref="A103:O103"/>
    <mergeCell ref="A23:Y23"/>
    <mergeCell ref="A26:Y26"/>
    <mergeCell ref="A28:O28"/>
    <mergeCell ref="A29:Y29"/>
    <mergeCell ref="A33:Y33"/>
    <mergeCell ref="A36:O36"/>
    <mergeCell ref="A37:Y37"/>
    <mergeCell ref="A49:Y49"/>
    <mergeCell ref="A57:Y57"/>
    <mergeCell ref="A60:O60"/>
    <mergeCell ref="G10:G12"/>
    <mergeCell ref="S10:S12"/>
    <mergeCell ref="T10:T12"/>
    <mergeCell ref="A313:O313"/>
    <mergeCell ref="A312:O312"/>
    <mergeCell ref="A19:E19"/>
    <mergeCell ref="A25:F25"/>
    <mergeCell ref="A32:F32"/>
    <mergeCell ref="A48:G48"/>
    <mergeCell ref="A56:G56"/>
    <mergeCell ref="A78:F78"/>
    <mergeCell ref="A128:G128"/>
    <mergeCell ref="A159:G159"/>
    <mergeCell ref="A163:G163"/>
    <mergeCell ref="A144:Y144"/>
    <mergeCell ref="A148:O148"/>
    <mergeCell ref="A149:Y149"/>
    <mergeCell ref="A152:O152"/>
    <mergeCell ref="A153:Y153"/>
    <mergeCell ref="A118:Y118"/>
    <mergeCell ref="A121:O121"/>
    <mergeCell ref="A122:Y122"/>
    <mergeCell ref="A125:O125"/>
    <mergeCell ref="A133:Y133"/>
    <mergeCell ref="A136:O136"/>
  </mergeCells>
  <pageMargins left="0.23622047244094491" right="0.23622047244094491" top="0.15748031496062992" bottom="0.15748031496062992" header="0.11811023622047245" footer="0.31496062992125984"/>
  <pageSetup paperSize="9" scale="6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Claudia Coman</cp:lastModifiedBy>
  <cp:lastPrinted>2019-12-05T12:00:26Z</cp:lastPrinted>
  <dcterms:created xsi:type="dcterms:W3CDTF">2016-07-18T10:59:34Z</dcterms:created>
  <dcterms:modified xsi:type="dcterms:W3CDTF">2022-05-10T14:01:52Z</dcterms:modified>
</cp:coreProperties>
</file>