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tabRatio="601"/>
  </bookViews>
  <sheets>
    <sheet name="Sheet1" sheetId="1" r:id="rId1"/>
  </sheets>
  <definedNames>
    <definedName name="_xlnm._FilterDatabase" localSheetId="0" hidden="1">Sheet1!$A$9:$Y$28</definedName>
    <definedName name="_xlnm.Print_Area" localSheetId="0">Sheet1!$D:$Y</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0" i="1" l="1"/>
  <c r="P290" i="1"/>
  <c r="X281" i="1"/>
  <c r="X234" i="1"/>
  <c r="Y234" i="1"/>
  <c r="X216" i="1"/>
  <c r="X264" i="1"/>
  <c r="X244" i="1"/>
  <c r="X184" i="1"/>
  <c r="X219" i="1"/>
  <c r="X241" i="1"/>
  <c r="X178" i="1"/>
  <c r="X209" i="1"/>
  <c r="X230" i="1"/>
  <c r="X223" i="1"/>
  <c r="X233" i="1"/>
  <c r="X231" i="1"/>
  <c r="X218" i="1"/>
  <c r="X263" i="1"/>
  <c r="X258" i="1"/>
  <c r="X179" i="1"/>
  <c r="X224" i="1"/>
  <c r="X237" i="1"/>
  <c r="X206" i="1"/>
  <c r="X262" i="1"/>
  <c r="T225" i="1"/>
  <c r="R225" i="1"/>
  <c r="P225" i="1"/>
  <c r="R184" i="1"/>
  <c r="P184" i="1"/>
  <c r="R229" i="1"/>
  <c r="P229" i="1"/>
  <c r="R232" i="1"/>
  <c r="P232" i="1"/>
  <c r="T255" i="1"/>
  <c r="R255" i="1"/>
  <c r="P255" i="1"/>
  <c r="R189" i="1"/>
  <c r="P189" i="1"/>
  <c r="P236" i="1"/>
  <c r="R222" i="1"/>
  <c r="P222" i="1"/>
  <c r="R49" i="1"/>
  <c r="P49" i="1"/>
  <c r="R52" i="1"/>
  <c r="P52" i="1"/>
  <c r="R180" i="1"/>
  <c r="P180" i="1"/>
  <c r="P231" i="1"/>
  <c r="U288" i="1"/>
  <c r="T226" i="1"/>
  <c r="R226" i="1"/>
  <c r="P226" i="1"/>
  <c r="R256" i="1"/>
  <c r="P256" i="1"/>
  <c r="R188" i="1"/>
  <c r="P188" i="1"/>
  <c r="R205" i="1"/>
  <c r="P205" i="1"/>
  <c r="X207" i="1"/>
  <c r="X253" i="1"/>
  <c r="X190" i="1"/>
  <c r="X199" i="1"/>
  <c r="X246" i="1"/>
  <c r="X259" i="1"/>
  <c r="X201" i="1"/>
  <c r="X249" i="1"/>
  <c r="X270" i="1"/>
  <c r="X260" i="1"/>
  <c r="X255" i="1"/>
  <c r="X240" i="1"/>
  <c r="T228" i="1"/>
  <c r="R228" i="1"/>
  <c r="P228" i="1"/>
  <c r="R273" i="1"/>
  <c r="P273" i="1"/>
  <c r="T224" i="1"/>
  <c r="R224" i="1"/>
  <c r="P224" i="1"/>
  <c r="T179" i="1"/>
  <c r="R179" i="1"/>
  <c r="P179" i="1"/>
  <c r="T230" i="1"/>
  <c r="R230" i="1"/>
  <c r="P230" i="1"/>
  <c r="U287" i="1"/>
  <c r="X269" i="1"/>
  <c r="X273" i="1"/>
  <c r="X248" i="1"/>
  <c r="X247" i="1"/>
  <c r="X217" i="1"/>
  <c r="X267" i="1"/>
  <c r="X268" i="1"/>
  <c r="U240" i="1"/>
  <c r="Q157" i="1"/>
  <c r="R157" i="1"/>
  <c r="S157" i="1"/>
  <c r="T157" i="1"/>
  <c r="U157" i="1"/>
  <c r="W157" i="1"/>
  <c r="X157" i="1"/>
  <c r="Y157" i="1"/>
  <c r="P157" i="1"/>
  <c r="U239" i="1"/>
  <c r="U242" i="1"/>
  <c r="T197" i="1"/>
  <c r="R197" i="1"/>
  <c r="P197" i="1"/>
  <c r="R199" i="1"/>
  <c r="P199" i="1"/>
  <c r="U199" i="1"/>
  <c r="T219" i="1"/>
  <c r="R219" i="1"/>
  <c r="P219" i="1"/>
  <c r="U275" i="1"/>
  <c r="P208" i="1"/>
  <c r="U208" i="1"/>
  <c r="U286" i="1"/>
  <c r="U285" i="1"/>
  <c r="U284" i="1"/>
  <c r="U283" i="1"/>
  <c r="U197" i="1"/>
  <c r="U219" i="1"/>
  <c r="Y270" i="1"/>
  <c r="X256" i="1"/>
  <c r="X254" i="1"/>
  <c r="Y159" i="1"/>
  <c r="Y161" i="1"/>
  <c r="X159" i="1"/>
  <c r="X161" i="1"/>
  <c r="X225" i="1"/>
  <c r="X22" i="1"/>
  <c r="X180" i="1"/>
  <c r="X181" i="1"/>
  <c r="X185" i="1"/>
  <c r="X186" i="1"/>
  <c r="X187" i="1"/>
  <c r="X189" i="1"/>
  <c r="X197" i="1"/>
  <c r="X213" i="1"/>
  <c r="X214" i="1"/>
  <c r="X222" i="1"/>
  <c r="X228" i="1"/>
  <c r="X229" i="1"/>
  <c r="X232" i="1"/>
  <c r="X236" i="1"/>
  <c r="X238" i="1"/>
  <c r="X239" i="1"/>
  <c r="X242" i="1"/>
  <c r="X243" i="1"/>
  <c r="X245" i="1"/>
  <c r="X250" i="1"/>
  <c r="X251" i="1"/>
  <c r="X266" i="1"/>
  <c r="X23" i="1"/>
  <c r="X20" i="1"/>
  <c r="X16" i="1"/>
  <c r="X17" i="1"/>
  <c r="X28" i="1"/>
  <c r="X30" i="1"/>
  <c r="X34" i="1"/>
  <c r="X38" i="1"/>
  <c r="X42" i="1"/>
  <c r="X46" i="1"/>
  <c r="X49" i="1"/>
  <c r="X52" i="1"/>
  <c r="X53" i="1"/>
  <c r="X79" i="1"/>
  <c r="X82" i="1"/>
  <c r="X85" i="1"/>
  <c r="X89" i="1"/>
  <c r="X76" i="1"/>
  <c r="X93" i="1"/>
  <c r="X106" i="1"/>
  <c r="X111" i="1"/>
  <c r="X125" i="1"/>
  <c r="X126" i="1"/>
  <c r="X146" i="1"/>
  <c r="X166" i="1"/>
  <c r="P178" i="1"/>
  <c r="P182" i="1"/>
  <c r="U182" i="1"/>
  <c r="P186" i="1"/>
  <c r="P190" i="1"/>
  <c r="U190" i="1"/>
  <c r="P191" i="1"/>
  <c r="P200" i="1"/>
  <c r="U200" i="1"/>
  <c r="P201" i="1"/>
  <c r="U201" i="1"/>
  <c r="P213" i="1"/>
  <c r="P216" i="1"/>
  <c r="P234" i="1"/>
  <c r="U234" i="1"/>
  <c r="P235" i="1"/>
  <c r="U235" i="1"/>
  <c r="P237" i="1"/>
  <c r="P238" i="1"/>
  <c r="P243" i="1"/>
  <c r="P244" i="1"/>
  <c r="U244" i="1"/>
  <c r="P245" i="1"/>
  <c r="P246" i="1"/>
  <c r="P250" i="1"/>
  <c r="P251" i="1"/>
  <c r="P253" i="1"/>
  <c r="P254" i="1"/>
  <c r="P259" i="1"/>
  <c r="U259" i="1"/>
  <c r="P266" i="1"/>
  <c r="P272" i="1"/>
  <c r="R243" i="1"/>
  <c r="R254" i="1"/>
  <c r="U281" i="1"/>
  <c r="U282" i="1"/>
  <c r="Y236" i="1"/>
  <c r="Y242" i="1"/>
  <c r="Y239" i="1"/>
  <c r="U280" i="1"/>
  <c r="U52" i="1"/>
  <c r="T237" i="1"/>
  <c r="R237" i="1"/>
  <c r="U237" i="1"/>
  <c r="P54" i="1"/>
  <c r="U279" i="1"/>
  <c r="U278" i="1"/>
  <c r="N278" i="1"/>
  <c r="N279" i="1"/>
  <c r="N280" i="1"/>
  <c r="N281" i="1"/>
  <c r="N282" i="1"/>
  <c r="R186" i="1"/>
  <c r="R235" i="1"/>
  <c r="Q250" i="1"/>
  <c r="Q251" i="1"/>
  <c r="Q245" i="1"/>
  <c r="S234" i="1"/>
  <c r="S289" i="1"/>
  <c r="Q234" i="1"/>
  <c r="R178" i="1"/>
  <c r="U277" i="1"/>
  <c r="Y251" i="1"/>
  <c r="Y250" i="1"/>
  <c r="V276" i="1"/>
  <c r="V277" i="1"/>
  <c r="V278" i="1"/>
  <c r="U276" i="1"/>
  <c r="Y238" i="1"/>
  <c r="R266" i="1"/>
  <c r="Y245" i="1"/>
  <c r="Y22" i="1"/>
  <c r="Y23" i="1"/>
  <c r="T213" i="1"/>
  <c r="R213" i="1"/>
  <c r="T246" i="1"/>
  <c r="R246" i="1"/>
  <c r="T244" i="1"/>
  <c r="R244" i="1"/>
  <c r="U274" i="1"/>
  <c r="Q54" i="1"/>
  <c r="R54" i="1"/>
  <c r="S54" i="1"/>
  <c r="T54" i="1"/>
  <c r="W54" i="1"/>
  <c r="Y54" i="1"/>
  <c r="Q23" i="1"/>
  <c r="R23" i="1"/>
  <c r="S23" i="1"/>
  <c r="T23" i="1"/>
  <c r="V23" i="1"/>
  <c r="W23" i="1"/>
  <c r="P23" i="1"/>
  <c r="W17" i="1"/>
  <c r="Q17" i="1"/>
  <c r="R17" i="1"/>
  <c r="S17" i="1"/>
  <c r="T17" i="1"/>
  <c r="V17" i="1"/>
  <c r="P17" i="1"/>
  <c r="U273" i="1"/>
  <c r="U272" i="1"/>
  <c r="U271" i="1"/>
  <c r="U270" i="1"/>
  <c r="U269" i="1"/>
  <c r="O269" i="1"/>
  <c r="O270" i="1"/>
  <c r="O273" i="1"/>
  <c r="O274" i="1"/>
  <c r="U268" i="1"/>
  <c r="U267" i="1"/>
  <c r="O267" i="1"/>
  <c r="V265" i="1"/>
  <c r="V266" i="1"/>
  <c r="V267" i="1"/>
  <c r="U265" i="1"/>
  <c r="U264" i="1"/>
  <c r="U263" i="1"/>
  <c r="U262" i="1"/>
  <c r="U261" i="1"/>
  <c r="Y16" i="1"/>
  <c r="Y17" i="1"/>
  <c r="Y28" i="1"/>
  <c r="Y30" i="1"/>
  <c r="Y125" i="1"/>
  <c r="Y126" i="1"/>
  <c r="U258" i="1"/>
  <c r="U260" i="1"/>
  <c r="U257" i="1"/>
  <c r="U256" i="1"/>
  <c r="U255" i="1"/>
  <c r="U254" i="1"/>
  <c r="U253" i="1"/>
  <c r="U252" i="1"/>
  <c r="U249" i="1"/>
  <c r="Y20" i="1"/>
  <c r="U247" i="1"/>
  <c r="U248" i="1"/>
  <c r="U241" i="1"/>
  <c r="U243" i="1"/>
  <c r="U238" i="1"/>
  <c r="U236" i="1"/>
  <c r="U233" i="1"/>
  <c r="U232" i="1"/>
  <c r="U231" i="1"/>
  <c r="U230" i="1"/>
  <c r="U229" i="1"/>
  <c r="U228" i="1"/>
  <c r="U227" i="1"/>
  <c r="U226" i="1"/>
  <c r="U225" i="1"/>
  <c r="W166" i="1"/>
  <c r="W161" i="1"/>
  <c r="W146" i="1"/>
  <c r="W126" i="1"/>
  <c r="W111" i="1"/>
  <c r="W106" i="1"/>
  <c r="W93" i="1"/>
  <c r="W89" i="1"/>
  <c r="W85" i="1"/>
  <c r="W82" i="1"/>
  <c r="W79" i="1"/>
  <c r="W76" i="1"/>
  <c r="W46" i="1"/>
  <c r="W42" i="1"/>
  <c r="W38" i="1"/>
  <c r="W34" i="1"/>
  <c r="W30" i="1"/>
  <c r="W20" i="1"/>
  <c r="U183" i="1"/>
  <c r="U53" i="1"/>
  <c r="U181" i="1"/>
  <c r="U26" i="1"/>
  <c r="Y82" i="1"/>
  <c r="Q82" i="1"/>
  <c r="R82" i="1"/>
  <c r="S82" i="1"/>
  <c r="T82" i="1"/>
  <c r="U82" i="1"/>
  <c r="P82" i="1"/>
  <c r="Q126" i="1"/>
  <c r="R126" i="1"/>
  <c r="S126" i="1"/>
  <c r="T126" i="1"/>
  <c r="Q161" i="1"/>
  <c r="R161" i="1"/>
  <c r="S161" i="1"/>
  <c r="T161" i="1"/>
  <c r="Y76" i="1"/>
  <c r="Q76" i="1"/>
  <c r="R76" i="1"/>
  <c r="S76" i="1"/>
  <c r="T76" i="1"/>
  <c r="U20" i="1"/>
  <c r="U221" i="1"/>
  <c r="U222" i="1"/>
  <c r="U223" i="1"/>
  <c r="U224" i="1"/>
  <c r="U218" i="1"/>
  <c r="U220" i="1"/>
  <c r="U215" i="1"/>
  <c r="U216" i="1"/>
  <c r="U217" i="1"/>
  <c r="U212" i="1"/>
  <c r="U214" i="1"/>
  <c r="U209" i="1"/>
  <c r="U210" i="1"/>
  <c r="U211" i="1"/>
  <c r="U207" i="1"/>
  <c r="U205" i="1"/>
  <c r="U206" i="1"/>
  <c r="U202" i="1"/>
  <c r="U203" i="1"/>
  <c r="U204" i="1"/>
  <c r="U198" i="1"/>
  <c r="U195" i="1"/>
  <c r="U196" i="1"/>
  <c r="U193" i="1"/>
  <c r="U194" i="1"/>
  <c r="U191" i="1"/>
  <c r="U192" i="1"/>
  <c r="U188" i="1"/>
  <c r="U189" i="1"/>
  <c r="U187" i="1"/>
  <c r="U185" i="1"/>
  <c r="U184" i="1"/>
  <c r="U159" i="1"/>
  <c r="U161" i="1"/>
  <c r="U125" i="1"/>
  <c r="U126" i="1"/>
  <c r="U75" i="1"/>
  <c r="U76" i="1"/>
  <c r="U180" i="1"/>
  <c r="U51" i="1"/>
  <c r="U50" i="1"/>
  <c r="U48" i="1"/>
  <c r="U44" i="1"/>
  <c r="U46" i="1"/>
  <c r="U28" i="1"/>
  <c r="U30" i="1"/>
  <c r="U178" i="1"/>
  <c r="U22" i="1"/>
  <c r="U23" i="1"/>
  <c r="U177" i="1"/>
  <c r="U16" i="1"/>
  <c r="U17" i="1"/>
  <c r="P30" i="1"/>
  <c r="P20" i="1"/>
  <c r="P126" i="1"/>
  <c r="P161" i="1"/>
  <c r="P76" i="1"/>
  <c r="Y111" i="1"/>
  <c r="Q111" i="1"/>
  <c r="R111" i="1"/>
  <c r="S111" i="1"/>
  <c r="T111" i="1"/>
  <c r="U111" i="1"/>
  <c r="P111" i="1"/>
  <c r="Y106" i="1"/>
  <c r="Q106" i="1"/>
  <c r="R106" i="1"/>
  <c r="S106" i="1"/>
  <c r="T106" i="1"/>
  <c r="U106" i="1"/>
  <c r="P106" i="1"/>
  <c r="Y38" i="1"/>
  <c r="Q38" i="1"/>
  <c r="R38" i="1"/>
  <c r="S38" i="1"/>
  <c r="T38" i="1"/>
  <c r="U38" i="1"/>
  <c r="P38" i="1"/>
  <c r="Y166" i="1"/>
  <c r="Q166" i="1"/>
  <c r="R166" i="1"/>
  <c r="S166" i="1"/>
  <c r="T166" i="1"/>
  <c r="U166" i="1"/>
  <c r="P166" i="1"/>
  <c r="Y146" i="1"/>
  <c r="Q146" i="1"/>
  <c r="R146" i="1"/>
  <c r="S146" i="1"/>
  <c r="T146" i="1"/>
  <c r="U146" i="1"/>
  <c r="P146" i="1"/>
  <c r="Y93" i="1"/>
  <c r="Q93" i="1"/>
  <c r="R93" i="1"/>
  <c r="S93" i="1"/>
  <c r="T93" i="1"/>
  <c r="U93" i="1"/>
  <c r="P93" i="1"/>
  <c r="Y89" i="1"/>
  <c r="Q89" i="1"/>
  <c r="R89" i="1"/>
  <c r="S89" i="1"/>
  <c r="T89" i="1"/>
  <c r="U89" i="1"/>
  <c r="P89" i="1"/>
  <c r="Y85" i="1"/>
  <c r="Q85" i="1"/>
  <c r="R85" i="1"/>
  <c r="S85" i="1"/>
  <c r="T85" i="1"/>
  <c r="U85" i="1"/>
  <c r="P85" i="1"/>
  <c r="Y79" i="1"/>
  <c r="U79" i="1"/>
  <c r="T79" i="1"/>
  <c r="S79" i="1"/>
  <c r="R79" i="1"/>
  <c r="Q79" i="1"/>
  <c r="P79" i="1"/>
  <c r="Y46" i="1"/>
  <c r="T46" i="1"/>
  <c r="S46" i="1"/>
  <c r="R46" i="1"/>
  <c r="Q46" i="1"/>
  <c r="P46" i="1"/>
  <c r="Y42" i="1"/>
  <c r="U42" i="1"/>
  <c r="T42" i="1"/>
  <c r="S42" i="1"/>
  <c r="R42" i="1"/>
  <c r="Q42" i="1"/>
  <c r="P42" i="1"/>
  <c r="Y34" i="1"/>
  <c r="U34" i="1"/>
  <c r="T34" i="1"/>
  <c r="S34" i="1"/>
  <c r="R34" i="1"/>
  <c r="Q34" i="1"/>
  <c r="P34" i="1"/>
  <c r="T30" i="1"/>
  <c r="S30" i="1"/>
  <c r="R30" i="1"/>
  <c r="Q30" i="1"/>
  <c r="T20" i="1"/>
  <c r="S20" i="1"/>
  <c r="R20" i="1"/>
  <c r="Q20" i="1"/>
  <c r="V179" i="1"/>
  <c r="V207" i="1"/>
  <c r="N44" i="1"/>
  <c r="U179" i="1"/>
  <c r="U251" i="1"/>
  <c r="U250" i="1"/>
  <c r="U246" i="1"/>
  <c r="X54" i="1"/>
  <c r="T289" i="1"/>
  <c r="T290" i="1"/>
  <c r="Q289" i="1"/>
  <c r="U245" i="1"/>
  <c r="U186" i="1"/>
  <c r="Y289" i="1"/>
  <c r="Y290" i="1"/>
  <c r="P289" i="1"/>
  <c r="R289" i="1"/>
  <c r="U213" i="1"/>
  <c r="U289" i="1"/>
  <c r="U266" i="1"/>
  <c r="X289" i="1"/>
  <c r="X290" i="1"/>
  <c r="S290" i="1"/>
  <c r="Q290" i="1"/>
  <c r="U49" i="1"/>
  <c r="V208" i="1"/>
  <c r="U54" i="1"/>
  <c r="U290" i="1"/>
  <c r="V209" i="1"/>
</calcChain>
</file>

<file path=xl/comments1.xml><?xml version="1.0" encoding="utf-8"?>
<comments xmlns="http://schemas.openxmlformats.org/spreadsheetml/2006/main">
  <authors>
    <author>Cristina Elena Hodina</author>
  </authors>
  <commentList>
    <comment ref="X234" authorId="0">
      <text>
        <r>
          <rPr>
            <b/>
            <sz val="9"/>
            <color indexed="81"/>
            <rFont val="Tahoma"/>
            <family val="2"/>
          </rPr>
          <t>Cristina Elena Hodina:</t>
        </r>
        <r>
          <rPr>
            <sz val="9"/>
            <color indexed="81"/>
            <rFont val="Tahoma"/>
            <family val="2"/>
          </rPr>
          <t xml:space="preserve">
inclusiv reglaje FEDR/BS</t>
        </r>
      </text>
    </comment>
  </commentList>
</comments>
</file>

<file path=xl/sharedStrings.xml><?xml version="1.0" encoding="utf-8"?>
<sst xmlns="http://schemas.openxmlformats.org/spreadsheetml/2006/main" count="1620" uniqueCount="759">
  <si>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</si>
  <si>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</si>
  <si>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</si>
  <si>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</si>
  <si>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</si>
  <si>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</si>
  <si>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</si>
  <si>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</si>
  <si>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</si>
  <si>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</si>
  <si>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</si>
  <si>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</si>
  <si>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</si>
  <si>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</si>
  <si>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</si>
  <si>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</si>
  <si>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</si>
  <si>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</si>
  <si>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</si>
  <si>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</si>
  <si>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</si>
  <si>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</si>
  <si>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</si>
  <si>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</si>
  <si>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</si>
  <si>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JUDEŢUL ALBA</t>
  </si>
  <si>
    <t>JUDEŢUL ARAD</t>
  </si>
  <si>
    <t>JUDEŢUL VRANCEA</t>
  </si>
  <si>
    <t>TOTAL ALBA</t>
  </si>
  <si>
    <t>TOTAL ARAD</t>
  </si>
  <si>
    <t>TOTAL VRANCEA</t>
  </si>
  <si>
    <t>PROIECTE CU ACOPERIRE NAŢIONALĂ (DACĂ ESTE CAZUL)</t>
  </si>
  <si>
    <t>TOTAL PROIECTE CU ACOPERIRE NAŢIONALĂ</t>
  </si>
  <si>
    <t>JUDEŢUL ARGEȘ</t>
  </si>
  <si>
    <t>JUDEŢUL BACĂU</t>
  </si>
  <si>
    <t>JUDEŢUL BIHOR</t>
  </si>
  <si>
    <t>JUDEŢUL BISTRIȚA-NĂSĂUD</t>
  </si>
  <si>
    <t>JUDEŢUL BOTOȘANI</t>
  </si>
  <si>
    <t>JUDEŢUL BRAȘOV</t>
  </si>
  <si>
    <t>JUDEŢUL BRĂILA</t>
  </si>
  <si>
    <t>JUDEŢUL BUCUREȘTI</t>
  </si>
  <si>
    <t>JUDEŢUL BUZĂU</t>
  </si>
  <si>
    <t>JUDEŢUL CARAȘ-SEVERIN</t>
  </si>
  <si>
    <t>JUDEŢUL CLUJ</t>
  </si>
  <si>
    <t>JUDEŢUL CONSTANȚA</t>
  </si>
  <si>
    <t>JUDEŢUL COVASNA</t>
  </si>
  <si>
    <t>JUDEŢUL CĂLĂRAȘI</t>
  </si>
  <si>
    <t>JUDEŢUL DOLJ</t>
  </si>
  <si>
    <t>JUDEŢUL DÂMBOVIȚA</t>
  </si>
  <si>
    <t>JUDEŢUL GALAȚI</t>
  </si>
  <si>
    <t>JUDEŢUL GIURGIU</t>
  </si>
  <si>
    <t>JUDEŢUL GORJ</t>
  </si>
  <si>
    <t>JUDEŢUL HARGHITA</t>
  </si>
  <si>
    <t>JUDEŢUL HUNEDOARA</t>
  </si>
  <si>
    <t>JUDEŢUL IALOMIȚA</t>
  </si>
  <si>
    <t>JUDEŢUL IAȘI</t>
  </si>
  <si>
    <t>JUDEŢUL ILFOV</t>
  </si>
  <si>
    <t>JUDEŢUL MARAMUREȘ</t>
  </si>
  <si>
    <t>JUDEŢUL MEHEDINȚI</t>
  </si>
  <si>
    <t>JUDEŢUL MUREȘ</t>
  </si>
  <si>
    <t>JUDEŢUL NEAMȚ</t>
  </si>
  <si>
    <t>JUDEŢUL OLT</t>
  </si>
  <si>
    <t>JUDEŢUL PRAHOVA</t>
  </si>
  <si>
    <t>JUDEŢUL SATU MARE</t>
  </si>
  <si>
    <t>JUDEŢUL SIBIU</t>
  </si>
  <si>
    <t>JUDEŢUL SUCEAVA</t>
  </si>
  <si>
    <t>JUDEŢUL SĂLAJ</t>
  </si>
  <si>
    <t>JUDEŢUL TELEORMAN</t>
  </si>
  <si>
    <t>JUDEŢUL TIMIȘ</t>
  </si>
  <si>
    <t>JUDEŢUL TULCEA</t>
  </si>
  <si>
    <t>JUDEŢUL VASLUI</t>
  </si>
  <si>
    <t>JUDEŢUL VÂLCEA</t>
  </si>
  <si>
    <t>TOTAL VÂLCEA</t>
  </si>
  <si>
    <t>TOTAL ARGEȘ</t>
  </si>
  <si>
    <t>TOTAL BACĂU</t>
  </si>
  <si>
    <t>TOTAL BIHOR</t>
  </si>
  <si>
    <t>TOTAL BISTRIȚA-NĂSĂUD</t>
  </si>
  <si>
    <t>TOTAL BOTOȘANI</t>
  </si>
  <si>
    <t>TOTAL BRAȘOV</t>
  </si>
  <si>
    <t>TOTAL BRĂILA</t>
  </si>
  <si>
    <t>TOTAL BUCUREȘTI</t>
  </si>
  <si>
    <t>TOTAL BUZĂU</t>
  </si>
  <si>
    <t>TOTAL CARAȘ-SEVERIN</t>
  </si>
  <si>
    <t>TOTAL  CLUJ</t>
  </si>
  <si>
    <t>TOTAL CONSTANȚA</t>
  </si>
  <si>
    <t>TOTAL COVASNA</t>
  </si>
  <si>
    <t>TOTAL CĂLĂRAȘI</t>
  </si>
  <si>
    <t>TOTAL DOLJ</t>
  </si>
  <si>
    <t>TOTAL DÂMBOVIȚA</t>
  </si>
  <si>
    <t>TOTAL GALAȚI</t>
  </si>
  <si>
    <t>TOTAL GIURGIU</t>
  </si>
  <si>
    <t>TOTAL GORJ</t>
  </si>
  <si>
    <t>TOTAL HARGHITA</t>
  </si>
  <si>
    <t>TOTAL HUNEDOARA</t>
  </si>
  <si>
    <t>TOTAL IALOMIȚA</t>
  </si>
  <si>
    <t>TOTAL IAȘI</t>
  </si>
  <si>
    <t>TOTAL ILFOV</t>
  </si>
  <si>
    <t>TOTAL MARAMUREȘ</t>
  </si>
  <si>
    <t>TOTAL MEHEDINȚI</t>
  </si>
  <si>
    <t>TOTAL MUREȘ</t>
  </si>
  <si>
    <t>TOTAL NEAMȚ</t>
  </si>
  <si>
    <t>TOTAL OLT</t>
  </si>
  <si>
    <t>TOTAL PRAHOVA</t>
  </si>
  <si>
    <t>TOTAL SATU MARE</t>
  </si>
  <si>
    <t>TOTAL SIBIU</t>
  </si>
  <si>
    <t>TOTAL SUCEAVA</t>
  </si>
  <si>
    <t>TOTAL SĂLAJ</t>
  </si>
  <si>
    <t>TOTAL TELEORMAN</t>
  </si>
  <si>
    <t>TOTAL TIMIȘ</t>
  </si>
  <si>
    <t>TOTAL TULCEA</t>
  </si>
  <si>
    <t>TOTAL VASLUI</t>
  </si>
  <si>
    <t>LISTA PROIECTELOR CONTRACTATE - PROGRAMUL OPERATIONAL ASISTENȚĂ TEHNICĂ 2014-2020</t>
  </si>
  <si>
    <t>Sprijin pentru identificarea, gestionarea şi implementarea proiectelor Ministerului Comunicaţiilor şi pentru Societatea Informaţională         
finanţate în cadrul axei 2 POC 2014 - 2020</t>
  </si>
  <si>
    <t>Ministerul Comunicațiilor și Societății Informaționale</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</si>
  <si>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</si>
  <si>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85% (RMPD) 
80% (RMD)</t>
  </si>
  <si>
    <t>autoritate publică centrală</t>
  </si>
  <si>
    <t>în implementare</t>
  </si>
  <si>
    <t>AP 1/ 1.1.1</t>
  </si>
  <si>
    <t>Instruire în ceea ce privește aplicarea legislației în domeniul ajutorului de stat pentru beneficiarii FESI de la nivel local</t>
  </si>
  <si>
    <t>Agenția Națională a Funcționarilor Publici</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</si>
  <si>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</si>
  <si>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Comunicarea fondurilor ESI in noua perioada de programare</t>
  </si>
  <si>
    <t>Ministerul Fondurilor Europene prin Serviciul Comunicare Instrumente Structurale</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</si>
  <si>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</si>
  <si>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AP 1/1.2.1</t>
  </si>
  <si>
    <t>AP1/1.1.1</t>
  </si>
  <si>
    <t>Ministerul Afacerilor Interne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</si>
  <si>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</si>
  <si>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AP 1/1.1.1</t>
  </si>
  <si>
    <t>Asistență tehnică pentru asigurarea funcționării mecanismului ITI din perspectiva SIDD (DD) și a structurii ADI-ITI Delta Dunării la nivel executiv și partenerial</t>
  </si>
  <si>
    <t>Asociația pentru Dezvoltare Intercomunitară – Instrumentul Teritorial Integrat Delta Dunării</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</si>
  <si>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</si>
  <si>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Tulcea</t>
  </si>
  <si>
    <t>Babadag, Isaccea, Măcin și Sulina</t>
  </si>
  <si>
    <t>asociație de dezvoltare intercomunitară</t>
  </si>
  <si>
    <t>Instruire orizontală pentru potențialii beneficiari și beneficiarii FESI, precum și instruire specifică pentru beneficiarii POAT</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</si>
  <si>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</si>
  <si>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AP1/1.2.1</t>
  </si>
  <si>
    <t>Sprijin pentru realizarea evenimentelor din Planul de Comunicare pentru IS 2014-2020</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</si>
  <si>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</si>
  <si>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</si>
  <si>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Ministerul Fondurilor Europene prin Autoritatea de Management pentru Programul Operațional Infrastructură Mare</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</si>
  <si>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</si>
  <si>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Campanii de Comunicare pentru promovarea fondurilor ESI 2014-2020</t>
  </si>
  <si>
    <t xml:space="preserve">Ministerul Fondurilor Europene prin Serviciul Comunicare Instrumente Structurale </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</si>
  <si>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</si>
  <si>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</si>
  <si>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</si>
  <si>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AP 2/2.1.2</t>
  </si>
  <si>
    <t>Implementarea Planului de Evaluare a Programului Operațional Asistență Tehnică 2014-2020</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</si>
  <si>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</si>
  <si>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AP 2/2.1.1</t>
  </si>
  <si>
    <t>Sprijin pentru evaluarea proiectelor primite în cadrul Axei prioritare 2 POC 2014-2020 (TIC)</t>
  </si>
  <si>
    <t>Ministerul Comunicațiilor și Societății Informaționale prin Organismul Intermediar pentru Promovarea Societății Informaționale</t>
  </si>
  <si>
    <t>Obiectivul  proiectului  constă  în  asigurarea  expertizei  în  domeniul  evaluării  proiectelor depuse în perioada 2015 -2018 -Axa prioritară2 POC 2014 -2020 (TIC).</t>
  </si>
  <si>
    <t>Audit tehnic al lucrărilor aferente obiectului de investiții „Reabilitarea secțiunilor de cale ferată București Nord-București Băneasa și Fetești-Constanța”</t>
  </si>
  <si>
    <t>Ministerul Fondurilor Europene prin Autoritatea de Management pentru Programul Operațional Sectorial Transport</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</si>
  <si>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</si>
  <si>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Implementarea Planului de Evaluare a Programului Operațional Competitivitate 2014-2020</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</si>
  <si>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</si>
  <si>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Sprijin din punct de vedere logistic în ceea ce privește desfășurarea activităților specifice Organismului Intermediar pentru Promovarea Societății Informaționale</t>
  </si>
  <si>
    <t>Obiectivul proiectului este de a asigura condiţiile logistice necesare OIPSI pentru implementarea Axei Prioritare 2 aferentă POC pentru închiderea POS CCE, precum şi o utilizare eficientă atât a FEDR cât şi a resurselor naţionale.</t>
  </si>
  <si>
    <t>Sprijin pentru efectuarea vizitelor la fața locului în vederea închiderii perioadei de programare 2007-2013 aferentă Axei Prioritare 4 din cadrul POS CCE</t>
  </si>
  <si>
    <t>Ministerul Energiei</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</si>
  <si>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</si>
  <si>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Asistență tehnică pentru susținerea capacității de evaluare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</si>
  <si>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</si>
  <si>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AP2/2.1.2</t>
  </si>
  <si>
    <t>Implementare Planului de Evaluare a Acordului de Parteneriat</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</si>
  <si>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</si>
  <si>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Sprijinirea Autorității de Certificare și Plată în vederea gestionării eficiente a Fondurilor Europene Structurale și de Investiții</t>
  </si>
  <si>
    <t>Ministerul Finanțelor Publice prin Autoritatea de Certificare și Plată</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</si>
  <si>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</si>
  <si>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AP2/2.1.1</t>
  </si>
  <si>
    <t>Sprijin pentru MInisterul Fondurilor Europene, inclusiv AM POAT, AM POC, AM/OIR POIM, prin asigurarea cheltuielilor cu relocarea și a spațiului de arhivă (I)</t>
  </si>
  <si>
    <t>Ministerul Fondurilor Europene</t>
  </si>
  <si>
    <t>Obiectivul proiectului îl constituie sprijinirea MFE pentru derularea activităților specifice, prin asigurarea cheltuielilor aferente relocărilor pe parcursul anului 2016 și închirierierea unui spațiu de arhivă pentru perioada aprilie-decembrie 2016.</t>
  </si>
  <si>
    <t>Sprijin pentru MDRAPFE inclusiv AM POC, AM/OIR POSM/DRI POIM, prin asigurarea diverselor cheltuieli cu autoturismele (I)</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</si>
  <si>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</si>
  <si>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Sprijin acordat Organismului Intermediar POS CCE din cadrul ADR Nord-Est în perioada 01.01.2016-31.12.2018 în procesul de închidere a POS CCE 2007-2013 în Regiunea Nord-Est</t>
  </si>
  <si>
    <t>Agenția pentru Dezvoltare Regională Nord-Est</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</si>
  <si>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</si>
  <si>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Nord-Est</t>
  </si>
  <si>
    <t>Neamt</t>
  </si>
  <si>
    <t>Piatra Neamt</t>
  </si>
  <si>
    <t>ONG de utilitate publică</t>
  </si>
  <si>
    <t>Servicii pentru sprijinirea finalizarii procesului de desemnare in contextul finalizarii cerintelor pentru aplicatiile informatice</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</si>
  <si>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</si>
  <si>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Buc-Ilfov</t>
  </si>
  <si>
    <t>Bucuresti</t>
  </si>
  <si>
    <t>Sprijin pentru realizarea activităților de monitorizare proiecte, management financiar, verificare achiziții pentru perioada 2014-200, cât și pentru închiderea 2007-2013</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</si>
  <si>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</si>
  <si>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Sprijin acordat ADR SV Oltenia (Organism Intermediar POS CCE) în perioada 2016-2018 în procesul de închidere a POS CCE 2007-2013 la nivelul regiunii SV Oltenia</t>
  </si>
  <si>
    <t>Agenția pentru Dezvoltare Regională Sud-Vest Oltenia</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</si>
  <si>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</si>
  <si>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SV Oltenia</t>
  </si>
  <si>
    <t>Dolj</t>
  </si>
  <si>
    <t>Sprijin financiar pentru ADR Nord-Vest în vederea îndeplinirii activităților delegate privind implementarea POSCCE în perioada 2016-2018</t>
  </si>
  <si>
    <t>Agenția pentru Dezvoltare Regională Nord-Vest</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</si>
  <si>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</si>
  <si>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NV</t>
  </si>
  <si>
    <t>Bihor</t>
  </si>
  <si>
    <t>Sprijin pentru eficientizarea îndeplinirii atribuțiilor OI Cercetare privind activitatea de evaluare a proiectelor primite în cadrul Axei prioritare 1 POC și pentru activitatea de verificarea administrativă</t>
  </si>
  <si>
    <t>Ministerul Cercetării și Inovării prin Organismul Intermediar pentru Cercetare</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</si>
  <si>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</si>
  <si>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Sprijin acordat ADR Sud Muntenia / Organismul Intermediar POS CCE pentru managementul, implementarea, monitorizarea și controlul POS CCE în perioada 2016-2018</t>
  </si>
  <si>
    <t>Agenția pentru Dezvoltare Regională Sud Muntenia</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</si>
  <si>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</si>
  <si>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Sud Muntenia</t>
  </si>
  <si>
    <t>Arges</t>
  </si>
  <si>
    <t>Sprijin logistic și salarial acordat în perioada 01.01.2016-31.12.2018 pentru ADR Centru în calitate de OI POS CCE în procesul de închidere a POS CCE 2007-2013</t>
  </si>
  <si>
    <t>Agenția pentru Dezvoltare Regională Centru</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</si>
  <si>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</si>
  <si>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Centru</t>
  </si>
  <si>
    <t>Alba</t>
  </si>
  <si>
    <t xml:space="preserve">Sprijinirea  ADR SE in calitate de OI POS CCE, in perioada 2016-2018, pentru monitorizarea proiectelor finantate in cadrul POSCCE 2007-2013 </t>
  </si>
  <si>
    <t>Agenția pentru Dezvoltare Regională Sud Est</t>
  </si>
  <si>
    <t>Obiectivul general al proiectului constă în asigurarea unui management și al unui control eficient al intervențiilor finanțate din Fondurile Structurale prin sprijinul acordat ADR SE, în calitate de OI POSCCE, în perioada 2016-2018.</t>
  </si>
  <si>
    <t>SE</t>
  </si>
  <si>
    <t xml:space="preserve">Brăila </t>
  </si>
  <si>
    <t>Asigurarea de servicii de asistență tehnică din partea experților BEI pentru gestionarea POIM 2014 - 2020 la nivelul AM POIM și a OI Transport și pentru închiderea POS Mediu și POS Transport 2007-2013 la nivelul AM POS Transport și AM POS Mediu</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</si>
  <si>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</si>
  <si>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Sprijin acordat Organismului Intermediar din cadrul ADR Vest în perioada 01.01.2016-31.12.2018 pentru managementul, implementarea, monitorizarea și controlul POS CCE în Regiunea Vest, conform Acordului de delegare semnat cu AM POS CCE</t>
  </si>
  <si>
    <t>Agenția pentru Dezvoltare Regională Vest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</si>
  <si>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</si>
  <si>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VEST</t>
  </si>
  <si>
    <t>AP 2/ 2.1.1</t>
  </si>
  <si>
    <t>Sprjiin pentru MFE/MDRAPFE în coordonarea FESI și gestionarea POC, POIM și POAT 2014-2020 prin asigurarea cheltuielilor cu deplasările</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</si>
  <si>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</si>
  <si>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AP 2/ 2.1.2</t>
  </si>
  <si>
    <t>Implementarea Planului de Evaluare a pentru POIM 2014-2020</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</si>
  <si>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</si>
  <si>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Sprijin pentru MDRAPFE/MFE, inclusiv AM POAT, AM POC, AM/OIR POIM, prin asigurarea suportului logistic necesar desfășurării activității zilnice (I)</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</si>
  <si>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</si>
  <si>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Pitești</t>
  </si>
  <si>
    <t>Buc Ilfov</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</si>
  <si>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</si>
  <si>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</si>
  <si>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Sprijin pentru efectuarea vizitelorde monitorizare post-implementare a proiectelor finantate din Axa Prioritara 4 a POSCCE II</t>
  </si>
  <si>
    <t>Ministerul Energiei prin Organismul Intermediar pentru Energie</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</si>
  <si>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</si>
  <si>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AP 3/3.1.1</t>
  </si>
  <si>
    <t>Formarea profesională a personalului autorităților competente pentru protecția mediului privind evaluarea impactului asupra mediului și evaluarea de mediu pentru perioada 2014-2020</t>
  </si>
  <si>
    <t>Ministerul Mediului</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</si>
  <si>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</si>
  <si>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Sprijin pentru finanţarea cheltuielilor de personal efectuate în perioada decembrie 2015 – decembrie 2017, 
pentru personalul OIPSI implicat în gestionarea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</si>
  <si>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</si>
  <si>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AP 3/3.1.2</t>
  </si>
  <si>
    <t>Sprijin pentru finanţarea cheltuielilor de personal efectuate în perioada decembrie 2015-decembrie 2017
pentru  personalul Ministerului Fondurilor Europene implicat în coordonarea, gestionarea şi controlul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</si>
  <si>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</si>
  <si>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AP3/3.1.1</t>
  </si>
  <si>
    <t>Perfecționarea pregătirii profesionale a personalului Autorității de Audit care își desfășoară activitatea în domeniul auditului Fondurilor ESI</t>
  </si>
  <si>
    <t>Curtea de Conturi a României - Autoritatea de Audit</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</si>
  <si>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</si>
  <si>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Formarea continuă a personalului Autorității de Certificare și Plată în vederea gestionării eficiente a Fondurilor Europene Structurale și de Investiții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</si>
  <si>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</si>
  <si>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AP3/3.1.2</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</si>
  <si>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</si>
  <si>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</si>
  <si>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Ministerul Finanțelor Publice</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</si>
  <si>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</si>
  <si>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 xml:space="preserve">Bucuresti </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</si>
  <si>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</si>
  <si>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 xml:space="preserve"> Serviciul de Telecomunicații Speciale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</si>
  <si>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</si>
  <si>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București</t>
  </si>
  <si>
    <t>Instruire pentru structurile din cadrul sistemului de coordonare, gestionare și control al FESI în România, pe tematici prioritare pentru dezvoltarea capacității manageriale pentru sistemul de coordonare, gestionare și control al FESI</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</si>
  <si>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</si>
  <si>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Sprijin pentru finanțarea cheltuielilor de personal pentru personalul Curții de Conturi - Autoritatea de Audit implicat în coordonarea, gestionarea și controlul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</si>
  <si>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</si>
  <si>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Alba Iulia</t>
  </si>
  <si>
    <t>Sesiuni de instruire pentru personalul OI Cercetare</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</si>
  <si>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</si>
  <si>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Formare continuă a personalului MDRAPFE în vederea gestionării eficiente a FESI</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</si>
  <si>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</si>
  <si>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Dezvoltarea continuă a competențelor personalului din cadrul OIPSI</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</si>
  <si>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</si>
  <si>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Sprijin pentru finanțarea cheltuielilor de personal pentru personalul OI Transport implicat în managementul POIM în perioada 2016-2017</t>
  </si>
  <si>
    <t>Ministerul Transporturilor</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</si>
  <si>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</si>
  <si>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Continuarea sprijinului pentru finanțarea cheltuielilor de personal pentru personalul Curții de Conturi - Autoritatea de Audit implicat în coordonarea, gestionarea și controlul FESI</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</si>
  <si>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</si>
  <si>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</si>
  <si>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</si>
  <si>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</si>
  <si>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</si>
  <si>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Sprijinirea sistemului de remunerare a personalului din cadrul SRI cu atribuții în realizarea activităților necesare operaționalizării modulelor aferente sistemului SMIS2014+/MySMIS2014, inclusiv asigurarea mentenanței acestora.</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</si>
  <si>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</si>
  <si>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MDRAP</t>
  </si>
  <si>
    <t>Sprijinirea sistemului de remunerare a personalului din cadrul MDRAPFE cu atribuții în coordonarea FESI și gestionarea POAT, POIM și POC, din cadrul MDRAPFE, in perioada decembrie 2017 - martie 2018.</t>
  </si>
  <si>
    <t>Sprijin pentru MFE, inclusiv AM POAT, AM POC, AM/OIR POIM, prin asigurarea necesarului de consumabile si servicii necesare functionarii echipamentelor IT (I)</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</si>
  <si>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</si>
  <si>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Sprijinirea funcționării Autorității de Audit la standarde europene</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</si>
  <si>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</si>
  <si>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Ministerul Comunicatiilor si Societatii Informationale</t>
  </si>
  <si>
    <t>Ministerul Fondurilor Europene prin Direcția Coordonare Sistem și Monitorizare</t>
  </si>
  <si>
    <t>85%(RMPD)
80%(RMD)</t>
  </si>
  <si>
    <t>Ministerul Fondurilor Europene prin Serviciul Evaluare Programe</t>
  </si>
  <si>
    <t>Ministerul Fondurilor Europene prin Direcția Generală Management Financiar, Resurse Umane și Administrativ</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</si>
  <si>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</si>
  <si>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MFE</t>
  </si>
  <si>
    <t>Sprijinirea sistemului de remunerare a personalului din cadrul MFE cu atribuții în coordonarea FESI și gestionarea POAT, POIM și POC, din cadrul MFE, in perioada aprilie 2018 - decembrie 2020.</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</si>
  <si>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</si>
  <si>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</si>
  <si>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Obiectivul general al proiectului vizează întărirea capacității administrative a structurilor implicate în gestionarea POIM. Obiectivul specific al proiectului are în vedere pregătirea și perfecțuionarea continuă a personalului DG OI Transport implicat în gestionarea POIM, învederea dobândirii unor cunoștințe aprofundate pentru îndeplinirea atribuțiilor ce decurg din Acordul privind delegarea funcțiilor aferente gestionării Axelor prioritare de transport din POIM.</t>
  </si>
  <si>
    <t>Asigurarea condițiilor logistice și a cheltuielilor de deplasare necesare Organismului Intermediar pentru Transport pentru gestionarea Programulu operațional Infrastructură Mare (POIM)</t>
  </si>
  <si>
    <t>Obiectivul general al proiectului vizează asigurarea condițiilor necesare pentru coordonarea și controlul obiectivelor de investiții aferente sectorului transport finanțat prin POIM 2014-2020. Obiectivele specifice ale proiectului:                                      -sprijin pentru derularea activităților OIT prin asigurarea suportului logistic (autoturisme, imprimante A3, consumabile aferente și consumabile de birou);                                                                     -sprijin pentru derularea activităților OIT prin asigurarea cheltuielilor de deplasare.</t>
  </si>
  <si>
    <t>Sprijin logistic pentru activitatea OI Cercetare</t>
  </si>
  <si>
    <t>AP1/1.1.2</t>
  </si>
  <si>
    <t>Sprijin pentru implementarea proiectelor de comunicare ale MFE in calitate de beneficiar POAT</t>
  </si>
  <si>
    <t>Ministerul Fondurilor Europene - Serviciul Comunicare Instrumente Structurale</t>
  </si>
  <si>
    <t>Obiectivul general al proiectului vizează întărirea capacității SCIS din cadrul Direcției Comunicare din MFE pentru gestionarea portofoliului de proiecte în domeniul informării și comunicării IS.</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</si>
  <si>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</si>
  <si>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Optimizarea capacității resursei umane din MAI pentru dezvoltarea și implementarea de proiecte finanțate din FESI</t>
  </si>
  <si>
    <t>MT - OI pentru Transport</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</si>
  <si>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</si>
  <si>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</si>
  <si>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Finalizat</t>
  </si>
  <si>
    <t>Sprijin pentru evaluarea proiectelor depuse in cadrul Axei Prioritare 2 POC – Acţiunile 2.1.1 și 2.2.1</t>
  </si>
  <si>
    <t xml:space="preserve">Obiectivul general al proiectului vizează asigurarea expertizei în domeniul evaluării pentru proiectele depuse în cadrull Axei Prioritare 2-POC -Acțiunile 2.1.1 și 2.2.1, în perioada 2018-2019. Obiectivul specific are în vedere îmbunătățirea calității procesdului de evaluare tehnico-economică a cererilor de finanțare depuse în cadrul Axei Prioritare 2 POC -Acțiunile 2.1.1 și 2.2.1, în perioada 2018-2019, prin asigurarea unei evaluări calificate și obiective a proiectelor. </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</si>
  <si>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</si>
  <si>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STS</t>
  </si>
  <si>
    <t>Obiectivul general constă în dezvoltarea unei politici de RU care să asigure stabilitatea, calificarea și motivarea adecvată a personalului propriu cu atribuții în coordonarea, gestionarea și controlul fondurilor ESI</t>
  </si>
  <si>
    <r>
      <rPr>
        <b/>
        <sz val="11"/>
        <rFont val="Calibri"/>
        <family val="2"/>
        <charset val="238"/>
        <scheme val="minor"/>
      </rPr>
      <t>NOTĂ!</t>
    </r>
    <r>
      <rPr>
        <sz val="11"/>
        <rFont val="Calibri"/>
        <family val="2"/>
        <charset val="238"/>
        <scheme val="minor"/>
      </rPr>
      <t xml:space="preserve"> Programul Operațional Asistență Tehnică 2014 – 2020 este un program destinat întregului sistem de coordonare, gestionare și control al fondurilor ESI și al potențialilor beneficiari și beneficiarilor acestor fonduri, răspunzând prin natura sa orizontală nevoilor de la nivelul întregului teritoriu al țării. 
Astfel, deși locația principalilor beneficiari ai acestui PO (structurile de coordonare, gestionare și control al FESI) se situează în regiunea București-Ilfov, intervențiile finanțate din POAT, prin impactul pe care îl au asupra implementării tuturor PO, acoperă toate regiunile României. În acest sens, bugetul proiectelor POAT 2014-2020, indiferent de locația de implementare, este împărțit pe regiuni mai dezvoltate și regiuni mai puțin dezvoltate în baza unei pro-rate stabilită conform Programului Operațional Asistență Tehnică. 
Bugetul proiectelor care au mai multe locații de implementare nu se regăsește defalcat pe județe întrucât, în cererile de finanțare aprobate, nu este reflectat în acest mod.</t>
    </r>
  </si>
  <si>
    <t>AP 1/ 1.1.2</t>
  </si>
  <si>
    <t>Organizarea de evenimente de lucu privind implementare POIM</t>
  </si>
  <si>
    <t>MFE AM POIM</t>
  </si>
  <si>
    <t>Acordarea de asistenta CNAIR SA si CN CFR SA pentru indeplinirea conditionalitatilor ex-ante aferente POIM privind consolidarea capacitatii administrative – Criteriile 7.1. si 7.2. “Masuri care sa asigure capacitatea unor organisme intermediare si beneficiari de a asigura fluxul de proiecte pentru sectorul rutier si sectorul feroviar“ 2. Acordarea de asistenta tehnica pentru indeplinirea actiunilor aferente beneficiarilor POIM (ANAR, CNAIR) din cadrul Strategiei naţionale in domeniul achizitiilor publice, aprobate prin HG nr. 901/2015 3. Acordarea de sprijin Beneficiarilor din sectoarele de transport, mediu si prevenirea riscurilor in activitatile specifice de pregatire si gestionare a portofoliului de proiecte finantate prin POIM.</t>
  </si>
  <si>
    <t>in implementare</t>
  </si>
  <si>
    <t>AP2/2.2.1</t>
  </si>
  <si>
    <t>Sprijin privind dezvoltarea/optimizarea unor module specifice sistemului informatic integrat SMIS2014+/MySMIS2014</t>
  </si>
  <si>
    <t>MFE - DCSMISIT</t>
  </si>
  <si>
    <t>Asigurarea serviciilor de comunicatii
necesare utilizarii aplicatiilor informatice
din gestiunea MFE</t>
  </si>
  <si>
    <t xml:space="preserve">
Obiectivul general al proiectului il reprezinta asigurarea accesului permanent în sistem al tuturor utilizatorilor aplicatiilor 2014 (MySMIS2014, SMIS2014+, SMIS-CSNR2,
Art4SMIS2014, etc.)
Obiectivele specifice ale proiectului
1. Asigurarea serviciilor de comunicatii necesare accesarii aplicatiilor 2014 de catre institutiile implicate in gestionarea FESI pentru
perioada de programare 2014-2020</t>
  </si>
  <si>
    <t>RMD/ RMPD</t>
  </si>
  <si>
    <t>Sprijin pentru DGPEC în gestionarea POC
2014-2020 si închiderea POSCCE 2007-2013</t>
  </si>
  <si>
    <t>MFE-AMPOC</t>
  </si>
  <si>
    <t>Obiectivul general al proiectului in reprezinta asigurarea sprijinului de specialitate necesar eficientizarii gestionarii proiectelor finantate în cadrul POC si închiderii POSCCE, proiectul
contribuind la implementarea si absorbtia eficace, eficienta si transparenta a fondurilor alocate.
Obiectivele specifice ale proiectului
1. Asigurarea expertizei necesare în vederea evaluarii proiectelor aferente Axei 1 POC, sprijinirii AM în implementarea POC 2014-
2020 si pregatirea perioadei post 2020.
2. Elaborarea Raportului Final de Implementare POSCCE 2007-2013</t>
  </si>
  <si>
    <t>AP3/ 3.1.2</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</si>
  <si>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</si>
  <si>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</si>
  <si>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</si>
  <si>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2.1.032</t>
  </si>
  <si>
    <t>3.1.059</t>
  </si>
  <si>
    <t>2.1.049</t>
  </si>
  <si>
    <t>2.1.037</t>
  </si>
  <si>
    <t>2.1.052</t>
  </si>
  <si>
    <t>2.1.048</t>
  </si>
  <si>
    <t>2.1.033</t>
  </si>
  <si>
    <t>2.1.026</t>
  </si>
  <si>
    <t>2.1.042</t>
  </si>
  <si>
    <t>2.1.044</t>
  </si>
  <si>
    <t>3.1.055</t>
  </si>
  <si>
    <t>3.1.039</t>
  </si>
  <si>
    <t>3.1.051</t>
  </si>
  <si>
    <t>1.1.043</t>
  </si>
  <si>
    <t>3.1.062</t>
  </si>
  <si>
    <t>2.1.061</t>
  </si>
  <si>
    <t>2.1.046</t>
  </si>
  <si>
    <t>1.1.079</t>
  </si>
  <si>
    <t>2.1.036</t>
  </si>
  <si>
    <t>2.1.029</t>
  </si>
  <si>
    <t>1.1.025</t>
  </si>
  <si>
    <t>1.1.002</t>
  </si>
  <si>
    <t>1.1.005</t>
  </si>
  <si>
    <t>1.2.001</t>
  </si>
  <si>
    <t>1.1.004</t>
  </si>
  <si>
    <t>1.1.031</t>
  </si>
  <si>
    <t>1.2.056</t>
  </si>
  <si>
    <t>Ministerul  Fondurilor Europene prin Serviciul Comunicare Instrumente Structurale</t>
  </si>
  <si>
    <t>1.2.057</t>
  </si>
  <si>
    <t>1.2.060</t>
  </si>
  <si>
    <t>2.1.009</t>
  </si>
  <si>
    <t>3.1.047</t>
  </si>
  <si>
    <t>2.1.013</t>
  </si>
  <si>
    <t>2.1.021</t>
  </si>
  <si>
    <t>2.1.008</t>
  </si>
  <si>
    <t>2.1.012</t>
  </si>
  <si>
    <t>2.1.023</t>
  </si>
  <si>
    <t>2.1.007</t>
  </si>
  <si>
    <t>2.1.030</t>
  </si>
  <si>
    <t>2.1.020</t>
  </si>
  <si>
    <t>2.1.041</t>
  </si>
  <si>
    <t>2.1.045</t>
  </si>
  <si>
    <t>2.1.040</t>
  </si>
  <si>
    <t>2.1.017</t>
  </si>
  <si>
    <t>2.1.014</t>
  </si>
  <si>
    <t>2.1.034</t>
  </si>
  <si>
    <t>2.1.035</t>
  </si>
  <si>
    <t>2.1.063</t>
  </si>
  <si>
    <t>3.1.011</t>
  </si>
  <si>
    <t>3.1.022</t>
  </si>
  <si>
    <t>3.1.024</t>
  </si>
  <si>
    <t>3.1.015</t>
  </si>
  <si>
    <t>3.1.006</t>
  </si>
  <si>
    <t>3.1.027</t>
  </si>
  <si>
    <t>3.1.054</t>
  </si>
  <si>
    <t>3.1.018</t>
  </si>
  <si>
    <t>3.1.074</t>
  </si>
  <si>
    <t>3.1.068</t>
  </si>
  <si>
    <t>3.1.072</t>
  </si>
  <si>
    <t>3.1.075</t>
  </si>
  <si>
    <t>3.1.028</t>
  </si>
  <si>
    <t>2.1.069</t>
  </si>
  <si>
    <t>3.1.078</t>
  </si>
  <si>
    <t>3.1.071</t>
  </si>
  <si>
    <t>3.1.080</t>
  </si>
  <si>
    <t>1.1.082</t>
  </si>
  <si>
    <t>2.2.086</t>
  </si>
  <si>
    <t>2.2.070</t>
  </si>
  <si>
    <t>2.1.087</t>
  </si>
  <si>
    <t>3.1.076</t>
  </si>
  <si>
    <t>1.1.085</t>
  </si>
  <si>
    <t>MFE prin Autoritatea de Management pentru POIM</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</si>
  <si>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</si>
  <si>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Obiectivele proiectului sunt:
1.Contribuirea la implementarea cu succes a proiectelor in derulare in sectoarele de transport si de mediu în România (adica a se asigura
ca proiectele sunt implementate in conformitate cu programele si cerintele convenite).
2. Maximizarea absorbtiei fondurilor UE inainte de sfarsitul perioadei de programare 2007-2013.
3.Construirea capacitatilor si abilitatilor de implementare pentru perioada de programare 2014-2020 in cadrul MFE si Beneficiarilor Finali.</t>
  </si>
  <si>
    <t>3.1.084</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</si>
  <si>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</si>
  <si>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SRI prin Institutul pentru tehnologii avansate</t>
  </si>
  <si>
    <t>TOTAL CONTRACTE/DECIZII DE FINANȚARE POAT 2014-2020*</t>
  </si>
  <si>
    <t>Reziliat</t>
  </si>
  <si>
    <t>1.1.081</t>
  </si>
  <si>
    <t>Asistenta tehnica pentru sustinerea
actiunilor ce contribuie la realizarea
obiectivelor strategice din cadrul Strategiei
Integrate de Dezvoltare Durabila a Deltei
Dunarii (SIDD DD)</t>
  </si>
  <si>
    <t>ADI ITI DD</t>
  </si>
  <si>
    <t>Obiectivul general al proiectului vizează susținerea acțiunilor care contribuie la realizarea obiectivelor pe sectoare prioritare ale SIDD DD, în vederea dezvoltării durabile a teritoriului ITI DD.</t>
  </si>
  <si>
    <t>2.1.103</t>
  </si>
  <si>
    <t>Reuniunea partenerilor antifraudă din Statele Membre</t>
  </si>
  <si>
    <t>DLAF</t>
  </si>
  <si>
    <t>Obiectivul general al proiectului vizează întărirea capacității DLAF în domeniul protecției intereselor financiare ale UE în România.</t>
  </si>
  <si>
    <t>2.1.090</t>
  </si>
  <si>
    <t>Sprijin logistic şi salarial acordat ADR SV Oltenia în calitate de OI POS CCE în procesul de închidere a
POS CCE 2007-2013</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</si>
  <si>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</si>
  <si>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</si>
  <si>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2.1.095</t>
  </si>
  <si>
    <t>Sprijin logistic si salarial pentru ADR Nord-
Est în calitate de OI POS CCE în procesul de
închidere a POS CCE 2007-2013 (II)</t>
  </si>
  <si>
    <t>Agenția pentru Dezvoltare Regională a Regiunii de Dezvoltare Nord Est</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</si>
  <si>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</si>
  <si>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3.1.073</t>
  </si>
  <si>
    <t>Continuarea sprijinului pentru finanțarea cheltuielilor de personal pentru personalul Organismului Intermediar pentru Cercetare, implicat în gestionarea FESI (II)</t>
  </si>
  <si>
    <t>OI Cercetare</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</si>
  <si>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</si>
  <si>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</si>
  <si>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Agenția pentru Dezvoltare Regională a Regiunii de Dezvoltare Centru</t>
  </si>
  <si>
    <t>Sprijin logistic și salarial pentru ADR CENTRU în calitate de OI POS CCE în procesul de închidere a POS CCE 2007 - 2013 (II)</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</si>
  <si>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</si>
  <si>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2.1.083</t>
  </si>
  <si>
    <t>2.1.067</t>
  </si>
  <si>
    <t>2.1.101</t>
  </si>
  <si>
    <t>3.1.104</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</si>
  <si>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</si>
  <si>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</si>
  <si>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</si>
  <si>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Formare continua a personalului Autoritatii de Certificare si Plata pentru imbunatatirea performantelor la locul de munca, in vederea gestionarii eficiente a Fondurilor Europene Structurale si de Investitii</t>
  </si>
  <si>
    <t>Agenția pentru Dezvoltare Regională a Regiunii de Dezvoltare Nord-Vest</t>
  </si>
  <si>
    <t>ACP</t>
  </si>
  <si>
    <t>MCI - OI Cercetare</t>
  </si>
  <si>
    <t>Obiectivul general al proiectului vizează asigurarea sprijinului necesar OI Cercetare în închiderea Axei prioritare 2 din POS CCE și gestionarea Axei prioritare 1 a POC.</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</si>
  <si>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</si>
  <si>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</si>
  <si>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constă în continuarea dezvoltării capacității administrative a ACP din cadrul MFP și îmbunătățirea calității activității la locul de muncă a personalului ACP implicat în gestionarea financiară a FESI.</t>
  </si>
  <si>
    <t>2.1.066</t>
  </si>
  <si>
    <t xml:space="preserve">2.1.091
</t>
  </si>
  <si>
    <t xml:space="preserve">2.1.092
</t>
  </si>
  <si>
    <t>2.1.093</t>
  </si>
  <si>
    <t>1.1.094</t>
  </si>
  <si>
    <t>Sprijin pentru MFE si MDRAPFE, inclusiv AM POAT, AM POC, AM/OIR POIM, prin asigurarea
cheltuielilor cu chiria si a cheltuielilor conexe</t>
  </si>
  <si>
    <t>Sprijin logistic si salarial pentru ADR VEST in calitate de OI POS CCE in procesul de inchidere a POS CCE 2007-2013</t>
  </si>
  <si>
    <t>Sprijin pentru cresterea capacitatii
administrative a Organismului Intermediar
pentru Cercetare</t>
  </si>
  <si>
    <t>Sprijin pentru OI Cercetare in derularea
proiectelor finantate din POAT 2014-2020</t>
  </si>
  <si>
    <t>Sprijin logistic pentru OI Cercetare (II)</t>
  </si>
  <si>
    <t>Agenția pentru Dezvoltare Regională a Regiunii de Dezvoltare Vest</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</si>
  <si>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</si>
  <si>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al proiectului este acordarea de sprijin pentru realizarea gestionării și implementării transparente și eficiente a IS în procesul de închidere a POS CCE.</t>
  </si>
  <si>
    <t>Obiectivul general al proiectului constă în asigurarea capacității instituționale a OI Cercetare, prin sprijinirea funcționării sale, în vederea îndeplinirii corespunzătoare a atribuțiilor delegate ale OI Cercetare.</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</si>
  <si>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</si>
  <si>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</si>
  <si>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RO</t>
  </si>
  <si>
    <t>1.1.110</t>
  </si>
  <si>
    <t>2.1.111</t>
  </si>
  <si>
    <t>2.1.099</t>
  </si>
  <si>
    <t>2.1.109</t>
  </si>
  <si>
    <t>1.2.077</t>
  </si>
  <si>
    <t>1.2.097</t>
  </si>
  <si>
    <t>2.1.065</t>
  </si>
  <si>
    <t>2.2.089</t>
  </si>
  <si>
    <t>2.2.088</t>
  </si>
  <si>
    <t>2.1.102</t>
  </si>
  <si>
    <t>3.1.107</t>
  </si>
  <si>
    <t>3.1.108</t>
  </si>
  <si>
    <t>AP 2/2.2.1</t>
  </si>
  <si>
    <t>Întărirea capacității Ministerului Sănătății de a pregăti și implementa proiectele Spitalelor Clinice Regionale de Urgență: Craiova, Iași, Cluj</t>
  </si>
  <si>
    <t>Sprijin logistic și salarial pentru ADR SE, în calitate de OI POS CCE, în procesul de închidere a POS CCE 2007-2013 (II)</t>
  </si>
  <si>
    <t>Sprijin logistic și salarial pentru ADR Sud Muntenia în calitate de OI POS CCE în procesul de închidere a POS CCE 2007 - 2013 (II)</t>
  </si>
  <si>
    <t>Implementarea Planului de Evaluare a Acordului de Parteneriat – faza 2</t>
  </si>
  <si>
    <t>Fondurile europene pe înțelesul tuturor</t>
  </si>
  <si>
    <t>Valori europene in Ro la 100 ani de la Marea Unire</t>
  </si>
  <si>
    <t>Sprijin pentru Ministerul Fondurilor Europene, inclusiv AM POAT, AM POC, AM/OIR POIM, prin asigurarea  cheltuielilor cu relocarea si a spatiului de arhiva (II)</t>
  </si>
  <si>
    <t>Suplimentarea echipamentelor de stocare de la nivelul infrastructurii nodului Central SMIS, necesare
deservirii sistemelor informatice sustinute (MySMIS2014/SMIS2014+/etc.)</t>
  </si>
  <si>
    <t>Evaluarea initiala a mecanismelor Directiei Coordonare SMIS si IT în vederea realizarii premiselor
dezvoltarii si implementarii Sistemului de Management al Securitatii Informatiei prin intermediul
alinierii la standardele ISO 27001, ISO 27002, precum si la cadrul de referinta COBIT</t>
  </si>
  <si>
    <t>Continuarea sprijinului pentru MFE prin asigurarea cheltuielilor cu chiria si a cheltuielilor conexe</t>
  </si>
  <si>
    <t>Instruire în domeniul prelucrării datelor cu caracter personal pentru structurile din cadrul sistemului de coordonare, gestionare și control al FESI în România</t>
  </si>
  <si>
    <t>Sprijin pentru Autoritatea de Audit pentru derularea de activități de formare</t>
  </si>
  <si>
    <t>Ministerul Sănătății</t>
  </si>
  <si>
    <t>ADR SE</t>
  </si>
  <si>
    <t>Agenția pentru Dezvoltare Regională a Regiunii de Dezvoltare Sud Muntenia</t>
  </si>
  <si>
    <t>MFE prin DGPCS</t>
  </si>
  <si>
    <t>MFE - SCIS</t>
  </si>
  <si>
    <t>MFE prin Directia Generala Programare, SMIS, Coordonare Sistem si Cooperare Europeana si Internationala</t>
  </si>
  <si>
    <t>ANFP</t>
  </si>
  <si>
    <t>Autoritatea de Audit</t>
  </si>
  <si>
    <t>Obiectivul general al proiectului este întărirea capacității MS, în calitate de beneficiar de proiecte finanțate din FESI, de a pregăti și implementa proiectele Spitalelor regionale de urgență: Craiova, Iași și Cluj.</t>
  </si>
  <si>
    <t>Obiectivul general al proiectului constă în acordarea de sprijin pentru gestionarea și implementarea transparentă și eificientă a IS în procesul de închidere a POS CCE 2007-2013.</t>
  </si>
  <si>
    <t xml:space="preserve">Obiectivul general al proiectului este de a facilita un management informat al Acordului de Parteneriat 2014-2020 şi adoptarea deciziilor pe bază de dovezi.
</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</si>
  <si>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</si>
  <si>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</si>
  <si>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</si>
  <si>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</si>
  <si>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</si>
  <si>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</si>
  <si>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</si>
  <si>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vizează asigurarea unui nivel adecvat de eficiență și calitate la nivelul activităților de audit ce decurg din punerea în aplicare a prevederilor regulamentelor europene și a legislației naționale adecvate.</t>
  </si>
  <si>
    <t>2.1.113</t>
  </si>
  <si>
    <t>3.1.105</t>
  </si>
  <si>
    <t>Sprijin pentru MFE în organizarea reuniunilor cu privire la Politica de coeziune în anul 2019</t>
  </si>
  <si>
    <t>Sprijin pentru finanțarea cheltuielilor salariale ale personalului OI Energie implicat în închiderea POS CCE 2007-2013 - Axa prioritară nr. 4</t>
  </si>
  <si>
    <t>Ministerul Energiei - OI pentru Energie</t>
  </si>
  <si>
    <t>Obiectivul general al proiectului îl reprezintă dezvoltarea unei politici îmbunătăţite a managementului resurselor umane, care să asigure stabilitatea, calificarea şi motivarea adecvată a personalului cu atribuţii în gestionarea coordonarea, gestionarea şi controlul Fondurilor europene structurale şi de investiţii (FESI).</t>
  </si>
  <si>
    <t>2.1.016</t>
  </si>
  <si>
    <t>1.2.098</t>
  </si>
  <si>
    <t>AP1/1.2.2</t>
  </si>
  <si>
    <t>Sprijin pentru implementarea principiului parteneriatului în coordonarea și gestionarea fondurilor europene privind coeziunea</t>
  </si>
  <si>
    <t>Obiectivul general al proiectului este de a sprijini Ministerul Fondurilor Europene pentru dezvoltarea si implementarea unui cadru partenerial stabil si organizat la nivelul procesului de coordonare si gestionare a fondurilor europene privind coeziunea.</t>
  </si>
  <si>
    <t>2.1.064</t>
  </si>
  <si>
    <t>Sprijin pentru Ministerul Dezvoltării Regionale, Administrației Publice și Fondurilor Europene, inclusiv AM POC, AM/OIR POS M/DRI POIM, prin asigurarea diverselor cheltuieli cu autoturismele (II)</t>
  </si>
  <si>
    <t>Ministerul Dezvoltarii Regionale, Administratiei Publice si Fondurilor Europene</t>
  </si>
  <si>
    <t>Creşterea capacităţii MFE de a gestiona portofoliul de proiecte prin care se asigură sprijinul orizontal logistic si al achizițiilor publice necesar coordonării FESI şi gestionării POAT, POIM şi POC</t>
  </si>
  <si>
    <t xml:space="preserve">
Obiectivul general al  proiectului consta in sprijinirea MFE în realizarea funcţiilor de coordonare FESI şi gestionare POAT, POIM şi POC
Obiectivul specific al proiectului este reprezentat de asigurarea necesarului de personal pe activităţile de elaborare CF (proiecte orizontale şi specifice POAT), achiziţii publice, management contracte/acorduri-cadru si suport logistic pentru a asigura gestionarea portofoliului de proiecte ale MFE aferente structurilor eligibile din POAT.</t>
  </si>
  <si>
    <t>Ce înseamnă Coeziunea UE</t>
  </si>
  <si>
    <t>MFE-SCIS</t>
  </si>
  <si>
    <t>Obiectivul general al proiectului este diseminarea eficientă către publicul ţintă a informaţiilor referitoare la politica de coeziune şi a impactului acesteia asupra dezvoltării României.
Obiectivul specific al proiectului il reprezinta promovarea impactului politicii de coeziune asupra României, cu sprijinul diferitelor canale media şi al evenimentelor specifice</t>
  </si>
  <si>
    <t>1.1.112</t>
  </si>
  <si>
    <t>1.2.100</t>
  </si>
  <si>
    <t xml:space="preserve">Sprijin pentru DCEI din cadrul MFE prin asigurarea de servicii de traducere autorizată si interpretariat  în vederea realizării responsabilităților ce revin Ministerului Fondurilor Europene, în calitate de instituție centrală responsabilă de politica de coeziune  </t>
  </si>
  <si>
    <t xml:space="preserve">MFE - Directia Cooperare Europeana si Internationala </t>
  </si>
  <si>
    <t>Obiectivul general al proiectului este contributia  la îndeplinirea de către Ministerul Fondurilor Europene a responsabilităţilor care îi revin în calitate de coordonator al implementării şi gestionării instrumentelor fondurilor europene structurale şi de investiţii.
Obiectivul specific al proiectului este de a asigura sprijin pentru Ministerul Fondurilor Europene prin servicii de traducere autorizată şi interpretariat, in vederea purtării unei corespondenţe, comunicări şi colaborări permanente intre MFE si instituţii europene din celelalte state membre, cu privire la gestionarea politicii de coeziune şi crearea sinergiilor şi complementarităţilor între FESI şi fondurile gestionate în mod direct de catre Comisia Europeană.</t>
  </si>
  <si>
    <t>2.1.115</t>
  </si>
  <si>
    <t>1.1.114</t>
  </si>
  <si>
    <t>finalizat</t>
  </si>
  <si>
    <t>Instruire orizontală în domeniul prelucrării datelor cu caracter personal, pentru beneficiarii FESI</t>
  </si>
  <si>
    <t>2.1.106</t>
  </si>
  <si>
    <t>Asigurarea sprijinului logistic, inclusiv cheltuieli de funcționare, necesare desfășurării activității OIE pentru închiderea Axei Prioritare 4 din cadrul POS CCE 2007- 2013</t>
  </si>
  <si>
    <t>OI Energie</t>
  </si>
  <si>
    <t>Obiectivul general il constituie acordarea de sprijin pentru realizarea gestionării şi implementării transparente şi eficiente a Instrumentelor Structurale în procesul de
închidere a Axei Prioritare 4 din cadrul POS CCE 2007-2013.
Obiectivul specific ale proiectului consta in imbunătăţirea cadrului şi condiţiilor optime pentru desfăşurarea activităţii OIE necesare închiderii cu succes a Axei Prioritare 4 din
cadrul POS CCE 2007-2013 prin asigurarea resurselor financiare necesare pentru plata chiriei şi utilităţilor, spaţiului de arhivă,
funcţionării autoturismelor şi pentru achiziţionarea de rechizite şi consumabile necesare desfăşurării activităţilor OIE.</t>
  </si>
  <si>
    <t>1.1.121</t>
  </si>
  <si>
    <t>2.1.118</t>
  </si>
  <si>
    <t>Sprijin pentru eficientizarea gestionării şi implementării FESI la nivelul autorităţilor publice locale de la nivelul oraşelor, municipiilor şi judeţelor din România</t>
  </si>
  <si>
    <t>Asistenţa Tehnica pentru identificarea orientarilor strategice privind investiţiile naţionale sprijinite prin fonduri europene si elaborarea documentelor de programare aferente perioadei 2021-2027</t>
  </si>
  <si>
    <t>ROREG</t>
  </si>
  <si>
    <t>MFE - DGPCS</t>
  </si>
  <si>
    <t>Obiectivul general  consta in acordarea de sprijin pentru cresterea eficientei gestionarii si implementarii FESI prin dezvoltarea activitatilor de cooperare intra si inter-regionala la nivelul judetelor, oraselor si municipiilor din România.
Obiectivul specific al proiectului este reprezentat de imbunatatirea mecanismelor si capacitatii de gestionare a FESI la nivelul beneficiarilor FESI de la nivelul autoritatilor administratiei publice locale din zona urbana si de la nivel judetean.</t>
  </si>
  <si>
    <t xml:space="preserve">
Obiectivul proiectului il reprezinta dezvoltarea si mentinerea unui sistem informatic functional si eficient pentru FSC
Obiectivele specifice ale proiectului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documentaţiei codului sursa,
realizarea arhitecturii bazei de date, realizare/actualizare de manuale ale sistemului, etc.)</t>
  </si>
  <si>
    <t>Obiectivele proiectului
Dezvoltarea unei politici de management al resurselor umane care sa asigure motivarea, calificarea si retenţia personalului SRI cu atribuţii
în coordonarea, gestionarea si controlul fondurilor europene structurale si de investiţii.
Obiectivele specifice ale proiectului
1. Sprijinirea sistemului de remunerare a personalului structurii SRI cu responsabilitaţi de dezvoltare si mentenanţa a sistemului
informatic unitar SMIS2014+ si a aplicaţiei conexe MySMIS2014, precum si de administrare a produselor tehnologice aferente
acestora.
Ca obiectiv specific, proiectul urmareste sprijinirea sistemului de remunerare si motivare a personalului din cadrul structurii SRI
care este responsabila cu dezvoltarea si mentenanţa sistemului informatic MySMIS2014, precum si cu administrarea produselor
tehnologice aferente acestora, denumita în continuare Structura destinata activitatilor specifice pentru dezvoltarea si mentenanţa
sistemelor informatice de gestionare a fondurilor europene, prin asigurarea resurselor financiare necesare pentru plata parţiala a
cheltuielilor de personal aferente structurii respective.
Prin obiectivele propuse, atât cel general, cât si cel specific, proiectul contribuie în mod direct la atingerea obiectivului specific al
Axei prioritare 3 - Cresterea eficienţei si eficacitaţii resurselor umane implicate în sistemul de coordonare, gestionare si control al
FESI în România din cadrul POAT 2014-2020 în sensul asigurarii stabilitaţii si motivarii adecvate a personalului</t>
  </si>
  <si>
    <t xml:space="preserve">
Obiectivul general al proiectului presupune îndeplinirea de catre MFE a responsabilitaţilor care îi revin în calitate de coordonator al implementarii si gestionarii
instrumentelor fondurilor europene structurale si de investiţii.
Obiectivele specifice ale proiectului:
1. Asigura sprijinul MFE în ceea ce priveste organizarea de reuniuni informale si evenimente privind pregatirea si gestionareapoliticii de coeziune.</t>
  </si>
  <si>
    <t>Obiectivul general: Sprijinirea funcţionarii MDRAPFE/MFE, în calitate de Autoritate de Management pentru POC, POS CCE, POS T, POSM,
AM si OI pentru POIM, prin asigurarea cheltuielilor necesare utilizarii în conditii optime a autoturismelor eligibile din POAT.</t>
  </si>
  <si>
    <t>Obiectivul general: este reprezentat de consolidarea capacitaţii beneficiarilor implicaţi în gestionarea FESI de a implementa proiecte si
gestiona fonduri europene nerambursabile.
Obiectivul specific este reprezentat de consolidarea capacitaţii beneficiarilor implicaţi în gestionarea fondurilor ESI atât prin
formarea orizontala în domeniul prelucrarii datelor cu caracter personal, cât si prin formarea specializata si certificarea în
domeniul prelucrarii datelor cu caracter personal.</t>
  </si>
  <si>
    <t xml:space="preserve">
Obiective proiect
Elaborarea Orientarilor Strategice privind investiţiile naţionale sprijinite prin fonduri europene care contribuie la dezvoltarea echilibrata si
competitiva a României si crearea de locuri de munca si elaborarea de programe operaţionale care sa contribuie în mod eficient la
implementarea orientarilor strategice.
Obiectivele specifice ale proiectului
1. Identificarea orientarilor strategice de investiţii care pot fi susţinute prin fondurile europene
2. Elaborarea documentelor programatice aferente perioadei 2021-2027
3. Dezvoltarea capacitaţii Direcţiei de Analiza si Programare de a identifica direcţiile strategice de investiţii si de a elabora
programele operaţionale finanţate din Fondurile europene 2021-2027
4. Informarea corecta a factorilor interesaţi privind investiţiile finanţate din Fonduri Europene</t>
  </si>
  <si>
    <t>2.1.120</t>
  </si>
  <si>
    <t>2.1.116</t>
  </si>
  <si>
    <t>Sprijinirea AM POAT in vederea gestionarii eficiente a Programului Operational Asistenta Tehnica 2014-2020</t>
  </si>
  <si>
    <t>MFE-DGAPSI</t>
  </si>
  <si>
    <t>Obiectivul general al proiectului il reprezinta asigurarea unui proces de implementare eficienta si eficace a FESI.
 Obiectivul specific al proiectului consta în acordarea de sprijin AM POAT în vederea gestionarii eficiente a POAT 2014-2020, prin
cooptarea de personal în afara organigramei, asigurarea de servicii de consultanţa, asigurarea suportului IT&amp;C, achiziţia de
materiale promoţionale pentru colaboratorii AM POAT, desfasurarea unor vizite de lucru de catre personalul AM POAT,
asigurarea necesarului de obiecte de inventar în vederea desfasurarii în condiţii optime a activitaţii AM POAT.</t>
  </si>
  <si>
    <t>Sprijin pentru Ministerul Fondurilor Europene, inclusiv structurile implicate în gestionarea POAT, POIM, POS M, POS T, POC şi POS CCE, prin asigurarea cheltuielilor cu poliţele CASCO</t>
  </si>
  <si>
    <t>Obiectivul general al proiectului il reprezinta sprijinirea funcţionării MFE, în calitate de Autoritate de Management pentru POC, POS CCE, POS T, POS-M, AM si OI pentru POIM, prin asigurarea cheltuielilor necesare utilizării în conditii optime a autoturismelor eligibile din POAT. Obiectivele specifice ale proiectului sunt urmatoarele: Asigurarea cheltuielilor cu poliţele CASCO pentru autoturismele eligibile din POAT, pentru buna implementare a POC şi POIM şi Asigurarea monitorizării in implementare a proiectelor finanţate prin acestea, dar si pentru asigurarea monitorizării postimplementare a proiectelor POS CCE si POS-M si POS-T.</t>
  </si>
  <si>
    <t>Sprijin pentru finanţarea cheltuielilor de personal efectuate în perioada decembrie 2015-decembrie 2017, pentru personalul Ministerul Cercetarii si Inovarii, implicat în gestionarea FESI</t>
  </si>
  <si>
    <t>2.1.119</t>
  </si>
  <si>
    <t>121/122</t>
  </si>
  <si>
    <t>2.1.117</t>
  </si>
  <si>
    <t>Sprijin pentru funcționarea Autorității de Audit la standarde europene</t>
  </si>
  <si>
    <t>AA</t>
  </si>
  <si>
    <t>Obiectivul general al proiectului constă în asigurarea unui nivel adecvat de eficienţă şi calitate la nivelul activităţilor de audit desfăşurate de Autoritatea de Audit în domeniul auditului fondurilor ESI, în vederea asigurării cadrului şi instrumentelor adecvate pentru implementarea şi monitorizarea eficientă a fondurilor ESI în România.</t>
  </si>
  <si>
    <t>2.1.122</t>
  </si>
  <si>
    <t>Sprijin pentru eficientizarea îndeplinirii atribuțiilor OI Cercetare în implementarea Axei prioritare 1 POC</t>
  </si>
  <si>
    <t>Obiectivul general al acestui proiect este asigurarea sprijinului necesar OI Cercetare pentru realizarea atribuţiilor delegate privind implementarea POC. Obiectivul specifice al proiectului  este asigurarea sprijinului necesar OI Cercetare pentru eficientizarea verificărilor efectuate asupra proiectelor POC aflate în implementare în perioada 2020-2023, prin contractarea serviciilor de consultanţă ştiinţifică şi tehnică (suport pentru monitorizarea proiectelor, efectuarea vizitelor de monitorizare/la faţa locului/control, emiterea de puncte de vedere de specialitate).</t>
  </si>
  <si>
    <t>AP2/2.2.2</t>
  </si>
  <si>
    <t>2.2.123</t>
  </si>
  <si>
    <t>Transfer de cunoştinţe, instruire şi suport pentru utilizatori în vederea facilitării serviciilor oferite acestora în utilizarea aplicaţiilor SMIS 2014+ şi MySMIS2014</t>
  </si>
  <si>
    <t>MFE prin Direcţia Coordonare SMIS şi IT</t>
  </si>
  <si>
    <t>Obiectivul general constă în asigurarea sprijinului necesar dedicat utilizatorilor, prin organizarea unor sesiuni de instruire şi transfer de cunoştinţe cu privire la operarea aplicaţiilor sistemului SMIS2014+/MySMIS2014 
Obiectivele specifice ale proiectului 1. Transfer de cunoştinţe şi know-how prin familiarizarea personalului din cadrul Directiei SMIS si IT – MFE, dar si din cadrul altor Structuri de Gestionare si Control FESI, care asigură dezvoltarea, îmbunătăţirea şi mentenanţa sistemului SMIS2014+/MySMIS2014, cu cele mai bune practici în domeniu la nivel UE;  2. Îmbunătăţirea capacităţii beneficiarilor FESI în ceea ce priveşte utilizarea sistemului informatic integrat SMIS2014+/MySMIS2014 (FrontOffice);  3. Îmbunătăţirea capacităţii structurilor de gestionare si control FESI (AM, OI, etc.) în ceea ce priveşte utilizarea sistemului informatic integrat SMIS2014+/MySMIS2014 (BackOffice)</t>
  </si>
  <si>
    <t>2.2.124</t>
  </si>
  <si>
    <t>Modernizarea infrastructurii informatice și a mecanismelor de funcționare aferente ce deservesc sistemul informatic integrat SMIS2014+/MySMIS2014 și aplicațiile sale conexe în vederea asigurării funcționării eficiente, continue și securizate a acestuia</t>
  </si>
  <si>
    <t>Obiectivul general este optimizarea si dezvoltarea infrastructurii critice a sistemului informatic integrat SMIS2014+/MySMIS2014 in vederea asigurarii functionarii eficiente, continue si securizate catre utilizatorii acestuia.
Obiectivul specific este implementarea masurilor necesare de modernizare a infrastructurii critice a sistemului informatic integrat SMIS2014+/MySMIS2014.</t>
  </si>
  <si>
    <t>2.1.125</t>
  </si>
  <si>
    <t>Sprijin pentru realizarea si implementarea unui instrument teritorial Integrat (ITI) în Valea Jiului în
perioada de programare 2021-2027</t>
  </si>
  <si>
    <t>MFE/DGPCS</t>
  </si>
  <si>
    <t>Obiectivul general al proiectului:Asigurarea unui sprijin comprehensiv în procesul de creare a cadrului necesar dezvoltării şi implementării unui instrument de investitii teritoriale integrate (ITI) in Valea Jiului în perioada de programare 2021-2027. 
Obiectivele specifice ale proiectului: 1. Implicarea actorilor interesati  in procesul de identificare a priorităţilor de investiţii si a proiectelor pentru dezvoltarea zonei Valea Jiului şi pentru conştientizarea tuturor actorilor implicaţi asupra necesităţii utilizării instrumentului ITI prin organizarea de grupuri de lucru, focus grupuri si seminarii tematice.   2. sprijin pentru adoptarea deciziilor de aprobare a Strategiei si pentru înfiinţarea unui sistem de guvernanţă pentru implementarea strategiei prin organizarea reuniunilor Comitetului Director şi ale Grupului de Lucru Tehnice aferente Iniţiativei Valea Jiului care sprijină dezvoltarea şi implementarea ITI.     3. Informarea corecta a factorilor interesaţi şi asigurarea sprijinului larg al locuitorilor din valea Jiului pentru procesul de restructurare, prin organizarea de reuniuni/ conferinţe pentru prezentarea ITI şi a Strategiei Văii Jiului</t>
  </si>
  <si>
    <t>2.1.127</t>
  </si>
  <si>
    <t>Sprijinirea AM POIM în procesul de pregătire şi evaluare a proiectelor depuse în cadrul POIM 2014 – 2020 OS 3.2.Creşterea nivelului de colectare şi epurare a apelor uzate urbane, precum şi a gradului de asigurare a alimentării cu apă potabilă a populaţiei si OS 9.1.Creşterea capacităţii de gestionare a crizei sanitare COVID-19</t>
  </si>
  <si>
    <t>MFE/AMPOIM</t>
  </si>
  <si>
    <t xml:space="preserve">
Obiectiv proiect:
Asigurarea sprijinului necesar AMPOIM în procesul de implementare eficienta si eficace a FESI.
Obiectivele specifice ale proiectului
1. Consolidarea capacitaþii AM POIM / Serviciului de programare si pregatire proiecte, prin cooptarea de experþi in afara
organigramei cu scopul de a verifica modul în care sunt transpuse în documentaþiile tehnico – economice observaþiile experþilor
Jaspers formulate în cadrul documentelor de analiza de tip Guidance Note, respectiv Action Completion Note, aferente O S 3.2,
astfel încât numarul de proiecte majore noi de apa si apa uzata aprobate de CE sa creasca.
2. Consolidarea capacitaþii AMPOIM/ Serviciul verificare achiziþii publice în vederea cresterii eficienþei acestuia, prin cooptarea de
experþi în afara organigramei, urmare a volumului ridicat al contractelor de achiziþie publica aferente proiectelor depuse în cadrul
Obiectului Specific 9.1 din POIM 2014 – 2020.</t>
  </si>
  <si>
    <t>2.1.126</t>
  </si>
  <si>
    <t>2.1.131</t>
  </si>
  <si>
    <t>Îmbunătăţirea activităţii de comunicare a
Ministerului Fondurilor Europene</t>
  </si>
  <si>
    <t>MFE/Directia Comunicare</t>
  </si>
  <si>
    <t>Continuarea asigurării de servicii de
asistenţă tehnică din partea experţilor BEI
pentru gestionarea POIM 2014 - 2020 la
nivelul AM POIM şi a OI Transport</t>
  </si>
  <si>
    <t>MFE AMPOIM</t>
  </si>
  <si>
    <t>Obiectivul general: Elaborarea de materiale de comunicare cu un conţinut şi de o calitate corespunzătoare pentru distribuirea prin canale
diferite de comunicare audio-video, inclusiv prin intermediul new media şi promovarea activităţii MFE.
Obiectivele specifice ale proiectului
1. OS 1: Achiziţionarea de echipamente necesare pentru crearea de producţii foto şi/sau video de calitate
2. OS 2: Sprijinirea derulării întâlnirilor între reprezentanţii MFE şi diferite categorii de public, precum şi îmbunătăţirea activităţii de
comunicare a MFE</t>
  </si>
  <si>
    <t xml:space="preserve">Obiectiv proiect:Întărirea capacităţii AM POIM si OI Transport in gestionarea POIM 2014-2020 si pregatirea perioadei de programare 2021-2027, inclusiv
sprijin în îndeplinirea conditiilor favorizante în sectoarele acoperite în prezent de POIM, precum şi îmbunătăţirea sistemelor de
management şi control
Obiectivele specifice ale proiectului
1. Maximizarea absorbtiei fondurilor UE inainte de sfarsitul perioadei de programare 2014-2020
2. Intarirea capacitatilor si abilitatilor de implementare pentru perioadele de programare 2014-2020 si 2021-2027 in cadrul MFE si OI
Transport
</t>
  </si>
  <si>
    <t>Crt. No.</t>
  </si>
  <si>
    <t>Priority Axis/Investment priority</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</si>
  <si>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</si>
  <si>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</si>
  <si>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</si>
  <si>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</si>
  <si>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</si>
  <si>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</si>
  <si>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</si>
  <si>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</si>
  <si>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</si>
  <si>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</si>
  <si>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</si>
  <si>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</si>
  <si>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</si>
  <si>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</si>
  <si>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</si>
  <si>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</si>
  <si>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Project code</t>
  </si>
  <si>
    <t>Financing</t>
  </si>
  <si>
    <t>Beneficiary private contribution</t>
  </si>
  <si>
    <t>Private contribution</t>
  </si>
  <si>
    <t>Non eligible expenditure</t>
  </si>
  <si>
    <t>Eu Funds</t>
  </si>
  <si>
    <t>National contribution</t>
  </si>
  <si>
    <t>EU Funds</t>
  </si>
  <si>
    <t>National budget</t>
  </si>
  <si>
    <t>Cod SMIS</t>
  </si>
  <si>
    <t>Cod proiect</t>
  </si>
  <si>
    <t>118951</t>
  </si>
  <si>
    <t>119507</t>
  </si>
  <si>
    <t>119558</t>
  </si>
  <si>
    <t>118338</t>
  </si>
  <si>
    <t>118695</t>
  </si>
  <si>
    <t>116345</t>
  </si>
  <si>
    <t>119998</t>
  </si>
  <si>
    <t>117749</t>
  </si>
  <si>
    <t>119310</t>
  </si>
  <si>
    <t>119301</t>
  </si>
  <si>
    <t>119136</t>
  </si>
  <si>
    <t>118641</t>
  </si>
  <si>
    <t>118647</t>
  </si>
  <si>
    <t>119453</t>
  </si>
  <si>
    <t>117924</t>
  </si>
  <si>
    <t>117723</t>
  </si>
  <si>
    <t>117516</t>
  </si>
  <si>
    <t>119470</t>
  </si>
  <si>
    <t>118855</t>
  </si>
  <si>
    <t>117345</t>
  </si>
  <si>
    <t>117351</t>
  </si>
  <si>
    <t>116754</t>
  </si>
  <si>
    <t>116821</t>
  </si>
  <si>
    <t>119291</t>
  </si>
  <si>
    <t>117818</t>
  </si>
  <si>
    <t>118997</t>
  </si>
  <si>
    <t>117961</t>
  </si>
  <si>
    <t>119813</t>
  </si>
  <si>
    <t>119743</t>
  </si>
  <si>
    <t>119979</t>
  </si>
  <si>
    <t>119819</t>
  </si>
  <si>
    <t>118455</t>
  </si>
  <si>
    <t>119913</t>
  </si>
  <si>
    <t>123044</t>
  </si>
  <si>
    <t>120044</t>
  </si>
  <si>
    <t>124208</t>
  </si>
  <si>
    <t>124355</t>
  </si>
  <si>
    <t>126444</t>
  </si>
  <si>
    <t>120084</t>
  </si>
  <si>
    <t>126748</t>
  </si>
  <si>
    <t>119695</t>
  </si>
  <si>
    <t>126403</t>
  </si>
  <si>
    <t>125713</t>
  </si>
  <si>
    <t>124560</t>
  </si>
  <si>
    <t>127966</t>
  </si>
  <si>
    <t>126822</t>
  </si>
  <si>
    <t>119810</t>
  </si>
  <si>
    <t>128031</t>
  </si>
  <si>
    <t>127818</t>
  </si>
  <si>
    <t>122800</t>
  </si>
  <si>
    <t>119760</t>
  </si>
  <si>
    <t>128343</t>
  </si>
  <si>
    <t>128054</t>
  </si>
  <si>
    <t>119877</t>
  </si>
  <si>
    <t>128063</t>
  </si>
  <si>
    <t>128088</t>
  </si>
  <si>
    <t>128087</t>
  </si>
  <si>
    <t>128089</t>
  </si>
  <si>
    <t>126095</t>
  </si>
  <si>
    <t>126789</t>
  </si>
  <si>
    <t>128081</t>
  </si>
  <si>
    <t>128322</t>
  </si>
  <si>
    <t>120207</t>
  </si>
  <si>
    <t>128240</t>
  </si>
  <si>
    <t>120046</t>
  </si>
  <si>
    <t>126427</t>
  </si>
  <si>
    <t>126425</t>
  </si>
  <si>
    <t>126065</t>
  </si>
  <si>
    <t>128212</t>
  </si>
  <si>
    <t>128296</t>
  </si>
  <si>
    <t>129407</t>
  </si>
  <si>
    <t>128108</t>
  </si>
  <si>
    <t>127727</t>
  </si>
  <si>
    <t>120086</t>
  </si>
  <si>
    <t>129611</t>
  </si>
  <si>
    <t>128273</t>
  </si>
  <si>
    <t>129543</t>
  </si>
  <si>
    <t>129690</t>
  </si>
  <si>
    <t>128139</t>
  </si>
  <si>
    <t>132349</t>
  </si>
  <si>
    <t>131380</t>
  </si>
  <si>
    <t>132215</t>
  </si>
  <si>
    <t>133043</t>
  </si>
  <si>
    <t>132163</t>
  </si>
  <si>
    <t>131621</t>
  </si>
  <si>
    <t>134234</t>
  </si>
  <si>
    <t>133103</t>
  </si>
  <si>
    <t>131022</t>
  </si>
  <si>
    <t>135426</t>
  </si>
  <si>
    <t>140293</t>
  </si>
  <si>
    <t>135730</t>
  </si>
  <si>
    <t>140627</t>
  </si>
  <si>
    <t>Timișoara</t>
  </si>
  <si>
    <t>1.1.136</t>
  </si>
  <si>
    <t>Asistenta pentru AM POIM în procesul de pregătire a proiectelor pentru asigurarea respectării prevederilor directivei 92/43/CEE privind conservarea habitatelor naturale și a speciilor de floră și faună sălbatice și a directivei 79/409/CEE privind conservarea păsărilor sălbatice</t>
  </si>
  <si>
    <t>AMPOIM</t>
  </si>
  <si>
    <t>Obiectivul general al proiectului/Scopul proiectului : Sprijinirea AM POIM şi a beneficiarilor în ceea ce priveşte evaluarea impactului potenţial al proiectelor asupra siturilor NATURA 2000 cu accent asupra obiectivelor de conservare generale şi specifice. Obiectivele specifice ale proiectului 1. Parametrizarea obiectivelor de conservare specifice la nivel de sit Natura 2000 existente in planurile de management aprobate pentru a putea asigura o evaluare adecvată aferentă proiectelor propuse la finanţare din POIM pentru asigurarea respectării prevederilor directivelor 92/43/CEE şi 79/409/CEE 2. Parametrizarea obiectivelor de conservare specifice la nivel de sit Natura 2000 premergătoare pentru ariile naturale protejate care nu au plan de management şi parametrizarea unitară a indicatorilor care definesc măsurile minime de conservare şi obiectivele de conservare specifice premergătoare, pentru a putea asigura o evaluare adecvată afer</t>
  </si>
  <si>
    <t>1.1.132</t>
  </si>
  <si>
    <t>Continuarea asigurării de servicii de asistență tehnică din partea experților Băncii Europene de Investiții pentru gestionarea Programului Operațional Infrastructură Mare (POIM) 2014 - 2020 la nivelul beneficiarilor POIM</t>
  </si>
  <si>
    <t>Obiectivul general al proiectului/Scopul proiectului: Întărirea capacităţii administrative a Beneficiarilor POIM în procesul de pregătire, implementare şi management al portofoliului de proiecte POIM si pregatirii pentru perioada urmatoare de programare, inclusiv sprijin în îndeplinirea conditiilor favorizante în sectoarele finanţat prin POIM
 Obiectivele specifice ale proiectului :1. Intarirea capacitatilor si abilitatilor de implementare ale beneficiarilor POIM pentru perioada de programare 2014-2020 2. Maximizarea absorbtiei fondurilor UE inainte de sfarsitul perioadei de programare 2014-2020</t>
  </si>
  <si>
    <t>2.1.128</t>
  </si>
  <si>
    <t>Sprijin pentru ADR Sud Muntenia în pregătirea Programului Operational Regional 2021-2027</t>
  </si>
  <si>
    <t>ADR SM</t>
  </si>
  <si>
    <t xml:space="preserve"> Obiectivul general al proiectului este sprijinirea Agenţiei pentru Dezvoltare Regională Sud Muntenia în realizarea rolului de Autoritate de Management pentru Programul Operaţional Regional în perioada 2021-2027. Obiectivele specifice ale proiectului 1. Obiectivul specific al proiectului este operaţionalizarea rolului Agenţiei pentru Dezvoltare Regională Sud Muntenia în calitate de Autoritate de Management pentru POR 2021-2027.</t>
  </si>
  <si>
    <t>2.1.129</t>
  </si>
  <si>
    <t>Sprijin pentru ADR Nord-Est în pregătirea POR 2021- 2027</t>
  </si>
  <si>
    <t>ADR NE</t>
  </si>
  <si>
    <t xml:space="preserve"> Obiectivul general al proiectului este sprijinirea Agenţiei pentru Dezvoltare Regională Nord-Est în realizarea rolului de Autoritate de Management pentru Programul Operaţional Regional Nord-Est perioada 2021-2027. Obiectivele specifice ale proiectului 1. Obiectivul specific al proiectului este operaţionalizarea rolului Agenţiei pentru Dezvoltare Regională Nord-Est de Autoritate de Management pentru POR Nord-Est 2021-2027</t>
  </si>
  <si>
    <t>140564</t>
  </si>
  <si>
    <t>2.1.130</t>
  </si>
  <si>
    <t>Sprijin pentru ADR Sud - Vest Oltenia în pregătirea POR 2021 - 2027</t>
  </si>
  <si>
    <t>ADR SV Oltenia</t>
  </si>
  <si>
    <t>Obiectivul general al proiectului este sprijinirea Agentiei pentru Dezvoltare Regionala Sud-Vest Oltenia in realizarea rolului de Autoritate de Management pentru Programul Operational Regional Sud-Vest Oltenia perioada 2021-2027. Obiectivul specific al proiectului este operationalizarea rolului Agentiei pentru Dezvoltare Regionala Sud-Vest Oltenia de Autoritate de Management pentru POR Sud-Vest Oltenia 2021-2027</t>
  </si>
  <si>
    <t>31.04.2021</t>
  </si>
  <si>
    <t>Raportare cut-off date 31.12.2020</t>
  </si>
  <si>
    <t>Sprijin pentru ADR Centru în pregătirea POR 2021-2027</t>
  </si>
  <si>
    <t>ADR Centru</t>
  </si>
  <si>
    <t>2.1.133</t>
  </si>
  <si>
    <t>Obiectivul general al proiectului este sprijinirea Agenţiei pentru Dezvoltare Regională Centru în realizarea rolului de Autoritate de Management pentru Programul Operaţional Regional pentru Regiunea Centru aferent perioadei 2021-2027.  Obiectivul specific al proiectului este operaţionalizarea rolului Agenţiei pentru Dezvoltare Regională Centru de Autoritate de Management pentru POR Regiunea Centru 2021-2027.</t>
  </si>
  <si>
    <t>SMIS Code</t>
  </si>
  <si>
    <t>Finalizat tehnic
(nu s-a efectuat plata finală)</t>
  </si>
  <si>
    <t xml:space="preserve">*Totalul este compus din valoarea la zi a proiectelor contractate (cf. ultimului act adițional) + valoarea pe care au fost închise proiectele finalizate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</si>
</sst>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font>
    <font>
      <b/>
      <sz val="10"/>
      <name val="Calibri"/>
      <family val="2"/>
      <charset val="238"/>
    </font>
    <font>
      <b/>
      <i/>
      <sz val="14"/>
      <name val="Calibri"/>
      <family val="2"/>
      <charset val="238"/>
      <scheme val="minor"/>
    </font>
    <font>
      <sz val="11"/>
      <name val="Calibri"/>
      <family val="2"/>
      <charset val="238"/>
    </font>
    <font>
      <sz val="12"/>
      <color theme="1"/>
      <name val="Times New Roman"/>
      <family val="1"/>
      <charset val="238"/>
    </font>
    <font>
      <b/>
      <sz val="12"/>
      <name val="Calibri"/>
      <family val="2"/>
      <scheme val="minor"/>
    </font>
    <font>
      <b/>
      <sz val="10"/>
      <name val="Calibri"/>
      <family val="2"/>
      <scheme val="minor"/>
    </font>
    <font>
      <sz val="11"/>
      <color rgb="FFFF0000"/>
      <name val="Calibri"/>
      <family val="2"/>
      <charset val="238"/>
      <scheme val="minor"/>
    </font>
    <font>
      <sz val="10"/>
      <name val="Calibri"/>
      <family val="2"/>
      <scheme val="minor"/>
    </font>
    <font>
      <sz val="9"/>
      <color indexed="81"/>
      <name val="Tahoma"/>
      <family val="2"/>
    </font>
    <font>
      <sz val="10"/>
      <color theme="1"/>
      <name val="Calibri"/>
      <family val="2"/>
      <charset val="238"/>
      <scheme val="minor"/>
    </font>
    <font>
      <sz val="10"/>
      <color theme="1"/>
      <name val="Calibri"/>
      <family val="2"/>
      <charset val="238"/>
    </font>
    <font>
      <b/>
      <sz val="10"/>
      <color theme="1"/>
      <name val="Calibri"/>
      <family val="2"/>
      <charset val="238"/>
    </font>
    <font>
      <b/>
      <sz val="9"/>
      <color indexed="81"/>
      <name val="Tahoma"/>
      <family val="2"/>
    </font>
    <font>
      <b/>
      <sz val="11"/>
      <color theme="1"/>
      <name val="Calibri"/>
      <family val="2"/>
      <charset val="238"/>
      <scheme val="minor"/>
    </font>
    <font>
      <sz val="10"/>
      <name val="Calibri"/>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s>
  <borders count="54">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theme="4" tint="0.39997558519241921"/>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353">
    <xf numFmtId="0" fontId="0" fillId="0" borderId="0" xfId="0"/>
    <xf numFmtId="0" fontId="5" fillId="0" borderId="0" xfId="0" applyFont="1"/>
    <xf numFmtId="0" fontId="5" fillId="0" borderId="4" xfId="0" applyFont="1" applyFill="1" applyBorder="1"/>
    <xf numFmtId="0" fontId="5" fillId="0" borderId="0" xfId="0" applyFont="1" applyFill="1" applyBorder="1"/>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top" wrapText="1"/>
    </xf>
    <xf numFmtId="14" fontId="6"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Fill="1"/>
    <xf numFmtId="0" fontId="5" fillId="0" borderId="0" xfId="0" applyFont="1" applyBorder="1"/>
    <xf numFmtId="49" fontId="6"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5" fillId="3" borderId="0" xfId="0" applyFont="1" applyFill="1" applyBorder="1"/>
    <xf numFmtId="0" fontId="5" fillId="3" borderId="0" xfId="0" applyFont="1" applyFill="1"/>
    <xf numFmtId="4" fontId="3" fillId="0" borderId="7" xfId="0" applyNumberFormat="1"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top" wrapText="1"/>
    </xf>
    <xf numFmtId="14" fontId="6"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0" xfId="0" applyFont="1" applyFill="1" applyBorder="1"/>
    <xf numFmtId="0" fontId="5" fillId="2" borderId="4" xfId="0" applyFont="1" applyFill="1" applyBorder="1"/>
    <xf numFmtId="49" fontId="6" fillId="2" borderId="4"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xf numFmtId="0" fontId="3" fillId="0" borderId="4" xfId="0" applyNumberFormat="1" applyFont="1" applyFill="1" applyBorder="1" applyAlignment="1">
      <alignment horizontal="center" vertical="center" wrapText="1"/>
    </xf>
    <xf numFmtId="0" fontId="5" fillId="3" borderId="4" xfId="0" applyFont="1" applyFill="1" applyBorder="1"/>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top" wrapText="1"/>
    </xf>
    <xf numFmtId="14" fontId="6" fillId="2"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4" fontId="3" fillId="3" borderId="7"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3" fillId="2" borderId="7"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2" fillId="2" borderId="8" xfId="0" applyNumberFormat="1" applyFont="1" applyFill="1" applyBorder="1" applyAlignment="1">
      <alignment horizontal="left" vertical="center" wrapText="1"/>
    </xf>
    <xf numFmtId="0" fontId="5" fillId="2" borderId="0" xfId="0" applyFont="1" applyFill="1"/>
    <xf numFmtId="0" fontId="5" fillId="4" borderId="4" xfId="0" applyFont="1" applyFill="1" applyBorder="1"/>
    <xf numFmtId="0" fontId="5" fillId="4" borderId="0" xfId="0" applyFont="1" applyFill="1" applyBorder="1"/>
    <xf numFmtId="0" fontId="6" fillId="0" borderId="19" xfId="0" applyFont="1" applyFill="1" applyBorder="1" applyAlignment="1">
      <alignment horizontal="center" vertical="center" wrapText="1"/>
    </xf>
    <xf numFmtId="0" fontId="2" fillId="2" borderId="4" xfId="0" applyNumberFormat="1" applyFont="1" applyFill="1" applyBorder="1" applyAlignment="1">
      <alignment horizontal="left" vertical="center" wrapText="1"/>
    </xf>
    <xf numFmtId="0" fontId="6" fillId="2" borderId="23" xfId="0" applyFont="1" applyFill="1" applyBorder="1" applyAlignment="1">
      <alignment horizontal="center" vertical="center" wrapText="1"/>
    </xf>
    <xf numFmtId="0" fontId="2" fillId="0" borderId="4" xfId="0" applyFont="1" applyFill="1" applyBorder="1" applyAlignment="1">
      <alignment vertical="center"/>
    </xf>
    <xf numFmtId="0" fontId="2" fillId="2" borderId="4" xfId="0" applyFont="1" applyFill="1" applyBorder="1" applyAlignment="1">
      <alignment vertical="center"/>
    </xf>
    <xf numFmtId="0" fontId="2" fillId="2" borderId="4" xfId="0" applyNumberFormat="1"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1" fontId="3" fillId="3" borderId="14" xfId="0" applyNumberFormat="1" applyFont="1" applyFill="1" applyBorder="1" applyAlignment="1">
      <alignment horizontal="center" vertical="center" wrapText="1"/>
    </xf>
    <xf numFmtId="0" fontId="2" fillId="2" borderId="8" xfId="0" applyFont="1" applyFill="1" applyBorder="1" applyAlignment="1">
      <alignment vertical="center"/>
    </xf>
    <xf numFmtId="0" fontId="2" fillId="2" borderId="8"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5" fillId="0" borderId="0" xfId="0" applyFont="1" applyAlignment="1">
      <alignment horizontal="left"/>
    </xf>
    <xf numFmtId="0" fontId="3" fillId="0" borderId="7"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0"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2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7" xfId="0" applyNumberFormat="1" applyFont="1" applyFill="1" applyBorder="1" applyAlignment="1">
      <alignment horizontal="left" vertical="center" wrapText="1"/>
    </xf>
    <xf numFmtId="14" fontId="6" fillId="2" borderId="7"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shrinkToFit="1"/>
    </xf>
    <xf numFmtId="49" fontId="9" fillId="2" borderId="4" xfId="0" applyNumberFormat="1"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2" borderId="24" xfId="0" applyFont="1" applyFill="1" applyBorder="1"/>
    <xf numFmtId="0" fontId="6" fillId="2" borderId="1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25" xfId="0" applyFont="1" applyFill="1" applyBorder="1"/>
    <xf numFmtId="0" fontId="5" fillId="2" borderId="8" xfId="0" applyFont="1" applyFill="1" applyBorder="1"/>
    <xf numFmtId="0" fontId="5" fillId="0" borderId="0" xfId="0" applyFont="1" applyAlignment="1">
      <alignment horizontal="center"/>
    </xf>
    <xf numFmtId="14" fontId="6" fillId="2" borderId="24"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xf>
    <xf numFmtId="0" fontId="2" fillId="2" borderId="23" xfId="0" applyNumberFormat="1" applyFont="1" applyFill="1" applyBorder="1" applyAlignment="1">
      <alignment horizontal="left" vertical="center" wrapText="1"/>
    </xf>
    <xf numFmtId="49" fontId="2" fillId="2" borderId="19"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wrapText="1"/>
    </xf>
    <xf numFmtId="0" fontId="2" fillId="2" borderId="19" xfId="0" applyNumberFormat="1"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9" xfId="0" applyFont="1" applyFill="1" applyBorder="1" applyAlignment="1">
      <alignment horizontal="center" vertical="center" wrapText="1"/>
    </xf>
    <xf numFmtId="0" fontId="10" fillId="2" borderId="8" xfId="0" applyFont="1" applyFill="1" applyBorder="1" applyAlignment="1">
      <alignment vertical="center" wrapText="1" shrinkToFit="1"/>
    </xf>
    <xf numFmtId="0" fontId="10" fillId="2" borderId="8" xfId="0" applyFont="1" applyFill="1" applyBorder="1" applyAlignment="1">
      <alignment horizontal="center" vertical="center" wrapText="1" shrinkToFit="1"/>
    </xf>
    <xf numFmtId="14" fontId="6" fillId="0" borderId="8"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10" fillId="2" borderId="4" xfId="0" applyFont="1" applyFill="1" applyBorder="1" applyAlignment="1">
      <alignment vertical="center" wrapText="1" shrinkToFit="1"/>
    </xf>
    <xf numFmtId="0" fontId="7" fillId="2" borderId="7" xfId="0" applyFont="1" applyFill="1" applyBorder="1" applyAlignment="1">
      <alignment horizontal="center" vertical="center" wrapText="1"/>
    </xf>
    <xf numFmtId="14" fontId="6" fillId="2" borderId="19" xfId="0" applyNumberFormat="1" applyFont="1" applyFill="1" applyBorder="1" applyAlignment="1">
      <alignment horizontal="center" vertical="center" wrapText="1"/>
    </xf>
    <xf numFmtId="14" fontId="6" fillId="2" borderId="29"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2" fillId="2" borderId="8" xfId="0" applyFont="1" applyFill="1" applyBorder="1" applyAlignment="1">
      <alignment horizontal="center" vertical="center"/>
    </xf>
    <xf numFmtId="0" fontId="13" fillId="2" borderId="0" xfId="0" applyFont="1" applyFill="1" applyBorder="1"/>
    <xf numFmtId="4" fontId="5" fillId="2" borderId="0" xfId="0" applyNumberFormat="1" applyFont="1" applyFill="1" applyBorder="1"/>
    <xf numFmtId="4" fontId="13" fillId="2" borderId="0" xfId="0" applyNumberFormat="1" applyFont="1" applyFill="1" applyBorder="1"/>
    <xf numFmtId="0" fontId="13" fillId="2" borderId="0" xfId="0" applyFont="1" applyFill="1" applyBorder="1" applyAlignment="1">
      <alignment horizontal="center" vertical="center"/>
    </xf>
    <xf numFmtId="4" fontId="13" fillId="2" borderId="0"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14" fontId="17" fillId="0" borderId="4" xfId="0" applyNumberFormat="1"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6" fillId="0" borderId="4" xfId="0" applyNumberFormat="1" applyFont="1" applyFill="1" applyBorder="1" applyAlignment="1">
      <alignment horizontal="left" vertical="center" wrapText="1"/>
    </xf>
    <xf numFmtId="0" fontId="18"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0" fontId="17" fillId="0" borderId="8" xfId="0" applyFont="1" applyFill="1" applyBorder="1" applyAlignment="1">
      <alignment horizontal="center" vertical="center" wrapText="1"/>
    </xf>
    <xf numFmtId="49" fontId="16" fillId="0" borderId="8" xfId="0" applyNumberFormat="1" applyFont="1" applyFill="1" applyBorder="1" applyAlignment="1">
      <alignment horizontal="center" vertical="center"/>
    </xf>
    <xf numFmtId="0" fontId="17" fillId="0" borderId="8" xfId="0" applyFont="1" applyFill="1" applyBorder="1" applyAlignment="1">
      <alignment horizontal="left" vertical="center" wrapText="1"/>
    </xf>
    <xf numFmtId="0" fontId="16" fillId="0" borderId="8" xfId="0" applyNumberFormat="1" applyFont="1" applyFill="1" applyBorder="1" applyAlignment="1">
      <alignment horizontal="left" vertical="center" wrapText="1"/>
    </xf>
    <xf numFmtId="14" fontId="17" fillId="0" borderId="8"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4" xfId="0" applyFont="1" applyFill="1" applyBorder="1" applyAlignment="1">
      <alignment horizontal="left" vertical="center" wrapText="1"/>
    </xf>
    <xf numFmtId="49" fontId="16" fillId="2" borderId="4"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wrapText="1"/>
    </xf>
    <xf numFmtId="4" fontId="3" fillId="5" borderId="21"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3" fillId="2" borderId="34"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34" xfId="0" applyFont="1" applyBorder="1" applyAlignment="1">
      <alignment horizontal="center" vertical="center"/>
    </xf>
    <xf numFmtId="0" fontId="3" fillId="2" borderId="50" xfId="0" applyNumberFormat="1" applyFont="1" applyFill="1" applyBorder="1" applyAlignment="1">
      <alignment horizontal="center" vertical="center" wrapText="1"/>
    </xf>
    <xf numFmtId="0" fontId="3" fillId="2" borderId="34" xfId="0" applyFont="1" applyFill="1" applyBorder="1" applyAlignment="1">
      <alignment horizontal="center" vertical="center"/>
    </xf>
    <xf numFmtId="0" fontId="2"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4" xfId="0" applyNumberFormat="1" applyFont="1" applyFill="1" applyBorder="1" applyAlignment="1">
      <alignment horizontal="left" vertical="center" wrapText="1"/>
    </xf>
    <xf numFmtId="0" fontId="18"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2" fillId="2" borderId="2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6" fillId="2" borderId="27" xfId="0" applyNumberFormat="1" applyFont="1" applyFill="1" applyBorder="1" applyAlignment="1">
      <alignment horizontal="left" vertical="center" wrapText="1"/>
    </xf>
    <xf numFmtId="0" fontId="17" fillId="2" borderId="24"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6" fillId="2" borderId="8" xfId="0" applyNumberFormat="1" applyFont="1" applyFill="1" applyBorder="1" applyAlignment="1">
      <alignment horizontal="left" vertical="center" wrapText="1"/>
    </xf>
    <xf numFmtId="14" fontId="17" fillId="2" borderId="8" xfId="0" applyNumberFormat="1" applyFont="1" applyFill="1" applyBorder="1" applyAlignment="1">
      <alignment horizontal="center" vertical="center" wrapText="1"/>
    </xf>
    <xf numFmtId="0" fontId="16" fillId="2" borderId="7" xfId="0" applyNumberFormat="1" applyFont="1" applyFill="1" applyBorder="1" applyAlignment="1">
      <alignment horizontal="left" vertical="center" wrapText="1"/>
    </xf>
    <xf numFmtId="14" fontId="17" fillId="2" borderId="7"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xf>
    <xf numFmtId="0" fontId="12" fillId="2" borderId="4" xfId="0" applyFont="1" applyFill="1" applyBorder="1" applyAlignment="1">
      <alignment horizontal="center" vertical="center"/>
    </xf>
    <xf numFmtId="0" fontId="3" fillId="0" borderId="43"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3" fontId="5" fillId="0" borderId="0" xfId="0" applyNumberFormat="1" applyFont="1" applyFill="1"/>
    <xf numFmtId="3" fontId="8" fillId="0" borderId="0" xfId="0" applyNumberFormat="1" applyFont="1" applyFill="1" applyAlignment="1">
      <alignment horizontal="right"/>
    </xf>
    <xf numFmtId="3" fontId="5" fillId="0" borderId="0" xfId="0" applyNumberFormat="1" applyFont="1" applyFill="1" applyAlignment="1">
      <alignment horizontal="right"/>
    </xf>
    <xf numFmtId="3" fontId="3"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6" fillId="2" borderId="40" xfId="0" applyNumberFormat="1" applyFont="1" applyFill="1" applyBorder="1" applyAlignment="1">
      <alignment horizontal="center" vertical="center" wrapText="1"/>
    </xf>
    <xf numFmtId="3" fontId="3" fillId="3" borderId="26" xfId="0" applyNumberFormat="1" applyFont="1" applyFill="1" applyBorder="1" applyAlignment="1">
      <alignment horizontal="center" vertical="center" wrapText="1"/>
    </xf>
    <xf numFmtId="3" fontId="3" fillId="3" borderId="41" xfId="0" applyNumberFormat="1" applyFont="1" applyFill="1" applyBorder="1" applyAlignment="1">
      <alignment horizontal="center" vertical="center" wrapText="1"/>
    </xf>
    <xf numFmtId="3" fontId="6" fillId="2" borderId="35" xfId="0" applyNumberFormat="1" applyFont="1" applyFill="1" applyBorder="1" applyAlignment="1">
      <alignment horizontal="center" vertical="center" wrapText="1"/>
    </xf>
    <xf numFmtId="3" fontId="3" fillId="3" borderId="14"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6" fillId="2" borderId="42"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35" xfId="0" applyNumberFormat="1" applyFont="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45"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35" xfId="0" applyNumberFormat="1" applyFont="1" applyFill="1" applyBorder="1" applyAlignment="1">
      <alignment horizontal="center" vertical="center" wrapText="1"/>
    </xf>
    <xf numFmtId="3" fontId="3" fillId="3" borderId="22" xfId="0" applyNumberFormat="1" applyFont="1" applyFill="1" applyBorder="1" applyAlignment="1">
      <alignment horizontal="center" vertical="center" wrapText="1"/>
    </xf>
    <xf numFmtId="3" fontId="3" fillId="3" borderId="21"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45" xfId="0" applyNumberFormat="1" applyFont="1" applyBorder="1" applyAlignment="1">
      <alignment horizontal="center" vertical="center" wrapText="1"/>
    </xf>
    <xf numFmtId="3" fontId="6" fillId="2" borderId="19"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17" fillId="2" borderId="4" xfId="0" applyNumberFormat="1" applyFont="1" applyFill="1" applyBorder="1" applyAlignment="1">
      <alignment horizontal="center" vertical="center" wrapText="1"/>
    </xf>
    <xf numFmtId="3" fontId="6" fillId="2" borderId="53"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17" fillId="2" borderId="35" xfId="0" applyNumberFormat="1" applyFont="1" applyFill="1" applyBorder="1" applyAlignment="1">
      <alignment horizontal="center" vertical="center" wrapText="1"/>
    </xf>
    <xf numFmtId="3" fontId="21" fillId="2" borderId="8" xfId="0" applyNumberFormat="1" applyFont="1" applyFill="1" applyBorder="1" applyAlignment="1">
      <alignment horizontal="center" vertical="center" wrapText="1"/>
    </xf>
    <xf numFmtId="3" fontId="3" fillId="5" borderId="21" xfId="0" applyNumberFormat="1" applyFont="1" applyFill="1" applyBorder="1" applyAlignment="1">
      <alignment horizontal="center" vertical="center"/>
    </xf>
    <xf numFmtId="3" fontId="3" fillId="5" borderId="20" xfId="0" applyNumberFormat="1" applyFont="1" applyFill="1" applyBorder="1" applyAlignment="1">
      <alignment horizontal="center" vertical="center"/>
    </xf>
    <xf numFmtId="3" fontId="5" fillId="2" borderId="0" xfId="0" applyNumberFormat="1" applyFont="1" applyFill="1"/>
    <xf numFmtId="3" fontId="5" fillId="0" borderId="0" xfId="0" applyNumberFormat="1" applyFont="1"/>
    <xf numFmtId="3" fontId="7" fillId="2" borderId="4" xfId="0" applyNumberFormat="1" applyFont="1" applyFill="1" applyBorder="1" applyAlignment="1">
      <alignment horizontal="center" vertical="center" wrapText="1"/>
    </xf>
    <xf numFmtId="3" fontId="2" fillId="2" borderId="4" xfId="0" applyNumberFormat="1" applyFont="1" applyFill="1" applyBorder="1" applyAlignment="1">
      <alignment vertical="center"/>
    </xf>
    <xf numFmtId="3" fontId="3" fillId="2" borderId="7"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xf>
    <xf numFmtId="3" fontId="7"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2" fillId="2" borderId="8" xfId="0" applyNumberFormat="1" applyFont="1" applyFill="1" applyBorder="1" applyAlignment="1">
      <alignment vertical="center"/>
    </xf>
    <xf numFmtId="3" fontId="3" fillId="2" borderId="6"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3" fontId="6" fillId="0" borderId="4"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14" fillId="2" borderId="4" xfId="0" applyNumberFormat="1" applyFont="1" applyFill="1" applyBorder="1" applyAlignment="1">
      <alignment horizontal="center" vertical="center"/>
    </xf>
    <xf numFmtId="3" fontId="12" fillId="2" borderId="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xf>
    <xf numFmtId="3" fontId="6" fillId="2" borderId="24" xfId="0" applyNumberFormat="1" applyFont="1" applyFill="1" applyBorder="1" applyAlignment="1">
      <alignment horizontal="center" vertical="center"/>
    </xf>
    <xf numFmtId="3" fontId="6" fillId="2" borderId="6" xfId="0" applyNumberFormat="1" applyFont="1" applyFill="1" applyBorder="1" applyAlignment="1">
      <alignment horizontal="center" vertical="center"/>
    </xf>
    <xf numFmtId="3" fontId="7" fillId="2" borderId="24"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17" fillId="2" borderId="4"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wrapText="1"/>
    </xf>
    <xf numFmtId="3" fontId="17" fillId="2" borderId="8" xfId="0" applyNumberFormat="1" applyFont="1" applyFill="1" applyBorder="1" applyAlignment="1">
      <alignment horizontal="center" vertical="center"/>
    </xf>
    <xf numFmtId="3" fontId="18" fillId="2" borderId="8"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xf>
    <xf numFmtId="3" fontId="18" fillId="0" borderId="8" xfId="0" applyNumberFormat="1" applyFont="1" applyFill="1" applyBorder="1" applyAlignment="1">
      <alignment horizontal="center" vertical="center" wrapText="1"/>
    </xf>
    <xf numFmtId="3" fontId="7" fillId="2" borderId="25" xfId="0" applyNumberFormat="1" applyFont="1" applyFill="1" applyBorder="1" applyAlignment="1">
      <alignment horizontal="center" vertical="center" wrapText="1"/>
    </xf>
    <xf numFmtId="3" fontId="6" fillId="2" borderId="24"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wrapText="1"/>
    </xf>
    <xf numFmtId="3" fontId="6" fillId="2" borderId="29" xfId="0" applyNumberFormat="1" applyFont="1" applyFill="1" applyBorder="1" applyAlignment="1">
      <alignment horizontal="center" vertical="center" wrapText="1"/>
    </xf>
    <xf numFmtId="3" fontId="6" fillId="2" borderId="28" xfId="0" applyNumberFormat="1" applyFont="1" applyFill="1" applyBorder="1" applyAlignment="1">
      <alignment horizontal="center" vertical="center" wrapText="1"/>
    </xf>
    <xf numFmtId="3" fontId="10" fillId="2" borderId="4" xfId="0" applyNumberFormat="1" applyFont="1" applyFill="1" applyBorder="1" applyAlignment="1">
      <alignment vertical="center"/>
    </xf>
    <xf numFmtId="3" fontId="10" fillId="2" borderId="4" xfId="0" applyNumberFormat="1" applyFont="1" applyFill="1" applyBorder="1" applyAlignment="1">
      <alignment horizontal="right" vertical="center" wrapText="1" shrinkToFit="1"/>
    </xf>
    <xf numFmtId="3" fontId="10" fillId="2" borderId="8" xfId="0" applyNumberFormat="1" applyFont="1" applyFill="1" applyBorder="1" applyAlignment="1">
      <alignment horizontal="right" vertical="center" wrapText="1" shrinkToFit="1"/>
    </xf>
    <xf numFmtId="3" fontId="6" fillId="2" borderId="25" xfId="0" applyNumberFormat="1" applyFont="1" applyFill="1" applyBorder="1" applyAlignment="1">
      <alignment horizontal="center" vertical="center" wrapText="1"/>
    </xf>
    <xf numFmtId="3" fontId="0" fillId="2" borderId="0" xfId="0" applyNumberFormat="1" applyFill="1" applyBorder="1" applyAlignment="1">
      <alignment horizontal="center" vertical="center"/>
    </xf>
    <xf numFmtId="3" fontId="20" fillId="2" borderId="30" xfId="0" applyNumberFormat="1" applyFont="1" applyFill="1" applyBorder="1"/>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3" fontId="11" fillId="5" borderId="11" xfId="0" applyNumberFormat="1" applyFont="1" applyFill="1" applyBorder="1" applyAlignment="1">
      <alignment horizontal="center" vertical="center" wrapText="1"/>
    </xf>
    <xf numFmtId="3" fontId="11" fillId="5" borderId="33"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3" fontId="1" fillId="5" borderId="8" xfId="0" applyNumberFormat="1"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3" fontId="11" fillId="5" borderId="9" xfId="0" applyNumberFormat="1" applyFont="1" applyFill="1" applyBorder="1" applyAlignment="1">
      <alignment horizontal="center" vertical="center" wrapText="1"/>
    </xf>
    <xf numFmtId="3" fontId="11" fillId="5" borderId="35" xfId="0" applyNumberFormat="1" applyFont="1" applyFill="1" applyBorder="1" applyAlignment="1">
      <alignment horizontal="center" vertical="center" wrapText="1"/>
    </xf>
    <xf numFmtId="3" fontId="11" fillId="5" borderId="37"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 fillId="5" borderId="8" xfId="0" applyNumberFormat="1" applyFont="1" applyFill="1" applyBorder="1" applyAlignment="1">
      <alignment horizontal="center" vertical="center" wrapText="1"/>
    </xf>
    <xf numFmtId="0" fontId="1" fillId="5" borderId="6" xfId="0"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3" fontId="1" fillId="5" borderId="35" xfId="0" applyNumberFormat="1" applyFont="1" applyFill="1" applyBorder="1" applyAlignment="1">
      <alignment horizontal="center" vertical="center" wrapText="1"/>
    </xf>
    <xf numFmtId="3" fontId="1" fillId="5" borderId="37" xfId="0" applyNumberFormat="1" applyFont="1" applyFill="1" applyBorder="1" applyAlignment="1">
      <alignment horizontal="center" vertical="center" wrapText="1"/>
    </xf>
    <xf numFmtId="0" fontId="3" fillId="3" borderId="31" xfId="0" applyNumberFormat="1" applyFont="1" applyFill="1" applyBorder="1" applyAlignment="1">
      <alignment horizontal="left" vertical="center" wrapText="1"/>
    </xf>
    <xf numFmtId="0" fontId="3" fillId="3" borderId="12" xfId="0" applyNumberFormat="1" applyFont="1" applyFill="1" applyBorder="1" applyAlignment="1">
      <alignment horizontal="left" vertical="center" wrapText="1"/>
    </xf>
    <xf numFmtId="0" fontId="3" fillId="3" borderId="13" xfId="0" applyNumberFormat="1" applyFont="1" applyFill="1" applyBorder="1" applyAlignment="1">
      <alignment horizontal="left" vertical="center" wrapText="1"/>
    </xf>
    <xf numFmtId="0" fontId="4" fillId="0" borderId="3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3" fillId="3" borderId="16" xfId="0" applyNumberFormat="1" applyFont="1" applyFill="1" applyBorder="1" applyAlignment="1">
      <alignment horizontal="left" vertical="center" wrapText="1"/>
    </xf>
    <xf numFmtId="0" fontId="3" fillId="3" borderId="17" xfId="0" applyNumberFormat="1" applyFont="1" applyFill="1" applyBorder="1" applyAlignment="1">
      <alignment horizontal="left" vertical="center" wrapText="1"/>
    </xf>
    <xf numFmtId="0" fontId="3" fillId="0" borderId="3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3" borderId="38"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9"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3" borderId="46" xfId="0" applyNumberFormat="1" applyFont="1" applyFill="1" applyBorder="1" applyAlignment="1">
      <alignment horizontal="left" vertical="center" wrapText="1"/>
    </xf>
    <xf numFmtId="0" fontId="3" fillId="3" borderId="10" xfId="0" applyNumberFormat="1" applyFont="1" applyFill="1" applyBorder="1" applyAlignment="1">
      <alignment horizontal="left" vertical="center" wrapText="1"/>
    </xf>
    <xf numFmtId="0" fontId="3" fillId="0" borderId="43"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3" fillId="3" borderId="20" xfId="0" applyNumberFormat="1" applyFont="1" applyFill="1" applyBorder="1" applyAlignment="1">
      <alignment horizontal="left" vertical="center" wrapText="1"/>
    </xf>
    <xf numFmtId="0" fontId="3" fillId="3" borderId="14" xfId="0" applyNumberFormat="1" applyFont="1" applyFill="1" applyBorder="1" applyAlignment="1">
      <alignment horizontal="left" vertical="center" wrapText="1"/>
    </xf>
    <xf numFmtId="0" fontId="3" fillId="3" borderId="22"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5" borderId="34" xfId="0" applyNumberFormat="1" applyFont="1" applyFill="1" applyBorder="1" applyAlignment="1">
      <alignment horizontal="center" vertical="center" wrapText="1"/>
    </xf>
    <xf numFmtId="0" fontId="3" fillId="5" borderId="36"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0" fontId="1" fillId="5" borderId="4" xfId="0" applyNumberFormat="1" applyFont="1" applyFill="1" applyBorder="1" applyAlignment="1">
      <alignment horizontal="center" vertical="center" wrapText="1"/>
    </xf>
    <xf numFmtId="0" fontId="3" fillId="5" borderId="9"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15" fontId="1" fillId="0" borderId="0"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3" fontId="1" fillId="5" borderId="11" xfId="0" applyNumberFormat="1" applyFont="1" applyFill="1" applyBorder="1" applyAlignment="1">
      <alignment horizontal="center" vertical="center" wrapText="1"/>
    </xf>
    <xf numFmtId="3" fontId="1" fillId="5" borderId="33"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3" borderId="32" xfId="0"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3" fillId="0" borderId="38" xfId="0" applyFont="1" applyBorder="1" applyAlignment="1">
      <alignment horizontal="center"/>
    </xf>
    <xf numFmtId="0" fontId="3" fillId="0" borderId="18" xfId="0" applyFont="1" applyBorder="1" applyAlignment="1">
      <alignment horizontal="center"/>
    </xf>
    <xf numFmtId="0" fontId="3" fillId="0" borderId="39" xfId="0" applyFont="1" applyBorder="1" applyAlignment="1">
      <alignment horizontal="center"/>
    </xf>
    <xf numFmtId="0" fontId="3" fillId="5" borderId="31" xfId="0" applyNumberFormat="1" applyFont="1" applyFill="1" applyBorder="1" applyAlignment="1">
      <alignment horizontal="left" vertical="center" wrapText="1"/>
    </xf>
    <xf numFmtId="0" fontId="3" fillId="5" borderId="12" xfId="0" applyNumberFormat="1" applyFont="1" applyFill="1" applyBorder="1" applyAlignment="1">
      <alignment horizontal="left" vertical="center" wrapText="1"/>
    </xf>
    <xf numFmtId="0" fontId="3" fillId="5" borderId="32" xfId="0" applyNumberFormat="1" applyFont="1" applyFill="1" applyBorder="1" applyAlignment="1">
      <alignment horizontal="left" vertical="center" wrapText="1"/>
    </xf>
    <xf numFmtId="0" fontId="3" fillId="5" borderId="16"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298"/>
  <sheetViews>
    <sheetView tabSelected="1" zoomScale="64" zoomScaleNormal="64" workbookViewId="0">
      <selection activeCell="A31" sqref="A31:Y31"/>
    </sheetView>
  </sheetViews>
  <sheetFormatPr defaultRowHeight="15" x14ac:dyDescent="0.25"/>
  <cols>
    <col min="1" max="1" width="5" style="1" customWidth="1"/>
    <col min="2" max="4" width="12.7109375" style="12" customWidth="1"/>
    <col min="5" max="5" width="43.42578125" style="1" customWidth="1"/>
    <col min="6" max="6" width="24.85546875" style="97" customWidth="1"/>
    <col min="7" max="7" width="109.140625" style="74" customWidth="1"/>
    <col min="8" max="10" width="14.5703125" style="1" customWidth="1"/>
    <col min="11" max="11" width="12.42578125" style="1" customWidth="1"/>
    <col min="12" max="12" width="11.140625" style="1" customWidth="1"/>
    <col min="13" max="13" width="12.28515625" style="1" customWidth="1"/>
    <col min="14" max="14" width="13" style="13" customWidth="1"/>
    <col min="15" max="15" width="12.5703125" style="13" customWidth="1"/>
    <col min="16" max="16" width="20.42578125" style="228" customWidth="1"/>
    <col min="17" max="17" width="20.28515625" style="229" customWidth="1"/>
    <col min="18" max="18" width="20.85546875" style="229" customWidth="1"/>
    <col min="19" max="19" width="16.140625" style="229" customWidth="1"/>
    <col min="20" max="20" width="22" style="229" customWidth="1"/>
    <col min="21" max="21" width="20.85546875" style="229" customWidth="1"/>
    <col min="22" max="22" width="18" style="1" customWidth="1"/>
    <col min="23" max="23" width="13.28515625" style="1" customWidth="1"/>
    <col min="24" max="24" width="21.28515625" style="181" customWidth="1"/>
    <col min="25" max="25" width="17.42578125" style="181" customWidth="1"/>
    <col min="26" max="26" width="16.85546875" style="27" customWidth="1"/>
    <col min="27" max="27" width="15.85546875" style="27" customWidth="1"/>
    <col min="28" max="28" width="13" style="27" bestFit="1" customWidth="1"/>
    <col min="29" max="29" width="9.140625" style="27"/>
    <col min="30" max="30" width="13" style="27" bestFit="1" customWidth="1"/>
    <col min="31" max="32" width="9.140625" style="27"/>
    <col min="33" max="33" width="9.140625" style="27" customWidth="1"/>
    <col min="34" max="50" width="9.140625" style="27"/>
    <col min="51" max="94" width="9.140625" style="3"/>
    <col min="95" max="95" width="9.140625" style="14"/>
    <col min="96" max="16384" width="9.140625" style="1"/>
  </cols>
  <sheetData>
    <row r="1" spans="1:95" ht="18.75" x14ac:dyDescent="0.3">
      <c r="U1" s="228"/>
      <c r="Y1" s="182"/>
    </row>
    <row r="2" spans="1:95" x14ac:dyDescent="0.25">
      <c r="U2" s="228"/>
    </row>
    <row r="3" spans="1:95" x14ac:dyDescent="0.25">
      <c r="U3" s="228"/>
    </row>
    <row r="4" spans="1:95" ht="15" customHeight="1" x14ac:dyDescent="0.25">
      <c r="U4" s="228"/>
      <c r="Y4" s="183"/>
    </row>
    <row r="6" spans="1:95" ht="15.75" customHeight="1" x14ac:dyDescent="0.25">
      <c r="A6" s="325" t="s">
        <v>111</v>
      </c>
      <c r="B6" s="326"/>
      <c r="C6" s="326"/>
      <c r="D6" s="326"/>
      <c r="E6" s="326"/>
      <c r="F6" s="326"/>
      <c r="G6" s="326"/>
      <c r="H6" s="326"/>
      <c r="I6" s="326"/>
      <c r="J6" s="326"/>
      <c r="K6" s="326"/>
      <c r="L6" s="326"/>
      <c r="M6" s="326"/>
      <c r="N6" s="326"/>
      <c r="O6" s="326"/>
      <c r="P6" s="326"/>
      <c r="Q6" s="326"/>
      <c r="R6" s="326"/>
      <c r="S6" s="326"/>
      <c r="T6" s="326"/>
      <c r="U6" s="326"/>
      <c r="V6" s="326"/>
      <c r="W6" s="326"/>
      <c r="X6" s="326"/>
      <c r="Y6" s="326"/>
    </row>
    <row r="7" spans="1:95" ht="15.75" customHeight="1" x14ac:dyDescent="0.25">
      <c r="A7" s="336" t="s">
        <v>751</v>
      </c>
      <c r="B7" s="337"/>
      <c r="C7" s="337"/>
      <c r="D7" s="337"/>
      <c r="E7" s="337"/>
      <c r="F7" s="337"/>
      <c r="G7" s="337"/>
      <c r="H7" s="337"/>
      <c r="I7" s="337"/>
      <c r="J7" s="337"/>
      <c r="K7" s="337"/>
      <c r="L7" s="337"/>
      <c r="M7" s="337"/>
      <c r="N7" s="337"/>
      <c r="O7" s="337"/>
      <c r="P7" s="337"/>
      <c r="Q7" s="337"/>
      <c r="R7" s="337"/>
      <c r="S7" s="337"/>
      <c r="T7" s="337"/>
      <c r="U7" s="337"/>
      <c r="V7" s="337"/>
      <c r="W7" s="337"/>
      <c r="X7" s="337"/>
      <c r="Y7" s="337"/>
    </row>
    <row r="8" spans="1:95" ht="16.5" thickBot="1" x14ac:dyDescent="0.3">
      <c r="A8" s="325"/>
      <c r="B8" s="326"/>
      <c r="C8" s="326"/>
      <c r="D8" s="326"/>
      <c r="E8" s="327"/>
      <c r="F8" s="327"/>
      <c r="G8" s="327"/>
      <c r="H8" s="327"/>
      <c r="I8" s="327"/>
      <c r="J8" s="327"/>
      <c r="K8" s="327"/>
      <c r="L8" s="327"/>
      <c r="M8" s="327"/>
      <c r="N8" s="327"/>
      <c r="O8" s="327"/>
      <c r="P8" s="328"/>
      <c r="Q8" s="328"/>
      <c r="R8" s="328"/>
      <c r="S8" s="328"/>
      <c r="T8" s="328"/>
      <c r="U8" s="328"/>
      <c r="V8" s="11"/>
      <c r="W8" s="11"/>
      <c r="X8" s="184"/>
      <c r="Y8" s="185"/>
    </row>
    <row r="9" spans="1:95" ht="27.75" customHeight="1" x14ac:dyDescent="0.25">
      <c r="A9" s="329" t="s">
        <v>0</v>
      </c>
      <c r="B9" s="338" t="s">
        <v>9</v>
      </c>
      <c r="C9" s="338" t="s">
        <v>635</v>
      </c>
      <c r="D9" s="338" t="s">
        <v>636</v>
      </c>
      <c r="E9" s="332" t="s">
        <v>1</v>
      </c>
      <c r="F9" s="332" t="s">
        <v>15</v>
      </c>
      <c r="G9" s="338" t="s">
        <v>17</v>
      </c>
      <c r="H9" s="338" t="s">
        <v>16</v>
      </c>
      <c r="I9" s="338" t="s">
        <v>18</v>
      </c>
      <c r="J9" s="338" t="s">
        <v>19</v>
      </c>
      <c r="K9" s="332" t="s">
        <v>2</v>
      </c>
      <c r="L9" s="332" t="s">
        <v>20</v>
      </c>
      <c r="M9" s="332" t="s">
        <v>3</v>
      </c>
      <c r="N9" s="332" t="s">
        <v>4</v>
      </c>
      <c r="O9" s="338" t="s">
        <v>21</v>
      </c>
      <c r="P9" s="278" t="s">
        <v>10</v>
      </c>
      <c r="Q9" s="278"/>
      <c r="R9" s="278"/>
      <c r="S9" s="179"/>
      <c r="T9" s="179"/>
      <c r="U9" s="278" t="s">
        <v>5</v>
      </c>
      <c r="V9" s="278" t="s">
        <v>14</v>
      </c>
      <c r="W9" s="278" t="s">
        <v>6</v>
      </c>
      <c r="X9" s="339" t="s">
        <v>23</v>
      </c>
      <c r="Y9" s="340"/>
    </row>
    <row r="10" spans="1:95" ht="24.75" customHeight="1" x14ac:dyDescent="0.25">
      <c r="A10" s="330"/>
      <c r="B10" s="295"/>
      <c r="C10" s="295"/>
      <c r="D10" s="295"/>
      <c r="E10" s="333"/>
      <c r="F10" s="333"/>
      <c r="G10" s="295"/>
      <c r="H10" s="295"/>
      <c r="I10" s="295"/>
      <c r="J10" s="295"/>
      <c r="K10" s="333"/>
      <c r="L10" s="333"/>
      <c r="M10" s="333"/>
      <c r="N10" s="333"/>
      <c r="O10" s="295"/>
      <c r="P10" s="283" t="s">
        <v>11</v>
      </c>
      <c r="Q10" s="283"/>
      <c r="R10" s="283" t="s">
        <v>13</v>
      </c>
      <c r="S10" s="284" t="s">
        <v>22</v>
      </c>
      <c r="T10" s="283" t="s">
        <v>7</v>
      </c>
      <c r="U10" s="279"/>
      <c r="V10" s="279"/>
      <c r="W10" s="279"/>
      <c r="X10" s="283" t="s">
        <v>8</v>
      </c>
      <c r="Y10" s="298" t="s">
        <v>24</v>
      </c>
    </row>
    <row r="11" spans="1:95" ht="28.5" customHeight="1" thickBot="1" x14ac:dyDescent="0.3">
      <c r="A11" s="331"/>
      <c r="B11" s="296"/>
      <c r="C11" s="296"/>
      <c r="D11" s="296"/>
      <c r="E11" s="334"/>
      <c r="F11" s="334"/>
      <c r="G11" s="296"/>
      <c r="H11" s="296"/>
      <c r="I11" s="296"/>
      <c r="J11" s="296"/>
      <c r="K11" s="335"/>
      <c r="L11" s="335"/>
      <c r="M11" s="335"/>
      <c r="N11" s="335"/>
      <c r="O11" s="296"/>
      <c r="P11" s="180" t="s">
        <v>8</v>
      </c>
      <c r="Q11" s="180" t="s">
        <v>12</v>
      </c>
      <c r="R11" s="280"/>
      <c r="S11" s="285"/>
      <c r="T11" s="286"/>
      <c r="U11" s="280"/>
      <c r="V11" s="280"/>
      <c r="W11" s="280"/>
      <c r="X11" s="286"/>
      <c r="Y11" s="299"/>
    </row>
    <row r="12" spans="1:95" ht="24" customHeight="1" x14ac:dyDescent="0.25">
      <c r="A12" s="291" t="s">
        <v>608</v>
      </c>
      <c r="B12" s="294" t="s">
        <v>609</v>
      </c>
      <c r="C12" s="294" t="s">
        <v>756</v>
      </c>
      <c r="D12" s="294" t="s">
        <v>626</v>
      </c>
      <c r="E12" s="272" t="s">
        <v>610</v>
      </c>
      <c r="F12" s="272" t="s">
        <v>611</v>
      </c>
      <c r="G12" s="275" t="s">
        <v>612</v>
      </c>
      <c r="H12" s="275" t="s">
        <v>613</v>
      </c>
      <c r="I12" s="275" t="s">
        <v>614</v>
      </c>
      <c r="J12" s="275" t="s">
        <v>615</v>
      </c>
      <c r="K12" s="272" t="s">
        <v>616</v>
      </c>
      <c r="L12" s="272" t="s">
        <v>617</v>
      </c>
      <c r="M12" s="272" t="s">
        <v>618</v>
      </c>
      <c r="N12" s="272" t="s">
        <v>619</v>
      </c>
      <c r="O12" s="275" t="s">
        <v>620</v>
      </c>
      <c r="P12" s="278" t="s">
        <v>621</v>
      </c>
      <c r="Q12" s="278"/>
      <c r="R12" s="278"/>
      <c r="S12" s="179"/>
      <c r="T12" s="179"/>
      <c r="U12" s="278" t="s">
        <v>622</v>
      </c>
      <c r="V12" s="278" t="s">
        <v>623</v>
      </c>
      <c r="W12" s="278" t="s">
        <v>624</v>
      </c>
      <c r="X12" s="281" t="s">
        <v>625</v>
      </c>
      <c r="Y12" s="282"/>
    </row>
    <row r="13" spans="1:95" ht="31.5" customHeight="1" x14ac:dyDescent="0.25">
      <c r="A13" s="292"/>
      <c r="B13" s="295"/>
      <c r="C13" s="295"/>
      <c r="D13" s="295"/>
      <c r="E13" s="273"/>
      <c r="F13" s="273"/>
      <c r="G13" s="276"/>
      <c r="H13" s="276"/>
      <c r="I13" s="276"/>
      <c r="J13" s="276"/>
      <c r="K13" s="273"/>
      <c r="L13" s="273"/>
      <c r="M13" s="273"/>
      <c r="N13" s="273"/>
      <c r="O13" s="276"/>
      <c r="P13" s="283" t="s">
        <v>627</v>
      </c>
      <c r="Q13" s="283"/>
      <c r="R13" s="283" t="s">
        <v>628</v>
      </c>
      <c r="S13" s="284" t="s">
        <v>629</v>
      </c>
      <c r="T13" s="283" t="s">
        <v>630</v>
      </c>
      <c r="U13" s="279"/>
      <c r="V13" s="279"/>
      <c r="W13" s="279"/>
      <c r="X13" s="287" t="s">
        <v>631</v>
      </c>
      <c r="Y13" s="289" t="s">
        <v>632</v>
      </c>
    </row>
    <row r="14" spans="1:95" ht="26.25" customHeight="1" thickBot="1" x14ac:dyDescent="0.3">
      <c r="A14" s="293"/>
      <c r="B14" s="296"/>
      <c r="C14" s="296"/>
      <c r="D14" s="296"/>
      <c r="E14" s="297"/>
      <c r="F14" s="297"/>
      <c r="G14" s="277"/>
      <c r="H14" s="277"/>
      <c r="I14" s="277"/>
      <c r="J14" s="277"/>
      <c r="K14" s="274"/>
      <c r="L14" s="274"/>
      <c r="M14" s="274"/>
      <c r="N14" s="274"/>
      <c r="O14" s="277"/>
      <c r="P14" s="180" t="s">
        <v>633</v>
      </c>
      <c r="Q14" s="180" t="s">
        <v>634</v>
      </c>
      <c r="R14" s="280"/>
      <c r="S14" s="285"/>
      <c r="T14" s="286"/>
      <c r="U14" s="280"/>
      <c r="V14" s="280"/>
      <c r="W14" s="280"/>
      <c r="X14" s="288"/>
      <c r="Y14" s="290"/>
    </row>
    <row r="15" spans="1:95" ht="15.75" customHeight="1" x14ac:dyDescent="0.25">
      <c r="A15" s="303" t="s">
        <v>25</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5"/>
    </row>
    <row r="16" spans="1:95" s="55" customFormat="1" ht="87" customHeight="1" thickBot="1" x14ac:dyDescent="0.3">
      <c r="A16" s="146">
        <v>1</v>
      </c>
      <c r="B16" s="29" t="s">
        <v>152</v>
      </c>
      <c r="C16" s="29" t="s">
        <v>637</v>
      </c>
      <c r="D16" s="29" t="s">
        <v>343</v>
      </c>
      <c r="E16" s="22" t="s">
        <v>211</v>
      </c>
      <c r="F16" s="23" t="s">
        <v>212</v>
      </c>
      <c r="G16" s="59" t="s">
        <v>213</v>
      </c>
      <c r="H16" s="25">
        <v>42370</v>
      </c>
      <c r="I16" s="25">
        <v>43465</v>
      </c>
      <c r="J16" s="23" t="s">
        <v>115</v>
      </c>
      <c r="K16" s="35" t="s">
        <v>214</v>
      </c>
      <c r="L16" s="35" t="s">
        <v>215</v>
      </c>
      <c r="M16" s="63" t="s">
        <v>271</v>
      </c>
      <c r="N16" s="23" t="s">
        <v>186</v>
      </c>
      <c r="O16" s="23">
        <v>121</v>
      </c>
      <c r="P16" s="186">
        <v>2961561.84</v>
      </c>
      <c r="Q16" s="186">
        <v>535175.69999999995</v>
      </c>
      <c r="R16" s="186">
        <v>0</v>
      </c>
      <c r="S16" s="186">
        <v>0</v>
      </c>
      <c r="T16" s="186">
        <v>297060.17</v>
      </c>
      <c r="U16" s="230">
        <f>P16+Q16+R16+S16+T16</f>
        <v>3793797.71</v>
      </c>
      <c r="V16" s="26" t="s">
        <v>318</v>
      </c>
      <c r="W16" s="23">
        <v>2</v>
      </c>
      <c r="X16" s="186">
        <f>2733223.09+115758.76+112579.99</f>
        <v>2961561.84</v>
      </c>
      <c r="Y16" s="187">
        <f>493913.22+20918.45+20344.02</f>
        <v>535175.68999999994</v>
      </c>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5" s="18" customFormat="1" ht="15.75" thickBot="1" x14ac:dyDescent="0.3">
      <c r="A17" s="300" t="s">
        <v>28</v>
      </c>
      <c r="B17" s="301"/>
      <c r="C17" s="301"/>
      <c r="D17" s="301"/>
      <c r="E17" s="301"/>
      <c r="F17" s="301"/>
      <c r="G17" s="301"/>
      <c r="H17" s="301"/>
      <c r="I17" s="301"/>
      <c r="J17" s="301"/>
      <c r="K17" s="301"/>
      <c r="L17" s="301"/>
      <c r="M17" s="301"/>
      <c r="N17" s="306"/>
      <c r="O17" s="307"/>
      <c r="P17" s="194">
        <f t="shared" ref="P17:Y17" si="0">SUM(P16:P16)</f>
        <v>2961561.84</v>
      </c>
      <c r="Q17" s="194">
        <f t="shared" si="0"/>
        <v>535175.69999999995</v>
      </c>
      <c r="R17" s="194">
        <f t="shared" si="0"/>
        <v>0</v>
      </c>
      <c r="S17" s="194">
        <f t="shared" si="0"/>
        <v>0</v>
      </c>
      <c r="T17" s="194">
        <f t="shared" si="0"/>
        <v>297060.17</v>
      </c>
      <c r="U17" s="194">
        <f t="shared" si="0"/>
        <v>3793797.71</v>
      </c>
      <c r="V17" s="53">
        <f t="shared" si="0"/>
        <v>0</v>
      </c>
      <c r="W17" s="64">
        <f t="shared" si="0"/>
        <v>2</v>
      </c>
      <c r="X17" s="188">
        <f t="shared" si="0"/>
        <v>2961561.84</v>
      </c>
      <c r="Y17" s="189">
        <f t="shared" si="0"/>
        <v>535175.68999999994</v>
      </c>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7"/>
    </row>
    <row r="18" spans="1:95" ht="14.25" customHeight="1" x14ac:dyDescent="0.25">
      <c r="A18" s="308" t="s">
        <v>26</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10"/>
    </row>
    <row r="19" spans="1:95" s="28" customFormat="1" ht="22.5" customHeight="1" thickBot="1" x14ac:dyDescent="0.3">
      <c r="A19" s="146">
        <v>1</v>
      </c>
      <c r="B19" s="29"/>
      <c r="C19" s="29"/>
      <c r="D19" s="29"/>
      <c r="E19" s="22"/>
      <c r="F19" s="23"/>
      <c r="G19" s="59"/>
      <c r="H19" s="25"/>
      <c r="I19" s="25"/>
      <c r="J19" s="23"/>
      <c r="K19" s="35"/>
      <c r="L19" s="35"/>
      <c r="M19" s="35"/>
      <c r="N19" s="23"/>
      <c r="O19" s="23"/>
      <c r="P19" s="186"/>
      <c r="Q19" s="186"/>
      <c r="R19" s="186"/>
      <c r="S19" s="186"/>
      <c r="T19" s="186"/>
      <c r="U19" s="230"/>
      <c r="V19" s="26"/>
      <c r="W19" s="23"/>
      <c r="X19" s="186"/>
      <c r="Y19" s="190"/>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row>
    <row r="20" spans="1:95" s="18" customFormat="1" ht="17.25" customHeight="1" thickBot="1" x14ac:dyDescent="0.3">
      <c r="A20" s="300" t="s">
        <v>29</v>
      </c>
      <c r="B20" s="301"/>
      <c r="C20" s="301"/>
      <c r="D20" s="301"/>
      <c r="E20" s="301"/>
      <c r="F20" s="301"/>
      <c r="G20" s="301"/>
      <c r="H20" s="301"/>
      <c r="I20" s="301"/>
      <c r="J20" s="301"/>
      <c r="K20" s="301"/>
      <c r="L20" s="301"/>
      <c r="M20" s="301"/>
      <c r="N20" s="301"/>
      <c r="O20" s="302"/>
      <c r="P20" s="194">
        <f t="shared" ref="P20:U20" si="1">P19</f>
        <v>0</v>
      </c>
      <c r="Q20" s="191">
        <f t="shared" si="1"/>
        <v>0</v>
      </c>
      <c r="R20" s="191">
        <f t="shared" si="1"/>
        <v>0</v>
      </c>
      <c r="S20" s="191">
        <f t="shared" si="1"/>
        <v>0</v>
      </c>
      <c r="T20" s="191">
        <f t="shared" si="1"/>
        <v>0</v>
      </c>
      <c r="U20" s="191">
        <f t="shared" si="1"/>
        <v>0</v>
      </c>
      <c r="V20" s="20"/>
      <c r="W20" s="65">
        <f>W19</f>
        <v>0</v>
      </c>
      <c r="X20" s="191">
        <f>X19</f>
        <v>0</v>
      </c>
      <c r="Y20" s="192">
        <f>Y19</f>
        <v>0</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17"/>
    </row>
    <row r="21" spans="1:95" ht="15.75" customHeight="1" thickBot="1" x14ac:dyDescent="0.3">
      <c r="A21" s="308" t="s">
        <v>33</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10"/>
    </row>
    <row r="22" spans="1:95" s="55" customFormat="1" ht="128.25" thickBot="1" x14ac:dyDescent="0.3">
      <c r="A22" s="146">
        <v>1</v>
      </c>
      <c r="B22" s="29" t="s">
        <v>152</v>
      </c>
      <c r="C22" s="29" t="s">
        <v>640</v>
      </c>
      <c r="D22" s="29" t="s">
        <v>346</v>
      </c>
      <c r="E22" s="22" t="s">
        <v>206</v>
      </c>
      <c r="F22" s="23" t="s">
        <v>207</v>
      </c>
      <c r="G22" s="59" t="s">
        <v>208</v>
      </c>
      <c r="H22" s="25">
        <v>42370</v>
      </c>
      <c r="I22" s="25">
        <v>43465</v>
      </c>
      <c r="J22" s="23" t="s">
        <v>115</v>
      </c>
      <c r="K22" s="35" t="s">
        <v>209</v>
      </c>
      <c r="L22" s="35" t="s">
        <v>210</v>
      </c>
      <c r="M22" s="35" t="s">
        <v>235</v>
      </c>
      <c r="N22" s="23" t="s">
        <v>186</v>
      </c>
      <c r="O22" s="23">
        <v>121</v>
      </c>
      <c r="P22" s="186">
        <v>2381109.7599999998</v>
      </c>
      <c r="Q22" s="186">
        <v>430283.81000000006</v>
      </c>
      <c r="R22" s="186">
        <v>0</v>
      </c>
      <c r="S22" s="186">
        <v>0</v>
      </c>
      <c r="T22" s="186">
        <v>0</v>
      </c>
      <c r="U22" s="230">
        <f>P22+Q22+R22+S22+T22</f>
        <v>2811393.57</v>
      </c>
      <c r="V22" s="26" t="s">
        <v>548</v>
      </c>
      <c r="W22" s="93">
        <v>2</v>
      </c>
      <c r="X22" s="186">
        <f>942795.19+1210638.54+227676.03</f>
        <v>2381109.7599999998</v>
      </c>
      <c r="Y22" s="193">
        <f>389141.11+41142.71</f>
        <v>430283.82</v>
      </c>
      <c r="Z22" s="120"/>
      <c r="AA22" s="122"/>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row>
    <row r="23" spans="1:95" s="18" customFormat="1" ht="17.25" customHeight="1" thickBot="1" x14ac:dyDescent="0.3">
      <c r="A23" s="300" t="s">
        <v>73</v>
      </c>
      <c r="B23" s="301"/>
      <c r="C23" s="301"/>
      <c r="D23" s="301"/>
      <c r="E23" s="301"/>
      <c r="F23" s="301"/>
      <c r="G23" s="301"/>
      <c r="H23" s="301"/>
      <c r="I23" s="301"/>
      <c r="J23" s="301"/>
      <c r="K23" s="301"/>
      <c r="L23" s="301"/>
      <c r="M23" s="301"/>
      <c r="N23" s="301"/>
      <c r="O23" s="302"/>
      <c r="P23" s="191">
        <f>SUM(P22)</f>
        <v>2381109.7599999998</v>
      </c>
      <c r="Q23" s="191">
        <f t="shared" ref="Q23:Y23" si="2">SUM(Q22)</f>
        <v>430283.81000000006</v>
      </c>
      <c r="R23" s="191">
        <f t="shared" si="2"/>
        <v>0</v>
      </c>
      <c r="S23" s="191">
        <f t="shared" si="2"/>
        <v>0</v>
      </c>
      <c r="T23" s="191">
        <f t="shared" si="2"/>
        <v>0</v>
      </c>
      <c r="U23" s="191">
        <f t="shared" si="2"/>
        <v>2811393.57</v>
      </c>
      <c r="V23" s="20">
        <f t="shared" si="2"/>
        <v>0</v>
      </c>
      <c r="W23" s="20">
        <f t="shared" si="2"/>
        <v>2</v>
      </c>
      <c r="X23" s="194">
        <f t="shared" si="2"/>
        <v>2381109.7599999998</v>
      </c>
      <c r="Y23" s="192">
        <f t="shared" si="2"/>
        <v>430283.82</v>
      </c>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17"/>
    </row>
    <row r="24" spans="1:95" ht="15.75" customHeight="1" x14ac:dyDescent="0.25">
      <c r="A24" s="308" t="s">
        <v>34</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10"/>
    </row>
    <row r="25" spans="1:95" s="28" customFormat="1" ht="42.75" customHeight="1" thickBot="1" x14ac:dyDescent="0.3">
      <c r="A25" s="146">
        <v>1</v>
      </c>
      <c r="B25" s="62"/>
      <c r="C25" s="62"/>
      <c r="D25" s="62"/>
      <c r="E25" s="22"/>
      <c r="F25" s="23"/>
      <c r="G25" s="24"/>
      <c r="H25" s="25"/>
      <c r="I25" s="25"/>
      <c r="J25" s="23"/>
      <c r="K25" s="35"/>
      <c r="L25" s="35"/>
      <c r="M25" s="35"/>
      <c r="N25" s="23"/>
      <c r="O25" s="23"/>
      <c r="P25" s="186"/>
      <c r="Q25" s="186"/>
      <c r="R25" s="186"/>
      <c r="S25" s="231"/>
      <c r="T25" s="186"/>
      <c r="U25" s="230"/>
      <c r="V25" s="26"/>
      <c r="W25" s="23"/>
      <c r="X25" s="186"/>
      <c r="Y25" s="190"/>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27"/>
    </row>
    <row r="26" spans="1:95" s="18" customFormat="1" ht="17.25" customHeight="1" thickBot="1" x14ac:dyDescent="0.3">
      <c r="A26" s="300" t="s">
        <v>74</v>
      </c>
      <c r="B26" s="301"/>
      <c r="C26" s="301"/>
      <c r="D26" s="301"/>
      <c r="E26" s="301"/>
      <c r="F26" s="301"/>
      <c r="G26" s="301"/>
      <c r="H26" s="301"/>
      <c r="I26" s="301"/>
      <c r="J26" s="301"/>
      <c r="K26" s="301"/>
      <c r="L26" s="301"/>
      <c r="M26" s="301"/>
      <c r="N26" s="301"/>
      <c r="O26" s="302"/>
      <c r="P26" s="194">
        <v>0</v>
      </c>
      <c r="Q26" s="191">
        <v>0</v>
      </c>
      <c r="R26" s="191">
        <v>0</v>
      </c>
      <c r="S26" s="191">
        <v>0</v>
      </c>
      <c r="T26" s="191">
        <v>0</v>
      </c>
      <c r="U26" s="191">
        <f>P26+Q26+R26+S26+T26</f>
        <v>0</v>
      </c>
      <c r="V26" s="20"/>
      <c r="W26" s="20">
        <v>0</v>
      </c>
      <c r="X26" s="191">
        <v>0</v>
      </c>
      <c r="Y26" s="192">
        <v>0</v>
      </c>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17"/>
    </row>
    <row r="27" spans="1:95" s="18" customFormat="1" ht="15.75" customHeight="1" x14ac:dyDescent="0.25">
      <c r="A27" s="311" t="s">
        <v>35</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3"/>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17"/>
    </row>
    <row r="28" spans="1:95" s="28" customFormat="1" ht="51" x14ac:dyDescent="0.25">
      <c r="A28" s="146">
        <v>1</v>
      </c>
      <c r="B28" s="29" t="s">
        <v>152</v>
      </c>
      <c r="C28" s="29" t="s">
        <v>641</v>
      </c>
      <c r="D28" s="29" t="s">
        <v>349</v>
      </c>
      <c r="E28" s="22" t="s">
        <v>198</v>
      </c>
      <c r="F28" s="23" t="s">
        <v>199</v>
      </c>
      <c r="G28" s="59" t="s">
        <v>200</v>
      </c>
      <c r="H28" s="25">
        <v>42309</v>
      </c>
      <c r="I28" s="25">
        <v>43465</v>
      </c>
      <c r="J28" s="23" t="s">
        <v>115</v>
      </c>
      <c r="K28" s="35" t="s">
        <v>201</v>
      </c>
      <c r="L28" s="35" t="s">
        <v>202</v>
      </c>
      <c r="M28" s="35"/>
      <c r="N28" s="23" t="s">
        <v>186</v>
      </c>
      <c r="O28" s="23">
        <v>121</v>
      </c>
      <c r="P28" s="186">
        <v>3594591.07</v>
      </c>
      <c r="Q28" s="186">
        <v>649568.62</v>
      </c>
      <c r="R28" s="186">
        <v>0</v>
      </c>
      <c r="S28" s="186">
        <v>0</v>
      </c>
      <c r="T28" s="186">
        <v>343892.69</v>
      </c>
      <c r="U28" s="230">
        <f>P28+Q28+R28+S28+T28</f>
        <v>4588052.38</v>
      </c>
      <c r="V28" s="26" t="s">
        <v>548</v>
      </c>
      <c r="W28" s="93">
        <v>3</v>
      </c>
      <c r="X28" s="186">
        <f>2862698.11+198078.59+183437.38+129653.4+220723.59</f>
        <v>3594591.0699999994</v>
      </c>
      <c r="Y28" s="190">
        <f>517310.28+35794.24+33148.45+23429.3+39886.35</f>
        <v>649568.62</v>
      </c>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row>
    <row r="29" spans="1:95" ht="15.75" thickBot="1" x14ac:dyDescent="0.3">
      <c r="A29" s="177"/>
      <c r="B29" s="178"/>
      <c r="C29" s="178"/>
      <c r="D29" s="178"/>
      <c r="E29" s="178"/>
      <c r="F29" s="178"/>
      <c r="G29" s="75"/>
      <c r="H29" s="178"/>
      <c r="I29" s="178"/>
      <c r="J29" s="178"/>
      <c r="K29" s="178"/>
      <c r="L29" s="178"/>
      <c r="M29" s="178"/>
      <c r="N29" s="178"/>
      <c r="O29" s="178"/>
      <c r="P29" s="232"/>
      <c r="Q29" s="195"/>
      <c r="R29" s="195"/>
      <c r="S29" s="195"/>
      <c r="T29" s="195"/>
      <c r="U29" s="195"/>
      <c r="V29" s="19"/>
      <c r="W29" s="19"/>
      <c r="X29" s="195"/>
      <c r="Y29" s="196"/>
    </row>
    <row r="30" spans="1:95" s="18" customFormat="1" ht="17.25" customHeight="1" thickBot="1" x14ac:dyDescent="0.3">
      <c r="A30" s="300" t="s">
        <v>75</v>
      </c>
      <c r="B30" s="301"/>
      <c r="C30" s="301"/>
      <c r="D30" s="301"/>
      <c r="E30" s="301"/>
      <c r="F30" s="301"/>
      <c r="G30" s="301"/>
      <c r="H30" s="301"/>
      <c r="I30" s="301"/>
      <c r="J30" s="301"/>
      <c r="K30" s="301"/>
      <c r="L30" s="301"/>
      <c r="M30" s="301"/>
      <c r="N30" s="301"/>
      <c r="O30" s="302"/>
      <c r="P30" s="191">
        <f>P28</f>
        <v>3594591.07</v>
      </c>
      <c r="Q30" s="191">
        <f t="shared" ref="Q30:U30" si="3">Q28</f>
        <v>649568.62</v>
      </c>
      <c r="R30" s="191">
        <f t="shared" si="3"/>
        <v>0</v>
      </c>
      <c r="S30" s="191">
        <f t="shared" si="3"/>
        <v>0</v>
      </c>
      <c r="T30" s="191">
        <f t="shared" si="3"/>
        <v>343892.69</v>
      </c>
      <c r="U30" s="191">
        <f t="shared" si="3"/>
        <v>4588052.38</v>
      </c>
      <c r="V30" s="20"/>
      <c r="W30" s="20">
        <f>W28</f>
        <v>3</v>
      </c>
      <c r="X30" s="191">
        <f>X28</f>
        <v>3594591.0699999994</v>
      </c>
      <c r="Y30" s="192">
        <f>Y28</f>
        <v>649568.62</v>
      </c>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17"/>
    </row>
    <row r="31" spans="1:95" ht="15.75" customHeight="1" x14ac:dyDescent="0.25">
      <c r="A31" s="308" t="s">
        <v>36</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10"/>
    </row>
    <row r="32" spans="1:95" s="32" customFormat="1" x14ac:dyDescent="0.25">
      <c r="A32" s="147">
        <v>1</v>
      </c>
      <c r="B32" s="29"/>
      <c r="C32" s="29"/>
      <c r="D32" s="29"/>
      <c r="E32" s="22"/>
      <c r="F32" s="23"/>
      <c r="G32" s="16"/>
      <c r="H32" s="30"/>
      <c r="I32" s="30"/>
      <c r="J32" s="31"/>
      <c r="K32" s="33"/>
      <c r="L32" s="33"/>
      <c r="M32" s="33"/>
      <c r="N32" s="5"/>
      <c r="O32" s="5"/>
      <c r="P32" s="186"/>
      <c r="Q32" s="197"/>
      <c r="R32" s="197"/>
      <c r="S32" s="197"/>
      <c r="T32" s="197"/>
      <c r="U32" s="233"/>
      <c r="V32" s="8"/>
      <c r="W32" s="5"/>
      <c r="X32" s="197"/>
      <c r="Y32" s="198"/>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14"/>
    </row>
    <row r="33" spans="1:95" ht="15.75" thickBot="1" x14ac:dyDescent="0.3">
      <c r="A33" s="177"/>
      <c r="B33" s="178"/>
      <c r="C33" s="178"/>
      <c r="D33" s="178"/>
      <c r="E33" s="178"/>
      <c r="F33" s="178"/>
      <c r="G33" s="75"/>
      <c r="H33" s="178"/>
      <c r="I33" s="178"/>
      <c r="J33" s="178"/>
      <c r="K33" s="178"/>
      <c r="L33" s="178"/>
      <c r="M33" s="178"/>
      <c r="N33" s="178"/>
      <c r="O33" s="178"/>
      <c r="P33" s="232"/>
      <c r="Q33" s="195"/>
      <c r="R33" s="195"/>
      <c r="S33" s="195"/>
      <c r="T33" s="195"/>
      <c r="U33" s="195"/>
      <c r="V33" s="19"/>
      <c r="W33" s="19"/>
      <c r="X33" s="195"/>
      <c r="Y33" s="196"/>
    </row>
    <row r="34" spans="1:95" s="18" customFormat="1" ht="17.25" customHeight="1" thickBot="1" x14ac:dyDescent="0.3">
      <c r="A34" s="300" t="s">
        <v>76</v>
      </c>
      <c r="B34" s="301"/>
      <c r="C34" s="301"/>
      <c r="D34" s="301"/>
      <c r="E34" s="301"/>
      <c r="F34" s="301"/>
      <c r="G34" s="301"/>
      <c r="H34" s="301"/>
      <c r="I34" s="301"/>
      <c r="J34" s="301"/>
      <c r="K34" s="301"/>
      <c r="L34" s="301"/>
      <c r="M34" s="301"/>
      <c r="N34" s="301"/>
      <c r="O34" s="302"/>
      <c r="P34" s="194">
        <f t="shared" ref="P34:U34" si="4">P32</f>
        <v>0</v>
      </c>
      <c r="Q34" s="191">
        <f t="shared" si="4"/>
        <v>0</v>
      </c>
      <c r="R34" s="191">
        <f t="shared" si="4"/>
        <v>0</v>
      </c>
      <c r="S34" s="191">
        <f t="shared" si="4"/>
        <v>0</v>
      </c>
      <c r="T34" s="191">
        <f t="shared" si="4"/>
        <v>0</v>
      </c>
      <c r="U34" s="191">
        <f t="shared" si="4"/>
        <v>0</v>
      </c>
      <c r="V34" s="20"/>
      <c r="W34" s="20">
        <f>W32</f>
        <v>0</v>
      </c>
      <c r="X34" s="191">
        <f>X32</f>
        <v>0</v>
      </c>
      <c r="Y34" s="192">
        <f>Y32</f>
        <v>0</v>
      </c>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17"/>
    </row>
    <row r="35" spans="1:95" ht="15.75" customHeight="1" thickBot="1" x14ac:dyDescent="0.3">
      <c r="A35" s="314" t="s">
        <v>37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6"/>
    </row>
    <row r="36" spans="1:95" x14ac:dyDescent="0.25">
      <c r="A36" s="177">
        <v>1</v>
      </c>
      <c r="B36" s="178"/>
      <c r="C36" s="178"/>
      <c r="D36" s="178"/>
      <c r="E36" s="178"/>
      <c r="F36" s="178"/>
      <c r="G36" s="75"/>
      <c r="H36" s="178"/>
      <c r="I36" s="178"/>
      <c r="J36" s="178"/>
      <c r="K36" s="178"/>
      <c r="L36" s="178"/>
      <c r="M36" s="178"/>
      <c r="N36" s="178"/>
      <c r="O36" s="178"/>
      <c r="P36" s="232"/>
      <c r="Q36" s="195"/>
      <c r="R36" s="195"/>
      <c r="S36" s="195"/>
      <c r="T36" s="195"/>
      <c r="U36" s="195"/>
      <c r="V36" s="19"/>
      <c r="W36" s="19"/>
      <c r="X36" s="195"/>
      <c r="Y36" s="196"/>
    </row>
    <row r="37" spans="1:95" ht="15.75" thickBot="1" x14ac:dyDescent="0.3">
      <c r="A37" s="147">
        <v>2</v>
      </c>
      <c r="B37" s="178"/>
      <c r="C37" s="178"/>
      <c r="D37" s="178"/>
      <c r="E37" s="33"/>
      <c r="F37" s="33"/>
      <c r="G37" s="75"/>
      <c r="H37" s="178"/>
      <c r="I37" s="178"/>
      <c r="J37" s="178"/>
      <c r="K37" s="33"/>
      <c r="L37" s="33"/>
      <c r="M37" s="33"/>
      <c r="N37" s="33"/>
      <c r="O37" s="178"/>
      <c r="P37" s="234"/>
      <c r="Q37" s="199"/>
      <c r="R37" s="199"/>
      <c r="S37" s="195"/>
      <c r="T37" s="199"/>
      <c r="U37" s="199"/>
      <c r="V37" s="109"/>
      <c r="W37" s="109"/>
      <c r="X37" s="199"/>
      <c r="Y37" s="200"/>
    </row>
    <row r="38" spans="1:95" s="18" customFormat="1" ht="17.25" customHeight="1" thickBot="1" x14ac:dyDescent="0.3">
      <c r="A38" s="300" t="s">
        <v>77</v>
      </c>
      <c r="B38" s="301"/>
      <c r="C38" s="301"/>
      <c r="D38" s="301"/>
      <c r="E38" s="301"/>
      <c r="F38" s="301"/>
      <c r="G38" s="301"/>
      <c r="H38" s="301"/>
      <c r="I38" s="301"/>
      <c r="J38" s="301"/>
      <c r="K38" s="301"/>
      <c r="L38" s="301"/>
      <c r="M38" s="301"/>
      <c r="N38" s="301"/>
      <c r="O38" s="302"/>
      <c r="P38" s="194">
        <f>P36</f>
        <v>0</v>
      </c>
      <c r="Q38" s="191">
        <f t="shared" ref="Q38:U38" si="5">Q36</f>
        <v>0</v>
      </c>
      <c r="R38" s="191">
        <f t="shared" si="5"/>
        <v>0</v>
      </c>
      <c r="S38" s="191">
        <f t="shared" si="5"/>
        <v>0</v>
      </c>
      <c r="T38" s="191">
        <f t="shared" si="5"/>
        <v>0</v>
      </c>
      <c r="U38" s="191">
        <f t="shared" si="5"/>
        <v>0</v>
      </c>
      <c r="V38" s="20"/>
      <c r="W38" s="20">
        <f>W36</f>
        <v>0</v>
      </c>
      <c r="X38" s="191">
        <f>X36</f>
        <v>0</v>
      </c>
      <c r="Y38" s="192">
        <f>Y36</f>
        <v>0</v>
      </c>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17"/>
    </row>
    <row r="39" spans="1:95" ht="15.75" customHeight="1" x14ac:dyDescent="0.25">
      <c r="A39" s="308" t="s">
        <v>38</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10"/>
    </row>
    <row r="40" spans="1:95" s="32" customFormat="1" x14ac:dyDescent="0.25">
      <c r="A40" s="147">
        <v>1</v>
      </c>
      <c r="B40" s="29"/>
      <c r="C40" s="29"/>
      <c r="D40" s="29"/>
      <c r="E40" s="22"/>
      <c r="F40" s="23"/>
      <c r="G40" s="16"/>
      <c r="H40" s="30"/>
      <c r="I40" s="30"/>
      <c r="J40" s="31"/>
      <c r="K40" s="33"/>
      <c r="L40" s="33"/>
      <c r="M40" s="33"/>
      <c r="N40" s="5"/>
      <c r="O40" s="5"/>
      <c r="P40" s="186"/>
      <c r="Q40" s="197"/>
      <c r="R40" s="197"/>
      <c r="S40" s="197"/>
      <c r="T40" s="197"/>
      <c r="U40" s="233"/>
      <c r="V40" s="8"/>
      <c r="W40" s="5"/>
      <c r="X40" s="197"/>
      <c r="Y40" s="198"/>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14"/>
    </row>
    <row r="41" spans="1:95" ht="15.75" thickBot="1" x14ac:dyDescent="0.3">
      <c r="A41" s="177"/>
      <c r="B41" s="178"/>
      <c r="C41" s="178"/>
      <c r="D41" s="178"/>
      <c r="E41" s="178"/>
      <c r="F41" s="178"/>
      <c r="G41" s="75"/>
      <c r="H41" s="178"/>
      <c r="I41" s="178"/>
      <c r="J41" s="178"/>
      <c r="K41" s="178"/>
      <c r="L41" s="178"/>
      <c r="M41" s="178"/>
      <c r="N41" s="178"/>
      <c r="O41" s="178"/>
      <c r="P41" s="232"/>
      <c r="Q41" s="195"/>
      <c r="R41" s="195"/>
      <c r="S41" s="195"/>
      <c r="T41" s="195"/>
      <c r="U41" s="195"/>
      <c r="V41" s="19"/>
      <c r="W41" s="19"/>
      <c r="X41" s="195"/>
      <c r="Y41" s="196"/>
    </row>
    <row r="42" spans="1:95" s="18" customFormat="1" ht="17.25" customHeight="1" thickBot="1" x14ac:dyDescent="0.3">
      <c r="A42" s="300" t="s">
        <v>78</v>
      </c>
      <c r="B42" s="301"/>
      <c r="C42" s="301"/>
      <c r="D42" s="301"/>
      <c r="E42" s="301"/>
      <c r="F42" s="301"/>
      <c r="G42" s="301"/>
      <c r="H42" s="301"/>
      <c r="I42" s="301"/>
      <c r="J42" s="301"/>
      <c r="K42" s="301"/>
      <c r="L42" s="301"/>
      <c r="M42" s="301"/>
      <c r="N42" s="301"/>
      <c r="O42" s="302"/>
      <c r="P42" s="194">
        <f t="shared" ref="P42:U42" si="6">P40</f>
        <v>0</v>
      </c>
      <c r="Q42" s="191">
        <f t="shared" si="6"/>
        <v>0</v>
      </c>
      <c r="R42" s="191">
        <f t="shared" si="6"/>
        <v>0</v>
      </c>
      <c r="S42" s="191">
        <f t="shared" si="6"/>
        <v>0</v>
      </c>
      <c r="T42" s="191">
        <f t="shared" si="6"/>
        <v>0</v>
      </c>
      <c r="U42" s="191">
        <f t="shared" si="6"/>
        <v>0</v>
      </c>
      <c r="V42" s="20"/>
      <c r="W42" s="20">
        <f>W40</f>
        <v>0</v>
      </c>
      <c r="X42" s="191">
        <f>X40</f>
        <v>0</v>
      </c>
      <c r="Y42" s="192">
        <f>Y40</f>
        <v>0</v>
      </c>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17"/>
    </row>
    <row r="43" spans="1:95" ht="15.75" customHeight="1" x14ac:dyDescent="0.25">
      <c r="A43" s="308" t="s">
        <v>39</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10"/>
    </row>
    <row r="44" spans="1:95" s="28" customFormat="1" ht="38.25" x14ac:dyDescent="0.25">
      <c r="A44" s="146">
        <v>1</v>
      </c>
      <c r="B44" s="29" t="s">
        <v>152</v>
      </c>
      <c r="C44" s="29" t="s">
        <v>642</v>
      </c>
      <c r="D44" s="29" t="s">
        <v>350</v>
      </c>
      <c r="E44" s="22" t="s">
        <v>216</v>
      </c>
      <c r="F44" s="23" t="s">
        <v>217</v>
      </c>
      <c r="G44" s="59" t="s">
        <v>218</v>
      </c>
      <c r="H44" s="25">
        <v>42370</v>
      </c>
      <c r="I44" s="25">
        <v>43465</v>
      </c>
      <c r="J44" s="23" t="s">
        <v>115</v>
      </c>
      <c r="K44" s="35" t="s">
        <v>219</v>
      </c>
      <c r="L44" s="35" t="s">
        <v>220</v>
      </c>
      <c r="M44" s="35"/>
      <c r="N44" s="23">
        <f>N43</f>
        <v>0</v>
      </c>
      <c r="O44" s="23">
        <v>121</v>
      </c>
      <c r="P44" s="186">
        <v>1961277.4600000002</v>
      </c>
      <c r="Q44" s="186">
        <v>354417.0399999998</v>
      </c>
      <c r="R44" s="186">
        <v>0</v>
      </c>
      <c r="S44" s="186">
        <v>0</v>
      </c>
      <c r="T44" s="186">
        <v>284709.40000000002</v>
      </c>
      <c r="U44" s="230">
        <f>P44+Q44+R44+S44+T44</f>
        <v>2600403.9</v>
      </c>
      <c r="V44" s="26" t="s">
        <v>548</v>
      </c>
      <c r="W44" s="93">
        <v>1</v>
      </c>
      <c r="X44" s="186">
        <v>1961277.46</v>
      </c>
      <c r="Y44" s="190">
        <v>354417.04</v>
      </c>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row>
    <row r="45" spans="1:95" ht="15.75" thickBot="1" x14ac:dyDescent="0.3">
      <c r="A45" s="177"/>
      <c r="B45" s="178"/>
      <c r="C45" s="178"/>
      <c r="D45" s="178"/>
      <c r="E45" s="178"/>
      <c r="F45" s="178"/>
      <c r="G45" s="75"/>
      <c r="H45" s="178"/>
      <c r="I45" s="178"/>
      <c r="J45" s="178"/>
      <c r="K45" s="178"/>
      <c r="L45" s="178"/>
      <c r="M45" s="178"/>
      <c r="N45" s="178"/>
      <c r="O45" s="178"/>
      <c r="P45" s="232"/>
      <c r="Q45" s="195"/>
      <c r="R45" s="195"/>
      <c r="S45" s="195"/>
      <c r="T45" s="195"/>
      <c r="U45" s="195"/>
      <c r="V45" s="19"/>
      <c r="W45" s="19"/>
      <c r="X45" s="195"/>
      <c r="Y45" s="196"/>
    </row>
    <row r="46" spans="1:95" s="18" customFormat="1" ht="17.25" customHeight="1" thickBot="1" x14ac:dyDescent="0.3">
      <c r="A46" s="300" t="s">
        <v>79</v>
      </c>
      <c r="B46" s="301"/>
      <c r="C46" s="301"/>
      <c r="D46" s="301"/>
      <c r="E46" s="301"/>
      <c r="F46" s="301"/>
      <c r="G46" s="301"/>
      <c r="H46" s="301"/>
      <c r="I46" s="301"/>
      <c r="J46" s="301"/>
      <c r="K46" s="301"/>
      <c r="L46" s="301"/>
      <c r="M46" s="301"/>
      <c r="N46" s="301"/>
      <c r="O46" s="302"/>
      <c r="P46" s="191">
        <f t="shared" ref="P46:U46" si="7">P44</f>
        <v>1961277.4600000002</v>
      </c>
      <c r="Q46" s="191">
        <f t="shared" si="7"/>
        <v>354417.0399999998</v>
      </c>
      <c r="R46" s="191">
        <f t="shared" si="7"/>
        <v>0</v>
      </c>
      <c r="S46" s="191">
        <f t="shared" si="7"/>
        <v>0</v>
      </c>
      <c r="T46" s="191">
        <f t="shared" si="7"/>
        <v>284709.40000000002</v>
      </c>
      <c r="U46" s="191">
        <f t="shared" si="7"/>
        <v>2600403.9</v>
      </c>
      <c r="V46" s="20"/>
      <c r="W46" s="20">
        <f>W44</f>
        <v>1</v>
      </c>
      <c r="X46" s="191">
        <f>X44</f>
        <v>1961277.46</v>
      </c>
      <c r="Y46" s="192">
        <f>Y44</f>
        <v>354417.04</v>
      </c>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17"/>
    </row>
    <row r="47" spans="1:95" ht="15.75" customHeight="1" x14ac:dyDescent="0.25">
      <c r="A47" s="308" t="s">
        <v>40</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10"/>
    </row>
    <row r="48" spans="1:95" s="28" customFormat="1" ht="51" x14ac:dyDescent="0.25">
      <c r="A48" s="146">
        <v>1</v>
      </c>
      <c r="B48" s="29" t="s">
        <v>152</v>
      </c>
      <c r="C48" s="29" t="s">
        <v>643</v>
      </c>
      <c r="D48" s="29" t="s">
        <v>351</v>
      </c>
      <c r="E48" s="22" t="s">
        <v>187</v>
      </c>
      <c r="F48" s="23" t="s">
        <v>296</v>
      </c>
      <c r="G48" s="59" t="s">
        <v>188</v>
      </c>
      <c r="H48" s="25">
        <v>42583</v>
      </c>
      <c r="I48" s="25">
        <v>42855</v>
      </c>
      <c r="J48" s="23" t="s">
        <v>115</v>
      </c>
      <c r="K48" s="63" t="s">
        <v>189</v>
      </c>
      <c r="L48" s="35" t="s">
        <v>190</v>
      </c>
      <c r="M48" s="63" t="s">
        <v>190</v>
      </c>
      <c r="N48" s="23" t="s">
        <v>116</v>
      </c>
      <c r="O48" s="23">
        <v>121</v>
      </c>
      <c r="P48" s="186">
        <v>39231.360000000001</v>
      </c>
      <c r="Q48" s="186">
        <v>0</v>
      </c>
      <c r="R48" s="186">
        <v>7089.39</v>
      </c>
      <c r="S48" s="186">
        <v>0</v>
      </c>
      <c r="T48" s="186">
        <v>0</v>
      </c>
      <c r="U48" s="235">
        <f>P48+Q48+R48+S48+T48</f>
        <v>46320.75</v>
      </c>
      <c r="V48" s="43" t="s">
        <v>318</v>
      </c>
      <c r="W48" s="40">
        <v>0</v>
      </c>
      <c r="X48" s="201">
        <v>39231.360000000001</v>
      </c>
      <c r="Y48" s="202">
        <v>0</v>
      </c>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row>
    <row r="49" spans="1:95" s="28" customFormat="1" ht="76.5" x14ac:dyDescent="0.25">
      <c r="A49" s="146">
        <v>2</v>
      </c>
      <c r="B49" s="29" t="s">
        <v>152</v>
      </c>
      <c r="C49" s="29" t="s">
        <v>644</v>
      </c>
      <c r="D49" s="29" t="s">
        <v>352</v>
      </c>
      <c r="E49" s="22" t="s">
        <v>221</v>
      </c>
      <c r="F49" s="23" t="s">
        <v>142</v>
      </c>
      <c r="G49" s="59" t="s">
        <v>222</v>
      </c>
      <c r="H49" s="25">
        <v>42552</v>
      </c>
      <c r="I49" s="25">
        <v>44104</v>
      </c>
      <c r="J49" s="23" t="s">
        <v>115</v>
      </c>
      <c r="K49" s="63" t="s">
        <v>189</v>
      </c>
      <c r="L49" s="35" t="s">
        <v>190</v>
      </c>
      <c r="M49" s="63" t="s">
        <v>190</v>
      </c>
      <c r="N49" s="23" t="s">
        <v>116</v>
      </c>
      <c r="O49" s="23">
        <v>121</v>
      </c>
      <c r="P49" s="186">
        <f>31438087.86+452193.36-359140.71</f>
        <v>31531140.509999998</v>
      </c>
      <c r="Q49" s="186">
        <v>0</v>
      </c>
      <c r="R49" s="186">
        <f>5681090.19+81714.64-64899.35</f>
        <v>5697905.4800000004</v>
      </c>
      <c r="S49" s="186">
        <v>0</v>
      </c>
      <c r="T49" s="186">
        <v>0</v>
      </c>
      <c r="U49" s="230">
        <f t="shared" ref="U49:U53" si="8">P49+Q49+R49+S49+T49</f>
        <v>37229045.989999995</v>
      </c>
      <c r="V49" s="26" t="s">
        <v>318</v>
      </c>
      <c r="W49" s="23">
        <v>5</v>
      </c>
      <c r="X49" s="186">
        <f>16556041.05+254026.85+3835162.23+10892135.13</f>
        <v>31537365.260000005</v>
      </c>
      <c r="Y49" s="190">
        <v>0</v>
      </c>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row>
    <row r="50" spans="1:95" s="28" customFormat="1" ht="144" customHeight="1" x14ac:dyDescent="0.25">
      <c r="A50" s="146">
        <v>3</v>
      </c>
      <c r="B50" s="71" t="s">
        <v>248</v>
      </c>
      <c r="C50" s="71" t="s">
        <v>645</v>
      </c>
      <c r="D50" s="29" t="s">
        <v>353</v>
      </c>
      <c r="E50" s="22" t="s">
        <v>263</v>
      </c>
      <c r="F50" s="23" t="s">
        <v>264</v>
      </c>
      <c r="G50" s="59" t="s">
        <v>265</v>
      </c>
      <c r="H50" s="25">
        <v>42401</v>
      </c>
      <c r="I50" s="25">
        <v>43100</v>
      </c>
      <c r="J50" s="23" t="s">
        <v>115</v>
      </c>
      <c r="K50" s="35" t="s">
        <v>236</v>
      </c>
      <c r="L50" s="35" t="s">
        <v>190</v>
      </c>
      <c r="M50" s="23" t="s">
        <v>266</v>
      </c>
      <c r="N50" s="23" t="s">
        <v>116</v>
      </c>
      <c r="O50" s="23">
        <v>121</v>
      </c>
      <c r="P50" s="236">
        <v>1709815.63</v>
      </c>
      <c r="Q50" s="236">
        <v>0</v>
      </c>
      <c r="R50" s="236">
        <v>308976.07</v>
      </c>
      <c r="S50" s="236">
        <v>0</v>
      </c>
      <c r="T50" s="236">
        <v>0</v>
      </c>
      <c r="U50" s="237">
        <f t="shared" si="8"/>
        <v>2018791.7</v>
      </c>
      <c r="V50" s="111" t="s">
        <v>318</v>
      </c>
      <c r="W50" s="94">
        <v>2</v>
      </c>
      <c r="X50" s="203">
        <v>1709815.63</v>
      </c>
      <c r="Y50" s="204">
        <v>0</v>
      </c>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row>
    <row r="51" spans="1:95" s="28" customFormat="1" ht="89.25" x14ac:dyDescent="0.25">
      <c r="A51" s="146">
        <v>4</v>
      </c>
      <c r="B51" s="71" t="s">
        <v>248</v>
      </c>
      <c r="C51" s="71" t="s">
        <v>646</v>
      </c>
      <c r="D51" s="29" t="s">
        <v>355</v>
      </c>
      <c r="E51" s="22" t="s">
        <v>278</v>
      </c>
      <c r="F51" s="23" t="s">
        <v>279</v>
      </c>
      <c r="G51" s="59" t="s">
        <v>280</v>
      </c>
      <c r="H51" s="25">
        <v>42675</v>
      </c>
      <c r="I51" s="25">
        <v>43100</v>
      </c>
      <c r="J51" s="23" t="s">
        <v>115</v>
      </c>
      <c r="K51" s="35" t="s">
        <v>236</v>
      </c>
      <c r="L51" s="63" t="s">
        <v>262</v>
      </c>
      <c r="M51" s="23" t="s">
        <v>266</v>
      </c>
      <c r="N51" s="23" t="s">
        <v>116</v>
      </c>
      <c r="O51" s="23">
        <v>121</v>
      </c>
      <c r="P51" s="236">
        <v>6905288.3600000003</v>
      </c>
      <c r="Q51" s="236">
        <v>0</v>
      </c>
      <c r="R51" s="236">
        <v>1247835.6399999999</v>
      </c>
      <c r="S51" s="236">
        <v>0</v>
      </c>
      <c r="T51" s="236">
        <v>1143603</v>
      </c>
      <c r="U51" s="230">
        <f t="shared" si="8"/>
        <v>9296727</v>
      </c>
      <c r="V51" s="26" t="s">
        <v>318</v>
      </c>
      <c r="W51" s="23">
        <v>1</v>
      </c>
      <c r="X51" s="201">
        <v>6905288.3600000003</v>
      </c>
      <c r="Y51" s="190">
        <v>0</v>
      </c>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row>
    <row r="52" spans="1:95" s="28" customFormat="1" ht="76.5" x14ac:dyDescent="0.25">
      <c r="A52" s="146">
        <v>5</v>
      </c>
      <c r="B52" s="62" t="s">
        <v>129</v>
      </c>
      <c r="C52" s="79">
        <v>117737</v>
      </c>
      <c r="D52" s="79" t="s">
        <v>356</v>
      </c>
      <c r="E52" s="22" t="s">
        <v>141</v>
      </c>
      <c r="F52" s="23" t="s">
        <v>142</v>
      </c>
      <c r="G52" s="22" t="s">
        <v>143</v>
      </c>
      <c r="H52" s="25">
        <v>42552</v>
      </c>
      <c r="I52" s="25">
        <v>44104</v>
      </c>
      <c r="J52" s="23" t="s">
        <v>115</v>
      </c>
      <c r="K52" s="35" t="s">
        <v>236</v>
      </c>
      <c r="L52" s="63" t="s">
        <v>262</v>
      </c>
      <c r="M52" s="63" t="s">
        <v>262</v>
      </c>
      <c r="N52" s="23" t="s">
        <v>116</v>
      </c>
      <c r="O52" s="23">
        <v>121</v>
      </c>
      <c r="P52" s="186">
        <f>28788904.99-6153943.05+558268.98-274994.07</f>
        <v>22918236.849999998</v>
      </c>
      <c r="Q52" s="186">
        <v>0</v>
      </c>
      <c r="R52" s="186">
        <f>4090301.6+100883.24-49693.42</f>
        <v>4141491.4200000004</v>
      </c>
      <c r="S52" s="186">
        <v>0</v>
      </c>
      <c r="T52" s="186">
        <v>0</v>
      </c>
      <c r="U52" s="230">
        <f t="shared" si="8"/>
        <v>27059728.27</v>
      </c>
      <c r="V52" s="26" t="s">
        <v>318</v>
      </c>
      <c r="W52" s="93">
        <v>5</v>
      </c>
      <c r="X52" s="186">
        <f>12895822.24+1777835.3+8173637.84+75039.35</f>
        <v>22922334.730000004</v>
      </c>
      <c r="Y52" s="187">
        <v>0</v>
      </c>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row>
    <row r="53" spans="1:95" s="28" customFormat="1" ht="51.75" thickBot="1" x14ac:dyDescent="0.3">
      <c r="A53" s="146">
        <v>6</v>
      </c>
      <c r="B53" s="62" t="s">
        <v>174</v>
      </c>
      <c r="C53" s="79">
        <v>119488</v>
      </c>
      <c r="D53" s="79" t="s">
        <v>358</v>
      </c>
      <c r="E53" s="22" t="s">
        <v>306</v>
      </c>
      <c r="F53" s="23" t="s">
        <v>304</v>
      </c>
      <c r="G53" s="24" t="s">
        <v>307</v>
      </c>
      <c r="H53" s="25">
        <v>43222</v>
      </c>
      <c r="I53" s="25">
        <v>44377</v>
      </c>
      <c r="J53" s="23" t="s">
        <v>115</v>
      </c>
      <c r="K53" s="35" t="s">
        <v>266</v>
      </c>
      <c r="L53" s="63" t="s">
        <v>262</v>
      </c>
      <c r="M53" s="63" t="s">
        <v>262</v>
      </c>
      <c r="N53" s="23" t="s">
        <v>116</v>
      </c>
      <c r="O53" s="23">
        <v>121</v>
      </c>
      <c r="P53" s="186">
        <v>7434308.4800000004</v>
      </c>
      <c r="Q53" s="186">
        <v>0</v>
      </c>
      <c r="R53" s="186">
        <v>1343433.37</v>
      </c>
      <c r="S53" s="186">
        <v>0</v>
      </c>
      <c r="T53" s="186">
        <v>146110.82999999999</v>
      </c>
      <c r="U53" s="230">
        <f t="shared" si="8"/>
        <v>8923852.6800000016</v>
      </c>
      <c r="V53" s="26" t="s">
        <v>117</v>
      </c>
      <c r="W53" s="23">
        <v>3</v>
      </c>
      <c r="X53" s="186">
        <f>348875.56+56147.24+1283635.35+67007.35</f>
        <v>1755665.5000000002</v>
      </c>
      <c r="Y53" s="190">
        <v>0</v>
      </c>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row>
    <row r="54" spans="1:95" s="34" customFormat="1" ht="17.25" customHeight="1" thickBot="1" x14ac:dyDescent="0.3">
      <c r="A54" s="317" t="s">
        <v>80</v>
      </c>
      <c r="B54" s="318"/>
      <c r="C54" s="318"/>
      <c r="D54" s="318"/>
      <c r="E54" s="318"/>
      <c r="F54" s="318"/>
      <c r="G54" s="318"/>
      <c r="H54" s="318"/>
      <c r="I54" s="318"/>
      <c r="J54" s="318"/>
      <c r="K54" s="318"/>
      <c r="L54" s="318"/>
      <c r="M54" s="318"/>
      <c r="N54" s="318"/>
      <c r="O54" s="318"/>
      <c r="P54" s="191">
        <f>SUM(P48:P53)</f>
        <v>70538021.189999998</v>
      </c>
      <c r="Q54" s="191">
        <f t="shared" ref="Q54:Y54" si="9">SUM(Q48:Q53)</f>
        <v>0</v>
      </c>
      <c r="R54" s="191">
        <f t="shared" si="9"/>
        <v>12746731.370000001</v>
      </c>
      <c r="S54" s="191">
        <f t="shared" si="9"/>
        <v>0</v>
      </c>
      <c r="T54" s="191">
        <f t="shared" si="9"/>
        <v>1289713.83</v>
      </c>
      <c r="U54" s="191">
        <f t="shared" si="9"/>
        <v>84574466.390000001</v>
      </c>
      <c r="V54" s="20"/>
      <c r="W54" s="20">
        <f t="shared" si="9"/>
        <v>16</v>
      </c>
      <c r="X54" s="191">
        <f t="shared" si="9"/>
        <v>64869700.840000011</v>
      </c>
      <c r="Y54" s="192">
        <f t="shared" si="9"/>
        <v>0</v>
      </c>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17"/>
    </row>
    <row r="55" spans="1:95" s="32" customFormat="1" ht="15.75" customHeight="1" x14ac:dyDescent="0.25">
      <c r="A55" s="319" t="s">
        <v>41</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1"/>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14"/>
    </row>
    <row r="56" spans="1:95" s="32" customFormat="1" x14ac:dyDescent="0.25">
      <c r="A56" s="147">
        <v>1</v>
      </c>
      <c r="B56" s="35"/>
      <c r="C56" s="35"/>
      <c r="D56" s="35"/>
      <c r="E56" s="35"/>
      <c r="F56" s="35"/>
      <c r="G56" s="76"/>
      <c r="H56" s="33"/>
      <c r="I56" s="33"/>
      <c r="J56" s="33"/>
      <c r="K56" s="33"/>
      <c r="L56" s="33"/>
      <c r="M56" s="33"/>
      <c r="N56" s="33"/>
      <c r="O56" s="33"/>
      <c r="P56" s="234"/>
      <c r="Q56" s="199"/>
      <c r="R56" s="199"/>
      <c r="S56" s="199"/>
      <c r="T56" s="199"/>
      <c r="U56" s="199"/>
      <c r="V56" s="109"/>
      <c r="W56" s="109"/>
      <c r="X56" s="199"/>
      <c r="Y56" s="200"/>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14"/>
    </row>
    <row r="57" spans="1:95" s="32" customFormat="1" ht="15.75" thickBot="1" x14ac:dyDescent="0.3">
      <c r="A57" s="148">
        <v>2</v>
      </c>
      <c r="B57" s="36"/>
      <c r="C57" s="36"/>
      <c r="D57" s="36"/>
      <c r="E57" s="36"/>
      <c r="F57" s="36"/>
      <c r="G57" s="77"/>
      <c r="H57" s="38"/>
      <c r="I57" s="38"/>
      <c r="J57" s="38"/>
      <c r="K57" s="38"/>
      <c r="L57" s="38"/>
      <c r="M57" s="38"/>
      <c r="N57" s="38"/>
      <c r="O57" s="38"/>
      <c r="P57" s="238"/>
      <c r="Q57" s="205"/>
      <c r="R57" s="205"/>
      <c r="S57" s="205"/>
      <c r="T57" s="205"/>
      <c r="U57" s="205"/>
      <c r="V57" s="37"/>
      <c r="W57" s="37"/>
      <c r="X57" s="205"/>
      <c r="Y57" s="206"/>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14"/>
    </row>
    <row r="58" spans="1:95" s="34" customFormat="1" ht="17.25" customHeight="1" thickBot="1" x14ac:dyDescent="0.3">
      <c r="A58" s="322" t="s">
        <v>81</v>
      </c>
      <c r="B58" s="323"/>
      <c r="C58" s="323"/>
      <c r="D58" s="323"/>
      <c r="E58" s="323"/>
      <c r="F58" s="323"/>
      <c r="G58" s="323"/>
      <c r="H58" s="323"/>
      <c r="I58" s="323"/>
      <c r="J58" s="323"/>
      <c r="K58" s="323"/>
      <c r="L58" s="323"/>
      <c r="M58" s="323"/>
      <c r="N58" s="323"/>
      <c r="O58" s="324"/>
      <c r="P58" s="212">
        <v>0</v>
      </c>
      <c r="Q58" s="239">
        <v>0</v>
      </c>
      <c r="R58" s="191">
        <v>0</v>
      </c>
      <c r="S58" s="191">
        <v>0</v>
      </c>
      <c r="T58" s="191">
        <v>0</v>
      </c>
      <c r="U58" s="191">
        <v>0</v>
      </c>
      <c r="V58" s="20"/>
      <c r="W58" s="20">
        <v>0</v>
      </c>
      <c r="X58" s="191">
        <v>0</v>
      </c>
      <c r="Y58" s="192">
        <v>0</v>
      </c>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17"/>
    </row>
    <row r="59" spans="1:95" s="32" customFormat="1" ht="15.75" customHeight="1" x14ac:dyDescent="0.25">
      <c r="A59" s="319" t="s">
        <v>42</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1"/>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14"/>
    </row>
    <row r="60" spans="1:95" s="32" customFormat="1" ht="15.75" thickBot="1" x14ac:dyDescent="0.3">
      <c r="A60" s="148">
        <v>1</v>
      </c>
      <c r="B60" s="38"/>
      <c r="C60" s="38"/>
      <c r="D60" s="38"/>
      <c r="E60" s="38"/>
      <c r="F60" s="38"/>
      <c r="G60" s="77"/>
      <c r="H60" s="38"/>
      <c r="I60" s="38"/>
      <c r="J60" s="38"/>
      <c r="K60" s="38"/>
      <c r="L60" s="38"/>
      <c r="M60" s="38"/>
      <c r="N60" s="38"/>
      <c r="O60" s="38"/>
      <c r="P60" s="238"/>
      <c r="Q60" s="205"/>
      <c r="R60" s="205"/>
      <c r="S60" s="205"/>
      <c r="T60" s="205"/>
      <c r="U60" s="205"/>
      <c r="V60" s="37"/>
      <c r="W60" s="37"/>
      <c r="X60" s="205"/>
      <c r="Y60" s="206"/>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14"/>
    </row>
    <row r="61" spans="1:95" s="34" customFormat="1" ht="17.25" customHeight="1" thickBot="1" x14ac:dyDescent="0.3">
      <c r="A61" s="322" t="s">
        <v>82</v>
      </c>
      <c r="B61" s="323"/>
      <c r="C61" s="323"/>
      <c r="D61" s="323"/>
      <c r="E61" s="323"/>
      <c r="F61" s="323"/>
      <c r="G61" s="323"/>
      <c r="H61" s="323"/>
      <c r="I61" s="323"/>
      <c r="J61" s="323"/>
      <c r="K61" s="323"/>
      <c r="L61" s="323"/>
      <c r="M61" s="323"/>
      <c r="N61" s="323"/>
      <c r="O61" s="323"/>
      <c r="P61" s="194">
        <v>0</v>
      </c>
      <c r="Q61" s="191">
        <v>0</v>
      </c>
      <c r="R61" s="191">
        <v>0</v>
      </c>
      <c r="S61" s="191">
        <v>0</v>
      </c>
      <c r="T61" s="191">
        <v>0</v>
      </c>
      <c r="U61" s="191">
        <v>0</v>
      </c>
      <c r="V61" s="20"/>
      <c r="W61" s="20">
        <v>0</v>
      </c>
      <c r="X61" s="191">
        <v>0</v>
      </c>
      <c r="Y61" s="192">
        <v>0</v>
      </c>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17"/>
    </row>
    <row r="62" spans="1:95" s="32" customFormat="1" ht="15.75" customHeight="1" x14ac:dyDescent="0.25">
      <c r="A62" s="319" t="s">
        <v>43</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1"/>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14"/>
    </row>
    <row r="63" spans="1:95" s="28" customFormat="1" ht="27.75" customHeight="1" thickBot="1" x14ac:dyDescent="0.3">
      <c r="A63" s="149">
        <v>1</v>
      </c>
      <c r="B63" s="66"/>
      <c r="C63" s="66"/>
      <c r="D63" s="66"/>
      <c r="E63" s="39"/>
      <c r="F63" s="40"/>
      <c r="G63" s="41"/>
      <c r="H63" s="42"/>
      <c r="I63" s="42"/>
      <c r="J63" s="40"/>
      <c r="K63" s="36"/>
      <c r="L63" s="36"/>
      <c r="M63" s="67"/>
      <c r="N63" s="40"/>
      <c r="O63" s="40"/>
      <c r="P63" s="201"/>
      <c r="Q63" s="201"/>
      <c r="R63" s="201"/>
      <c r="S63" s="240"/>
      <c r="T63" s="201"/>
      <c r="U63" s="235"/>
      <c r="V63" s="43"/>
      <c r="W63" s="40"/>
      <c r="X63" s="201"/>
      <c r="Y63" s="202"/>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27"/>
    </row>
    <row r="64" spans="1:95" s="18" customFormat="1" ht="17.25" customHeight="1" thickBot="1" x14ac:dyDescent="0.3">
      <c r="A64" s="300" t="s">
        <v>83</v>
      </c>
      <c r="B64" s="301"/>
      <c r="C64" s="301"/>
      <c r="D64" s="301"/>
      <c r="E64" s="301"/>
      <c r="F64" s="301"/>
      <c r="G64" s="301"/>
      <c r="H64" s="301"/>
      <c r="I64" s="301"/>
      <c r="J64" s="301"/>
      <c r="K64" s="301"/>
      <c r="L64" s="301"/>
      <c r="M64" s="301"/>
      <c r="N64" s="301"/>
      <c r="O64" s="302"/>
      <c r="P64" s="194">
        <v>0</v>
      </c>
      <c r="Q64" s="191">
        <v>0</v>
      </c>
      <c r="R64" s="191">
        <v>0</v>
      </c>
      <c r="S64" s="191">
        <v>0</v>
      </c>
      <c r="T64" s="191">
        <v>0</v>
      </c>
      <c r="U64" s="191">
        <v>0</v>
      </c>
      <c r="V64" s="20"/>
      <c r="W64" s="20">
        <v>0</v>
      </c>
      <c r="X64" s="191">
        <v>0</v>
      </c>
      <c r="Y64" s="192">
        <v>0</v>
      </c>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17"/>
    </row>
    <row r="65" spans="1:95" ht="15.75" customHeight="1" x14ac:dyDescent="0.25">
      <c r="A65" s="308" t="s">
        <v>44</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10"/>
    </row>
    <row r="66" spans="1:95" s="32" customFormat="1" x14ac:dyDescent="0.25">
      <c r="A66" s="147">
        <v>2</v>
      </c>
      <c r="B66" s="29"/>
      <c r="C66" s="29"/>
      <c r="D66" s="29"/>
      <c r="E66" s="22"/>
      <c r="F66" s="23"/>
      <c r="G66" s="16"/>
      <c r="H66" s="30"/>
      <c r="I66" s="30"/>
      <c r="J66" s="31"/>
      <c r="K66" s="33"/>
      <c r="L66" s="33"/>
      <c r="M66" s="33"/>
      <c r="N66" s="5"/>
      <c r="O66" s="5"/>
      <c r="P66" s="186"/>
      <c r="Q66" s="197"/>
      <c r="R66" s="197"/>
      <c r="S66" s="197"/>
      <c r="T66" s="197"/>
      <c r="U66" s="233"/>
      <c r="V66" s="8"/>
      <c r="W66" s="5"/>
      <c r="X66" s="197"/>
      <c r="Y66" s="198"/>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14"/>
    </row>
    <row r="67" spans="1:95" ht="15.75" thickBot="1" x14ac:dyDescent="0.3">
      <c r="A67" s="150">
        <v>3</v>
      </c>
      <c r="B67" s="44"/>
      <c r="C67" s="44"/>
      <c r="D67" s="44"/>
      <c r="E67" s="44"/>
      <c r="F67" s="44"/>
      <c r="G67" s="78"/>
      <c r="H67" s="44"/>
      <c r="I67" s="44"/>
      <c r="J67" s="44"/>
      <c r="K67" s="44"/>
      <c r="L67" s="44"/>
      <c r="M67" s="44"/>
      <c r="N67" s="44"/>
      <c r="O67" s="44"/>
      <c r="P67" s="241"/>
      <c r="Q67" s="207"/>
      <c r="R67" s="207"/>
      <c r="S67" s="207"/>
      <c r="T67" s="207"/>
      <c r="U67" s="207"/>
      <c r="V67" s="45"/>
      <c r="W67" s="45"/>
      <c r="X67" s="207"/>
      <c r="Y67" s="208"/>
    </row>
    <row r="68" spans="1:95" s="18" customFormat="1" ht="17.25" customHeight="1" thickBot="1" x14ac:dyDescent="0.3">
      <c r="A68" s="300" t="s">
        <v>84</v>
      </c>
      <c r="B68" s="301"/>
      <c r="C68" s="301"/>
      <c r="D68" s="301"/>
      <c r="E68" s="301"/>
      <c r="F68" s="301"/>
      <c r="G68" s="301"/>
      <c r="H68" s="301"/>
      <c r="I68" s="301"/>
      <c r="J68" s="301"/>
      <c r="K68" s="301"/>
      <c r="L68" s="301"/>
      <c r="M68" s="301"/>
      <c r="N68" s="301"/>
      <c r="O68" s="302"/>
      <c r="P68" s="194">
        <v>0</v>
      </c>
      <c r="Q68" s="191">
        <v>0</v>
      </c>
      <c r="R68" s="191">
        <v>0</v>
      </c>
      <c r="S68" s="191">
        <v>0</v>
      </c>
      <c r="T68" s="191">
        <v>0</v>
      </c>
      <c r="U68" s="191">
        <v>0</v>
      </c>
      <c r="V68" s="20"/>
      <c r="W68" s="20">
        <v>0</v>
      </c>
      <c r="X68" s="191">
        <v>0</v>
      </c>
      <c r="Y68" s="192">
        <v>0</v>
      </c>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17"/>
    </row>
    <row r="69" spans="1:95" ht="15.75" customHeight="1" x14ac:dyDescent="0.25">
      <c r="A69" s="308" t="s">
        <v>45</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10"/>
    </row>
    <row r="70" spans="1:95" ht="15.75" thickBot="1" x14ac:dyDescent="0.3">
      <c r="A70" s="150">
        <v>1</v>
      </c>
      <c r="B70" s="44"/>
      <c r="C70" s="44"/>
      <c r="D70" s="44"/>
      <c r="E70" s="44"/>
      <c r="F70" s="44"/>
      <c r="G70" s="78"/>
      <c r="H70" s="44"/>
      <c r="I70" s="44"/>
      <c r="J70" s="44"/>
      <c r="K70" s="44"/>
      <c r="L70" s="44"/>
      <c r="M70" s="44"/>
      <c r="N70" s="44"/>
      <c r="O70" s="44"/>
      <c r="P70" s="241"/>
      <c r="Q70" s="207"/>
      <c r="R70" s="207"/>
      <c r="S70" s="207"/>
      <c r="T70" s="207"/>
      <c r="U70" s="207"/>
      <c r="V70" s="45"/>
      <c r="W70" s="45"/>
      <c r="X70" s="207"/>
      <c r="Y70" s="208"/>
    </row>
    <row r="71" spans="1:95" s="18" customFormat="1" ht="17.25" customHeight="1" thickBot="1" x14ac:dyDescent="0.3">
      <c r="A71" s="300" t="s">
        <v>85</v>
      </c>
      <c r="B71" s="301"/>
      <c r="C71" s="301"/>
      <c r="D71" s="301"/>
      <c r="E71" s="301"/>
      <c r="F71" s="301"/>
      <c r="G71" s="301"/>
      <c r="H71" s="301"/>
      <c r="I71" s="301"/>
      <c r="J71" s="301"/>
      <c r="K71" s="301"/>
      <c r="L71" s="301"/>
      <c r="M71" s="301"/>
      <c r="N71" s="301"/>
      <c r="O71" s="302"/>
      <c r="P71" s="194">
        <v>0</v>
      </c>
      <c r="Q71" s="191">
        <v>0</v>
      </c>
      <c r="R71" s="191">
        <v>0</v>
      </c>
      <c r="S71" s="191">
        <v>0</v>
      </c>
      <c r="T71" s="191">
        <v>0</v>
      </c>
      <c r="U71" s="191">
        <v>0</v>
      </c>
      <c r="V71" s="20"/>
      <c r="W71" s="20">
        <v>0</v>
      </c>
      <c r="X71" s="191">
        <v>0</v>
      </c>
      <c r="Y71" s="192">
        <v>0</v>
      </c>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17"/>
    </row>
    <row r="72" spans="1:95" ht="15.75" customHeight="1" thickBot="1" x14ac:dyDescent="0.3">
      <c r="A72" s="308" t="s">
        <v>46</v>
      </c>
      <c r="B72" s="309"/>
      <c r="C72" s="309"/>
      <c r="D72" s="309"/>
      <c r="E72" s="309"/>
      <c r="F72" s="309"/>
      <c r="G72" s="309"/>
      <c r="H72" s="309"/>
      <c r="I72" s="309"/>
      <c r="J72" s="309"/>
      <c r="K72" s="309"/>
      <c r="L72" s="309"/>
      <c r="M72" s="309"/>
      <c r="N72" s="309"/>
      <c r="O72" s="309"/>
      <c r="P72" s="309"/>
      <c r="Q72" s="309"/>
      <c r="R72" s="309"/>
      <c r="S72" s="309"/>
      <c r="T72" s="309"/>
      <c r="U72" s="309"/>
      <c r="V72" s="309"/>
      <c r="W72" s="309"/>
      <c r="X72" s="309"/>
      <c r="Y72" s="310"/>
    </row>
    <row r="73" spans="1:95" s="18" customFormat="1" ht="17.25" customHeight="1" thickBot="1" x14ac:dyDescent="0.3">
      <c r="A73" s="300" t="s">
        <v>86</v>
      </c>
      <c r="B73" s="301"/>
      <c r="C73" s="301"/>
      <c r="D73" s="301"/>
      <c r="E73" s="301"/>
      <c r="F73" s="301"/>
      <c r="G73" s="301"/>
      <c r="H73" s="301"/>
      <c r="I73" s="301"/>
      <c r="J73" s="301"/>
      <c r="K73" s="301"/>
      <c r="L73" s="301"/>
      <c r="M73" s="301"/>
      <c r="N73" s="301"/>
      <c r="O73" s="302"/>
      <c r="P73" s="194">
        <v>0</v>
      </c>
      <c r="Q73" s="191">
        <v>0</v>
      </c>
      <c r="R73" s="191">
        <v>0</v>
      </c>
      <c r="S73" s="191">
        <v>0</v>
      </c>
      <c r="T73" s="191">
        <v>0</v>
      </c>
      <c r="U73" s="191">
        <v>0</v>
      </c>
      <c r="V73" s="20"/>
      <c r="W73" s="46">
        <v>0</v>
      </c>
      <c r="X73" s="209">
        <v>0</v>
      </c>
      <c r="Y73" s="210">
        <v>0</v>
      </c>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17"/>
    </row>
    <row r="74" spans="1:95" ht="15.75" customHeight="1" x14ac:dyDescent="0.25">
      <c r="A74" s="308" t="s">
        <v>47</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10"/>
    </row>
    <row r="75" spans="1:95" s="28" customFormat="1" ht="64.5" thickBot="1" x14ac:dyDescent="0.3">
      <c r="A75" s="149">
        <v>1</v>
      </c>
      <c r="B75" s="47" t="s">
        <v>152</v>
      </c>
      <c r="C75" s="47" t="s">
        <v>647</v>
      </c>
      <c r="D75" s="47" t="s">
        <v>361</v>
      </c>
      <c r="E75" s="39" t="s">
        <v>193</v>
      </c>
      <c r="F75" s="40" t="s">
        <v>194</v>
      </c>
      <c r="G75" s="54" t="s">
        <v>195</v>
      </c>
      <c r="H75" s="42">
        <v>42370</v>
      </c>
      <c r="I75" s="42">
        <v>43465</v>
      </c>
      <c r="J75" s="40" t="s">
        <v>115</v>
      </c>
      <c r="K75" s="36" t="s">
        <v>196</v>
      </c>
      <c r="L75" s="36" t="s">
        <v>197</v>
      </c>
      <c r="M75" s="36"/>
      <c r="N75" s="40" t="s">
        <v>186</v>
      </c>
      <c r="O75" s="40">
        <v>121</v>
      </c>
      <c r="P75" s="201">
        <v>1170059.75</v>
      </c>
      <c r="Q75" s="201">
        <v>211438.27000000002</v>
      </c>
      <c r="R75" s="201">
        <v>0</v>
      </c>
      <c r="S75" s="201">
        <v>0</v>
      </c>
      <c r="T75" s="201">
        <v>293214.36</v>
      </c>
      <c r="U75" s="235">
        <f>P75+Q75+R75+S75+T75</f>
        <v>1674712.38</v>
      </c>
      <c r="V75" s="43" t="s">
        <v>548</v>
      </c>
      <c r="W75" s="40">
        <v>2</v>
      </c>
      <c r="X75" s="201">
        <v>1170059.75</v>
      </c>
      <c r="Y75" s="202">
        <v>211438.27</v>
      </c>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row>
    <row r="76" spans="1:95" s="18" customFormat="1" ht="17.25" customHeight="1" thickBot="1" x14ac:dyDescent="0.3">
      <c r="A76" s="300" t="s">
        <v>87</v>
      </c>
      <c r="B76" s="301"/>
      <c r="C76" s="301"/>
      <c r="D76" s="301"/>
      <c r="E76" s="301"/>
      <c r="F76" s="301"/>
      <c r="G76" s="301"/>
      <c r="H76" s="301"/>
      <c r="I76" s="301"/>
      <c r="J76" s="301"/>
      <c r="K76" s="301"/>
      <c r="L76" s="301"/>
      <c r="M76" s="301"/>
      <c r="N76" s="301"/>
      <c r="O76" s="302"/>
      <c r="P76" s="191">
        <f t="shared" ref="P76:U76" si="10">P75</f>
        <v>1170059.75</v>
      </c>
      <c r="Q76" s="191">
        <f t="shared" si="10"/>
        <v>211438.27000000002</v>
      </c>
      <c r="R76" s="191">
        <f t="shared" si="10"/>
        <v>0</v>
      </c>
      <c r="S76" s="191">
        <f t="shared" si="10"/>
        <v>0</v>
      </c>
      <c r="T76" s="191">
        <f t="shared" si="10"/>
        <v>293214.36</v>
      </c>
      <c r="U76" s="191">
        <f t="shared" si="10"/>
        <v>1674712.38</v>
      </c>
      <c r="V76" s="20"/>
      <c r="W76" s="20">
        <f>W75</f>
        <v>2</v>
      </c>
      <c r="X76" s="211">
        <f>X75</f>
        <v>1170059.75</v>
      </c>
      <c r="Y76" s="212">
        <f>Y75</f>
        <v>211438.27</v>
      </c>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17"/>
    </row>
    <row r="77" spans="1:95" ht="15.75" customHeight="1" x14ac:dyDescent="0.25">
      <c r="A77" s="308" t="s">
        <v>48</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10"/>
    </row>
    <row r="78" spans="1:95" s="32" customFormat="1" ht="15.75" thickBot="1" x14ac:dyDescent="0.3">
      <c r="A78" s="148">
        <v>1</v>
      </c>
      <c r="B78" s="47"/>
      <c r="C78" s="47"/>
      <c r="D78" s="47"/>
      <c r="E78" s="39"/>
      <c r="F78" s="40"/>
      <c r="G78" s="21"/>
      <c r="H78" s="48"/>
      <c r="I78" s="48"/>
      <c r="J78" s="49"/>
      <c r="K78" s="38"/>
      <c r="L78" s="38"/>
      <c r="M78" s="38"/>
      <c r="N78" s="9"/>
      <c r="O78" s="9"/>
      <c r="P78" s="201"/>
      <c r="Q78" s="213"/>
      <c r="R78" s="213"/>
      <c r="S78" s="213"/>
      <c r="T78" s="213"/>
      <c r="U78" s="242"/>
      <c r="V78" s="10"/>
      <c r="W78" s="9"/>
      <c r="X78" s="213"/>
      <c r="Y78" s="214"/>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14"/>
    </row>
    <row r="79" spans="1:95" s="18" customFormat="1" ht="17.25" customHeight="1" thickBot="1" x14ac:dyDescent="0.3">
      <c r="A79" s="300" t="s">
        <v>88</v>
      </c>
      <c r="B79" s="301"/>
      <c r="C79" s="301"/>
      <c r="D79" s="301"/>
      <c r="E79" s="301"/>
      <c r="F79" s="301"/>
      <c r="G79" s="301"/>
      <c r="H79" s="301"/>
      <c r="I79" s="301"/>
      <c r="J79" s="301"/>
      <c r="K79" s="301"/>
      <c r="L79" s="301"/>
      <c r="M79" s="301"/>
      <c r="N79" s="301"/>
      <c r="O79" s="302"/>
      <c r="P79" s="191">
        <f t="shared" ref="P79:U79" si="11">P78</f>
        <v>0</v>
      </c>
      <c r="Q79" s="191">
        <f t="shared" si="11"/>
        <v>0</v>
      </c>
      <c r="R79" s="191">
        <f t="shared" si="11"/>
        <v>0</v>
      </c>
      <c r="S79" s="191">
        <f t="shared" si="11"/>
        <v>0</v>
      </c>
      <c r="T79" s="191">
        <f t="shared" si="11"/>
        <v>0</v>
      </c>
      <c r="U79" s="191">
        <f t="shared" si="11"/>
        <v>0</v>
      </c>
      <c r="V79" s="20"/>
      <c r="W79" s="20">
        <f>W78</f>
        <v>0</v>
      </c>
      <c r="X79" s="191">
        <f>X78</f>
        <v>0</v>
      </c>
      <c r="Y79" s="192">
        <f>Y78</f>
        <v>0</v>
      </c>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17"/>
    </row>
    <row r="80" spans="1:95" ht="15.75" customHeight="1" x14ac:dyDescent="0.25">
      <c r="A80" s="341" t="s">
        <v>49</v>
      </c>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42"/>
    </row>
    <row r="81" spans="1:95" ht="15.75" customHeight="1" thickBot="1" x14ac:dyDescent="0.3">
      <c r="A81" s="148">
        <v>1</v>
      </c>
      <c r="B81" s="38"/>
      <c r="C81" s="38"/>
      <c r="D81" s="38"/>
      <c r="E81" s="38"/>
      <c r="F81" s="38"/>
      <c r="G81" s="77"/>
      <c r="H81" s="38"/>
      <c r="I81" s="38"/>
      <c r="J81" s="38"/>
      <c r="K81" s="38"/>
      <c r="L81" s="38"/>
      <c r="M81" s="38"/>
      <c r="N81" s="38"/>
      <c r="O81" s="38"/>
      <c r="P81" s="238"/>
      <c r="Q81" s="205"/>
      <c r="R81" s="205"/>
      <c r="S81" s="205"/>
      <c r="T81" s="205"/>
      <c r="U81" s="205"/>
      <c r="V81" s="38"/>
      <c r="W81" s="38"/>
      <c r="X81" s="205"/>
      <c r="Y81" s="206"/>
    </row>
    <row r="82" spans="1:95" s="18" customFormat="1" ht="17.25" customHeight="1" thickBot="1" x14ac:dyDescent="0.3">
      <c r="A82" s="300" t="s">
        <v>89</v>
      </c>
      <c r="B82" s="301"/>
      <c r="C82" s="301"/>
      <c r="D82" s="301"/>
      <c r="E82" s="301"/>
      <c r="F82" s="301"/>
      <c r="G82" s="301"/>
      <c r="H82" s="301"/>
      <c r="I82" s="301"/>
      <c r="J82" s="301"/>
      <c r="K82" s="301"/>
      <c r="L82" s="301"/>
      <c r="M82" s="301"/>
      <c r="N82" s="301"/>
      <c r="O82" s="302"/>
      <c r="P82" s="191">
        <f>P81</f>
        <v>0</v>
      </c>
      <c r="Q82" s="191">
        <f t="shared" ref="Q82:U82" si="12">Q81</f>
        <v>0</v>
      </c>
      <c r="R82" s="191">
        <f t="shared" si="12"/>
        <v>0</v>
      </c>
      <c r="S82" s="191">
        <f t="shared" si="12"/>
        <v>0</v>
      </c>
      <c r="T82" s="191">
        <f t="shared" si="12"/>
        <v>0</v>
      </c>
      <c r="U82" s="191">
        <f t="shared" si="12"/>
        <v>0</v>
      </c>
      <c r="V82" s="20"/>
      <c r="W82" s="20">
        <f>W81</f>
        <v>0</v>
      </c>
      <c r="X82" s="191">
        <f>X81</f>
        <v>0</v>
      </c>
      <c r="Y82" s="192">
        <f>Y81</f>
        <v>0</v>
      </c>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17"/>
    </row>
    <row r="83" spans="1:95" ht="15.75" customHeight="1" x14ac:dyDescent="0.25">
      <c r="A83" s="341" t="s">
        <v>50</v>
      </c>
      <c r="B83" s="327"/>
      <c r="C83" s="327"/>
      <c r="D83" s="327"/>
      <c r="E83" s="327"/>
      <c r="F83" s="327"/>
      <c r="G83" s="327"/>
      <c r="H83" s="327"/>
      <c r="I83" s="327"/>
      <c r="J83" s="327"/>
      <c r="K83" s="327"/>
      <c r="L83" s="327"/>
      <c r="M83" s="327"/>
      <c r="N83" s="327"/>
      <c r="O83" s="327"/>
      <c r="P83" s="327"/>
      <c r="Q83" s="327"/>
      <c r="R83" s="327"/>
      <c r="S83" s="327"/>
      <c r="T83" s="327"/>
      <c r="U83" s="327"/>
      <c r="V83" s="327"/>
      <c r="W83" s="327"/>
      <c r="X83" s="327"/>
      <c r="Y83" s="342"/>
    </row>
    <row r="84" spans="1:95" s="32" customFormat="1" x14ac:dyDescent="0.25">
      <c r="A84" s="147">
        <v>1</v>
      </c>
      <c r="B84" s="29"/>
      <c r="C84" s="29"/>
      <c r="D84" s="29"/>
      <c r="E84" s="22"/>
      <c r="F84" s="23"/>
      <c r="G84" s="16"/>
      <c r="H84" s="30"/>
      <c r="I84" s="30"/>
      <c r="J84" s="31"/>
      <c r="K84" s="33"/>
      <c r="L84" s="33"/>
      <c r="M84" s="33"/>
      <c r="N84" s="5"/>
      <c r="O84" s="5"/>
      <c r="P84" s="186"/>
      <c r="Q84" s="197"/>
      <c r="R84" s="197"/>
      <c r="S84" s="197"/>
      <c r="T84" s="197"/>
      <c r="U84" s="233"/>
      <c r="V84" s="8"/>
      <c r="W84" s="5"/>
      <c r="X84" s="197"/>
      <c r="Y84" s="198"/>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14"/>
    </row>
    <row r="85" spans="1:95" s="18" customFormat="1" ht="17.25" customHeight="1" thickBot="1" x14ac:dyDescent="0.3">
      <c r="A85" s="343" t="s">
        <v>90</v>
      </c>
      <c r="B85" s="306"/>
      <c r="C85" s="306"/>
      <c r="D85" s="306"/>
      <c r="E85" s="306"/>
      <c r="F85" s="306"/>
      <c r="G85" s="306"/>
      <c r="H85" s="306"/>
      <c r="I85" s="306"/>
      <c r="J85" s="306"/>
      <c r="K85" s="306"/>
      <c r="L85" s="306"/>
      <c r="M85" s="306"/>
      <c r="N85" s="306"/>
      <c r="O85" s="307"/>
      <c r="P85" s="243">
        <f>P84</f>
        <v>0</v>
      </c>
      <c r="Q85" s="243">
        <f t="shared" ref="Q85:U85" si="13">Q84</f>
        <v>0</v>
      </c>
      <c r="R85" s="243">
        <f t="shared" si="13"/>
        <v>0</v>
      </c>
      <c r="S85" s="243">
        <f t="shared" si="13"/>
        <v>0</v>
      </c>
      <c r="T85" s="243">
        <f t="shared" si="13"/>
        <v>0</v>
      </c>
      <c r="U85" s="243">
        <f t="shared" si="13"/>
        <v>0</v>
      </c>
      <c r="V85" s="50"/>
      <c r="W85" s="46">
        <f>W84</f>
        <v>0</v>
      </c>
      <c r="X85" s="209">
        <f>X84</f>
        <v>0</v>
      </c>
      <c r="Y85" s="210">
        <f>Y84</f>
        <v>0</v>
      </c>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17"/>
    </row>
    <row r="86" spans="1:95" ht="15.75" customHeight="1" x14ac:dyDescent="0.25">
      <c r="A86" s="308" t="s">
        <v>51</v>
      </c>
      <c r="B86" s="309"/>
      <c r="C86" s="309"/>
      <c r="D86" s="309"/>
      <c r="E86" s="309"/>
      <c r="F86" s="309"/>
      <c r="G86" s="309"/>
      <c r="H86" s="309"/>
      <c r="I86" s="309"/>
      <c r="J86" s="309"/>
      <c r="K86" s="309"/>
      <c r="L86" s="309"/>
      <c r="M86" s="309"/>
      <c r="N86" s="309"/>
      <c r="O86" s="309"/>
      <c r="P86" s="327"/>
      <c r="Q86" s="327"/>
      <c r="R86" s="327"/>
      <c r="S86" s="327"/>
      <c r="T86" s="327"/>
      <c r="U86" s="327"/>
      <c r="V86" s="327"/>
      <c r="W86" s="309"/>
      <c r="X86" s="309"/>
      <c r="Y86" s="310"/>
    </row>
    <row r="87" spans="1:95" s="32" customFormat="1" x14ac:dyDescent="0.25">
      <c r="A87" s="147">
        <v>1</v>
      </c>
      <c r="B87" s="29"/>
      <c r="C87" s="29"/>
      <c r="D87" s="29"/>
      <c r="E87" s="22"/>
      <c r="F87" s="23"/>
      <c r="G87" s="16"/>
      <c r="H87" s="30"/>
      <c r="I87" s="30"/>
      <c r="J87" s="31"/>
      <c r="K87" s="33"/>
      <c r="L87" s="33"/>
      <c r="M87" s="33"/>
      <c r="N87" s="5"/>
      <c r="O87" s="5"/>
      <c r="P87" s="186"/>
      <c r="Q87" s="197"/>
      <c r="R87" s="197"/>
      <c r="S87" s="244"/>
      <c r="T87" s="244"/>
      <c r="U87" s="245"/>
      <c r="V87" s="51"/>
      <c r="W87" s="31"/>
      <c r="X87" s="197"/>
      <c r="Y87" s="198"/>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14"/>
    </row>
    <row r="88" spans="1:95" ht="15.75" thickBot="1" x14ac:dyDescent="0.3">
      <c r="A88" s="177">
        <v>2</v>
      </c>
      <c r="B88" s="178"/>
      <c r="C88" s="178"/>
      <c r="D88" s="178"/>
      <c r="E88" s="178"/>
      <c r="F88" s="178"/>
      <c r="G88" s="75"/>
      <c r="H88" s="178"/>
      <c r="I88" s="178"/>
      <c r="J88" s="178"/>
      <c r="K88" s="178"/>
      <c r="L88" s="178"/>
      <c r="M88" s="178"/>
      <c r="N88" s="178"/>
      <c r="O88" s="178"/>
      <c r="P88" s="232"/>
      <c r="Q88" s="195"/>
      <c r="R88" s="195"/>
      <c r="S88" s="195"/>
      <c r="T88" s="195"/>
      <c r="U88" s="195"/>
      <c r="V88" s="19"/>
      <c r="W88" s="19"/>
      <c r="X88" s="195"/>
      <c r="Y88" s="196"/>
    </row>
    <row r="89" spans="1:95" s="18" customFormat="1" ht="17.25" customHeight="1" thickBot="1" x14ac:dyDescent="0.3">
      <c r="A89" s="300" t="s">
        <v>91</v>
      </c>
      <c r="B89" s="301"/>
      <c r="C89" s="301"/>
      <c r="D89" s="301"/>
      <c r="E89" s="301"/>
      <c r="F89" s="301"/>
      <c r="G89" s="301"/>
      <c r="H89" s="301"/>
      <c r="I89" s="301"/>
      <c r="J89" s="301"/>
      <c r="K89" s="301"/>
      <c r="L89" s="301"/>
      <c r="M89" s="301"/>
      <c r="N89" s="301"/>
      <c r="O89" s="302"/>
      <c r="P89" s="191">
        <f t="shared" ref="P89:U89" si="14">P87</f>
        <v>0</v>
      </c>
      <c r="Q89" s="191">
        <f t="shared" si="14"/>
        <v>0</v>
      </c>
      <c r="R89" s="191">
        <f t="shared" si="14"/>
        <v>0</v>
      </c>
      <c r="S89" s="191">
        <f t="shared" si="14"/>
        <v>0</v>
      </c>
      <c r="T89" s="191">
        <f t="shared" si="14"/>
        <v>0</v>
      </c>
      <c r="U89" s="191">
        <f t="shared" si="14"/>
        <v>0</v>
      </c>
      <c r="V89" s="20"/>
      <c r="W89" s="20">
        <f>W87</f>
        <v>0</v>
      </c>
      <c r="X89" s="191">
        <f>X87</f>
        <v>0</v>
      </c>
      <c r="Y89" s="192">
        <f>Y87</f>
        <v>0</v>
      </c>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17"/>
    </row>
    <row r="90" spans="1:95" ht="15.75" customHeight="1" x14ac:dyDescent="0.25">
      <c r="A90" s="308" t="s">
        <v>52</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10"/>
    </row>
    <row r="91" spans="1:95" s="32" customFormat="1" x14ac:dyDescent="0.25">
      <c r="A91" s="147">
        <v>1</v>
      </c>
      <c r="B91" s="29"/>
      <c r="C91" s="29"/>
      <c r="D91" s="29"/>
      <c r="E91" s="22"/>
      <c r="F91" s="23"/>
      <c r="G91" s="16"/>
      <c r="H91" s="30"/>
      <c r="I91" s="30"/>
      <c r="J91" s="31"/>
      <c r="K91" s="33"/>
      <c r="L91" s="33"/>
      <c r="M91" s="33"/>
      <c r="N91" s="5"/>
      <c r="O91" s="5"/>
      <c r="P91" s="186"/>
      <c r="Q91" s="197"/>
      <c r="R91" s="197"/>
      <c r="S91" s="197"/>
      <c r="T91" s="197"/>
      <c r="U91" s="233"/>
      <c r="V91" s="8"/>
      <c r="W91" s="5"/>
      <c r="X91" s="197"/>
      <c r="Y91" s="198"/>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14"/>
    </row>
    <row r="92" spans="1:95" ht="15.75" thickBot="1" x14ac:dyDescent="0.3">
      <c r="A92" s="177">
        <v>2</v>
      </c>
      <c r="B92" s="178"/>
      <c r="C92" s="178"/>
      <c r="D92" s="178"/>
      <c r="E92" s="178"/>
      <c r="F92" s="178"/>
      <c r="G92" s="75"/>
      <c r="H92" s="178"/>
      <c r="I92" s="178"/>
      <c r="J92" s="178"/>
      <c r="K92" s="178"/>
      <c r="L92" s="178"/>
      <c r="M92" s="178"/>
      <c r="N92" s="178"/>
      <c r="O92" s="178"/>
      <c r="P92" s="232"/>
      <c r="Q92" s="195"/>
      <c r="R92" s="195"/>
      <c r="S92" s="195"/>
      <c r="T92" s="195"/>
      <c r="U92" s="195"/>
      <c r="V92" s="19"/>
      <c r="W92" s="19"/>
      <c r="X92" s="195"/>
      <c r="Y92" s="196"/>
    </row>
    <row r="93" spans="1:95" s="18" customFormat="1" ht="17.25" customHeight="1" thickBot="1" x14ac:dyDescent="0.3">
      <c r="A93" s="300" t="s">
        <v>92</v>
      </c>
      <c r="B93" s="301"/>
      <c r="C93" s="301"/>
      <c r="D93" s="301"/>
      <c r="E93" s="301"/>
      <c r="F93" s="301"/>
      <c r="G93" s="301"/>
      <c r="H93" s="301"/>
      <c r="I93" s="301"/>
      <c r="J93" s="301"/>
      <c r="K93" s="301"/>
      <c r="L93" s="301"/>
      <c r="M93" s="301"/>
      <c r="N93" s="301"/>
      <c r="O93" s="302"/>
      <c r="P93" s="191">
        <f t="shared" ref="P93:U93" si="15">P91</f>
        <v>0</v>
      </c>
      <c r="Q93" s="191">
        <f t="shared" si="15"/>
        <v>0</v>
      </c>
      <c r="R93" s="191">
        <f t="shared" si="15"/>
        <v>0</v>
      </c>
      <c r="S93" s="191">
        <f t="shared" si="15"/>
        <v>0</v>
      </c>
      <c r="T93" s="191">
        <f t="shared" si="15"/>
        <v>0</v>
      </c>
      <c r="U93" s="191">
        <f t="shared" si="15"/>
        <v>0</v>
      </c>
      <c r="V93" s="20"/>
      <c r="W93" s="20">
        <f>W91</f>
        <v>0</v>
      </c>
      <c r="X93" s="191">
        <f>X91</f>
        <v>0</v>
      </c>
      <c r="Y93" s="192">
        <f>Y91</f>
        <v>0</v>
      </c>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17"/>
    </row>
    <row r="94" spans="1:95" ht="15.75" customHeight="1" x14ac:dyDescent="0.25">
      <c r="A94" s="308" t="s">
        <v>53</v>
      </c>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10"/>
    </row>
    <row r="95" spans="1:95" x14ac:dyDescent="0.25">
      <c r="A95" s="177">
        <v>1</v>
      </c>
      <c r="B95" s="52"/>
      <c r="C95" s="52"/>
      <c r="D95" s="52"/>
      <c r="E95" s="52"/>
      <c r="F95" s="52"/>
      <c r="G95" s="75"/>
      <c r="H95" s="178"/>
      <c r="I95" s="178"/>
      <c r="J95" s="178"/>
      <c r="K95" s="178"/>
      <c r="L95" s="178"/>
      <c r="M95" s="178"/>
      <c r="N95" s="178"/>
      <c r="O95" s="178"/>
      <c r="P95" s="232"/>
      <c r="Q95" s="195"/>
      <c r="R95" s="195"/>
      <c r="S95" s="195"/>
      <c r="T95" s="195"/>
      <c r="U95" s="195"/>
      <c r="V95" s="19"/>
      <c r="W95" s="19"/>
      <c r="X95" s="195"/>
      <c r="Y95" s="196"/>
    </row>
    <row r="96" spans="1:95" ht="15.75" thickBot="1" x14ac:dyDescent="0.3">
      <c r="A96" s="148">
        <v>2</v>
      </c>
      <c r="B96" s="68"/>
      <c r="C96" s="68"/>
      <c r="D96" s="68"/>
      <c r="E96" s="36"/>
      <c r="F96" s="36"/>
      <c r="G96" s="78"/>
      <c r="H96" s="44"/>
      <c r="I96" s="44"/>
      <c r="J96" s="44"/>
      <c r="K96" s="38"/>
      <c r="L96" s="38"/>
      <c r="M96" s="38"/>
      <c r="N96" s="38"/>
      <c r="O96" s="44"/>
      <c r="P96" s="238"/>
      <c r="Q96" s="205"/>
      <c r="R96" s="205"/>
      <c r="S96" s="207"/>
      <c r="T96" s="205"/>
      <c r="U96" s="205"/>
      <c r="V96" s="37"/>
      <c r="W96" s="37"/>
      <c r="X96" s="205"/>
      <c r="Y96" s="206"/>
    </row>
    <row r="97" spans="1:95" s="18" customFormat="1" ht="17.25" customHeight="1" thickBot="1" x14ac:dyDescent="0.3">
      <c r="A97" s="300" t="s">
        <v>93</v>
      </c>
      <c r="B97" s="301"/>
      <c r="C97" s="301"/>
      <c r="D97" s="301"/>
      <c r="E97" s="301"/>
      <c r="F97" s="301"/>
      <c r="G97" s="301"/>
      <c r="H97" s="301"/>
      <c r="I97" s="301"/>
      <c r="J97" s="301"/>
      <c r="K97" s="301"/>
      <c r="L97" s="301"/>
      <c r="M97" s="301"/>
      <c r="N97" s="301"/>
      <c r="O97" s="302"/>
      <c r="P97" s="209">
        <v>0</v>
      </c>
      <c r="Q97" s="209">
        <v>0</v>
      </c>
      <c r="R97" s="209">
        <v>0</v>
      </c>
      <c r="S97" s="209">
        <v>0</v>
      </c>
      <c r="T97" s="209">
        <v>0</v>
      </c>
      <c r="U97" s="209">
        <v>0</v>
      </c>
      <c r="V97" s="20"/>
      <c r="W97" s="20">
        <v>0</v>
      </c>
      <c r="X97" s="191">
        <v>0</v>
      </c>
      <c r="Y97" s="192">
        <v>0</v>
      </c>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17"/>
    </row>
    <row r="98" spans="1:95" ht="15.75" customHeight="1" x14ac:dyDescent="0.25">
      <c r="A98" s="308" t="s">
        <v>54</v>
      </c>
      <c r="B98" s="309"/>
      <c r="C98" s="309"/>
      <c r="D98" s="309"/>
      <c r="E98" s="309"/>
      <c r="F98" s="309"/>
      <c r="G98" s="309"/>
      <c r="H98" s="309"/>
      <c r="I98" s="309"/>
      <c r="J98" s="309"/>
      <c r="K98" s="309"/>
      <c r="L98" s="309"/>
      <c r="M98" s="309"/>
      <c r="N98" s="309"/>
      <c r="O98" s="309"/>
      <c r="P98" s="327"/>
      <c r="Q98" s="327"/>
      <c r="R98" s="327"/>
      <c r="S98" s="327"/>
      <c r="T98" s="327"/>
      <c r="U98" s="327"/>
      <c r="V98" s="309"/>
      <c r="W98" s="309"/>
      <c r="X98" s="309"/>
      <c r="Y98" s="310"/>
    </row>
    <row r="99" spans="1:95" x14ac:dyDescent="0.25">
      <c r="A99" s="177">
        <v>1</v>
      </c>
      <c r="B99" s="178"/>
      <c r="C99" s="178"/>
      <c r="D99" s="178"/>
      <c r="E99" s="178"/>
      <c r="F99" s="178"/>
      <c r="G99" s="75"/>
      <c r="H99" s="178"/>
      <c r="I99" s="178"/>
      <c r="J99" s="178"/>
      <c r="K99" s="178"/>
      <c r="L99" s="178"/>
      <c r="M99" s="178"/>
      <c r="N99" s="178"/>
      <c r="O99" s="178"/>
      <c r="P99" s="232"/>
      <c r="Q99" s="195"/>
      <c r="R99" s="195"/>
      <c r="S99" s="195"/>
      <c r="T99" s="195"/>
      <c r="U99" s="195"/>
      <c r="V99" s="19"/>
      <c r="W99" s="19"/>
      <c r="X99" s="195"/>
      <c r="Y99" s="196"/>
    </row>
    <row r="100" spans="1:95" ht="15.75" thickBot="1" x14ac:dyDescent="0.3">
      <c r="A100" s="148">
        <v>2</v>
      </c>
      <c r="B100" s="44"/>
      <c r="C100" s="44"/>
      <c r="D100" s="44"/>
      <c r="E100" s="38"/>
      <c r="F100" s="38"/>
      <c r="G100" s="78"/>
      <c r="H100" s="44"/>
      <c r="I100" s="44"/>
      <c r="J100" s="44"/>
      <c r="K100" s="38"/>
      <c r="L100" s="38"/>
      <c r="M100" s="38"/>
      <c r="N100" s="38"/>
      <c r="O100" s="44"/>
      <c r="P100" s="238"/>
      <c r="Q100" s="205"/>
      <c r="R100" s="205"/>
      <c r="S100" s="207"/>
      <c r="T100" s="205"/>
      <c r="U100" s="205"/>
      <c r="V100" s="37"/>
      <c r="W100" s="37"/>
      <c r="X100" s="205"/>
      <c r="Y100" s="206"/>
    </row>
    <row r="101" spans="1:95" s="18" customFormat="1" ht="17.25" customHeight="1" thickBot="1" x14ac:dyDescent="0.3">
      <c r="A101" s="300" t="s">
        <v>94</v>
      </c>
      <c r="B101" s="301"/>
      <c r="C101" s="301"/>
      <c r="D101" s="301"/>
      <c r="E101" s="301"/>
      <c r="F101" s="301"/>
      <c r="G101" s="301"/>
      <c r="H101" s="301"/>
      <c r="I101" s="301"/>
      <c r="J101" s="301"/>
      <c r="K101" s="301"/>
      <c r="L101" s="301"/>
      <c r="M101" s="301"/>
      <c r="N101" s="301"/>
      <c r="O101" s="302"/>
      <c r="P101" s="209">
        <v>0</v>
      </c>
      <c r="Q101" s="209">
        <v>0</v>
      </c>
      <c r="R101" s="209">
        <v>0</v>
      </c>
      <c r="S101" s="209">
        <v>0</v>
      </c>
      <c r="T101" s="209">
        <v>0</v>
      </c>
      <c r="U101" s="209">
        <v>0</v>
      </c>
      <c r="V101" s="20"/>
      <c r="W101" s="20">
        <v>0</v>
      </c>
      <c r="X101" s="191">
        <v>0</v>
      </c>
      <c r="Y101" s="192">
        <v>0</v>
      </c>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17"/>
    </row>
    <row r="102" spans="1:95" ht="15.75" customHeight="1" thickBot="1" x14ac:dyDescent="0.3">
      <c r="A102" s="314" t="s">
        <v>55</v>
      </c>
      <c r="B102" s="315"/>
      <c r="C102" s="315"/>
      <c r="D102" s="315"/>
      <c r="E102" s="315"/>
      <c r="F102" s="315"/>
      <c r="G102" s="315"/>
      <c r="H102" s="315"/>
      <c r="I102" s="315"/>
      <c r="J102" s="315"/>
      <c r="K102" s="315"/>
      <c r="L102" s="315"/>
      <c r="M102" s="315"/>
      <c r="N102" s="315"/>
      <c r="O102" s="315"/>
      <c r="P102" s="344"/>
      <c r="Q102" s="344"/>
      <c r="R102" s="344"/>
      <c r="S102" s="344"/>
      <c r="T102" s="344"/>
      <c r="U102" s="344"/>
      <c r="V102" s="315"/>
      <c r="W102" s="315"/>
      <c r="X102" s="315"/>
      <c r="Y102" s="316"/>
    </row>
    <row r="103" spans="1:95" x14ac:dyDescent="0.25">
      <c r="A103" s="177">
        <v>1</v>
      </c>
      <c r="B103" s="178"/>
      <c r="C103" s="178"/>
      <c r="D103" s="178"/>
      <c r="E103" s="178"/>
      <c r="F103" s="178"/>
      <c r="G103" s="75"/>
      <c r="H103" s="178"/>
      <c r="I103" s="178"/>
      <c r="J103" s="178"/>
      <c r="K103" s="178"/>
      <c r="L103" s="178"/>
      <c r="M103" s="178"/>
      <c r="N103" s="178"/>
      <c r="O103" s="178"/>
      <c r="P103" s="232"/>
      <c r="Q103" s="195"/>
      <c r="R103" s="195"/>
      <c r="S103" s="195"/>
      <c r="T103" s="195"/>
      <c r="U103" s="195"/>
      <c r="V103" s="19"/>
      <c r="W103" s="19"/>
      <c r="X103" s="195"/>
      <c r="Y103" s="196"/>
    </row>
    <row r="104" spans="1:95" x14ac:dyDescent="0.25">
      <c r="A104" s="147">
        <v>2</v>
      </c>
      <c r="B104" s="178"/>
      <c r="C104" s="178"/>
      <c r="D104" s="178"/>
      <c r="E104" s="33"/>
      <c r="F104" s="33"/>
      <c r="G104" s="75"/>
      <c r="H104" s="178"/>
      <c r="I104" s="178"/>
      <c r="J104" s="178"/>
      <c r="K104" s="33"/>
      <c r="L104" s="33"/>
      <c r="M104" s="33"/>
      <c r="N104" s="33"/>
      <c r="O104" s="178"/>
      <c r="P104" s="234"/>
      <c r="Q104" s="199"/>
      <c r="R104" s="199"/>
      <c r="S104" s="195"/>
      <c r="T104" s="199"/>
      <c r="U104" s="199"/>
      <c r="V104" s="109"/>
      <c r="W104" s="109"/>
      <c r="X104" s="199"/>
      <c r="Y104" s="200"/>
    </row>
    <row r="105" spans="1:95" ht="15.75" thickBot="1" x14ac:dyDescent="0.3">
      <c r="A105" s="148">
        <v>3</v>
      </c>
      <c r="B105" s="44"/>
      <c r="C105" s="44"/>
      <c r="D105" s="44"/>
      <c r="E105" s="38"/>
      <c r="F105" s="38"/>
      <c r="G105" s="78"/>
      <c r="H105" s="44"/>
      <c r="I105" s="44"/>
      <c r="J105" s="44"/>
      <c r="K105" s="38"/>
      <c r="L105" s="38"/>
      <c r="M105" s="38"/>
      <c r="N105" s="38"/>
      <c r="O105" s="44"/>
      <c r="P105" s="238"/>
      <c r="Q105" s="205"/>
      <c r="R105" s="205"/>
      <c r="S105" s="207"/>
      <c r="T105" s="205"/>
      <c r="U105" s="205"/>
      <c r="V105" s="37"/>
      <c r="W105" s="37"/>
      <c r="X105" s="205"/>
      <c r="Y105" s="206"/>
    </row>
    <row r="106" spans="1:95" s="18" customFormat="1" ht="17.25" customHeight="1" thickBot="1" x14ac:dyDescent="0.3">
      <c r="A106" s="300" t="s">
        <v>95</v>
      </c>
      <c r="B106" s="301"/>
      <c r="C106" s="301"/>
      <c r="D106" s="301"/>
      <c r="E106" s="301"/>
      <c r="F106" s="301"/>
      <c r="G106" s="301"/>
      <c r="H106" s="301"/>
      <c r="I106" s="301"/>
      <c r="J106" s="301"/>
      <c r="K106" s="301"/>
      <c r="L106" s="301"/>
      <c r="M106" s="301"/>
      <c r="N106" s="301"/>
      <c r="O106" s="302"/>
      <c r="P106" s="191">
        <f>P103</f>
        <v>0</v>
      </c>
      <c r="Q106" s="191">
        <f t="shared" ref="Q106:U106" si="16">Q103</f>
        <v>0</v>
      </c>
      <c r="R106" s="191">
        <f t="shared" si="16"/>
        <v>0</v>
      </c>
      <c r="S106" s="191">
        <f t="shared" si="16"/>
        <v>0</v>
      </c>
      <c r="T106" s="191">
        <f t="shared" si="16"/>
        <v>0</v>
      </c>
      <c r="U106" s="191">
        <f t="shared" si="16"/>
        <v>0</v>
      </c>
      <c r="V106" s="20"/>
      <c r="W106" s="20">
        <f>W103</f>
        <v>0</v>
      </c>
      <c r="X106" s="191">
        <f>X103</f>
        <v>0</v>
      </c>
      <c r="Y106" s="192">
        <f>Y103</f>
        <v>0</v>
      </c>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17"/>
    </row>
    <row r="107" spans="1:95" ht="15.75" customHeight="1" thickBot="1" x14ac:dyDescent="0.3">
      <c r="A107" s="314" t="s">
        <v>56</v>
      </c>
      <c r="B107" s="315"/>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6"/>
    </row>
    <row r="108" spans="1:95" x14ac:dyDescent="0.25">
      <c r="A108" s="177">
        <v>1</v>
      </c>
      <c r="B108" s="178"/>
      <c r="C108" s="178"/>
      <c r="D108" s="178"/>
      <c r="E108" s="178"/>
      <c r="F108" s="178"/>
      <c r="G108" s="75"/>
      <c r="H108" s="178"/>
      <c r="I108" s="178"/>
      <c r="J108" s="178"/>
      <c r="K108" s="178"/>
      <c r="L108" s="178"/>
      <c r="M108" s="178"/>
      <c r="N108" s="178"/>
      <c r="O108" s="178"/>
      <c r="P108" s="232"/>
      <c r="Q108" s="195"/>
      <c r="R108" s="195"/>
      <c r="S108" s="195"/>
      <c r="T108" s="195"/>
      <c r="U108" s="195"/>
      <c r="V108" s="19"/>
      <c r="W108" s="19"/>
      <c r="X108" s="195"/>
      <c r="Y108" s="196"/>
    </row>
    <row r="109" spans="1:95" x14ac:dyDescent="0.25">
      <c r="A109" s="147">
        <v>2</v>
      </c>
      <c r="B109" s="178"/>
      <c r="C109" s="178"/>
      <c r="D109" s="178"/>
      <c r="E109" s="33"/>
      <c r="F109" s="33"/>
      <c r="G109" s="75"/>
      <c r="H109" s="178"/>
      <c r="I109" s="178"/>
      <c r="J109" s="178"/>
      <c r="K109" s="33"/>
      <c r="L109" s="33"/>
      <c r="M109" s="33"/>
      <c r="N109" s="33"/>
      <c r="O109" s="178"/>
      <c r="P109" s="234"/>
      <c r="Q109" s="199"/>
      <c r="R109" s="199"/>
      <c r="S109" s="195"/>
      <c r="T109" s="199"/>
      <c r="U109" s="199"/>
      <c r="V109" s="109"/>
      <c r="W109" s="109"/>
      <c r="X109" s="199"/>
      <c r="Y109" s="200"/>
    </row>
    <row r="110" spans="1:95" ht="15.75" thickBot="1" x14ac:dyDescent="0.3">
      <c r="A110" s="148">
        <v>3</v>
      </c>
      <c r="B110" s="44"/>
      <c r="C110" s="44"/>
      <c r="D110" s="44"/>
      <c r="E110" s="38"/>
      <c r="F110" s="38"/>
      <c r="G110" s="78"/>
      <c r="H110" s="44"/>
      <c r="I110" s="44"/>
      <c r="J110" s="44"/>
      <c r="K110" s="38"/>
      <c r="L110" s="38"/>
      <c r="M110" s="38"/>
      <c r="N110" s="38"/>
      <c r="O110" s="44"/>
      <c r="P110" s="238"/>
      <c r="Q110" s="205"/>
      <c r="R110" s="205"/>
      <c r="S110" s="207"/>
      <c r="T110" s="205"/>
      <c r="U110" s="205"/>
      <c r="V110" s="37"/>
      <c r="W110" s="37"/>
      <c r="X110" s="205"/>
      <c r="Y110" s="206"/>
    </row>
    <row r="111" spans="1:95" s="18" customFormat="1" ht="17.25" customHeight="1" thickBot="1" x14ac:dyDescent="0.3">
      <c r="A111" s="300" t="s">
        <v>96</v>
      </c>
      <c r="B111" s="301"/>
      <c r="C111" s="301"/>
      <c r="D111" s="301"/>
      <c r="E111" s="301"/>
      <c r="F111" s="301"/>
      <c r="G111" s="301"/>
      <c r="H111" s="301"/>
      <c r="I111" s="301"/>
      <c r="J111" s="301"/>
      <c r="K111" s="301"/>
      <c r="L111" s="301"/>
      <c r="M111" s="301"/>
      <c r="N111" s="301"/>
      <c r="O111" s="302"/>
      <c r="P111" s="191">
        <f>P108</f>
        <v>0</v>
      </c>
      <c r="Q111" s="191">
        <f t="shared" ref="Q111:U111" si="17">Q108</f>
        <v>0</v>
      </c>
      <c r="R111" s="191">
        <f t="shared" si="17"/>
        <v>0</v>
      </c>
      <c r="S111" s="191">
        <f t="shared" si="17"/>
        <v>0</v>
      </c>
      <c r="T111" s="191">
        <f t="shared" si="17"/>
        <v>0</v>
      </c>
      <c r="U111" s="191">
        <f t="shared" si="17"/>
        <v>0</v>
      </c>
      <c r="V111" s="20"/>
      <c r="W111" s="20">
        <f>W108</f>
        <v>0</v>
      </c>
      <c r="X111" s="191">
        <f>X108</f>
        <v>0</v>
      </c>
      <c r="Y111" s="192">
        <f>Y108</f>
        <v>0</v>
      </c>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17"/>
    </row>
    <row r="112" spans="1:95" ht="15.75" customHeight="1" x14ac:dyDescent="0.25">
      <c r="A112" s="308" t="s">
        <v>57</v>
      </c>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10"/>
    </row>
    <row r="113" spans="1:95" x14ac:dyDescent="0.25">
      <c r="A113" s="177">
        <v>1</v>
      </c>
      <c r="B113" s="178"/>
      <c r="C113" s="178"/>
      <c r="D113" s="178"/>
      <c r="E113" s="178"/>
      <c r="F113" s="178"/>
      <c r="G113" s="75"/>
      <c r="H113" s="178"/>
      <c r="I113" s="178"/>
      <c r="J113" s="178"/>
      <c r="K113" s="178"/>
      <c r="L113" s="178"/>
      <c r="M113" s="178"/>
      <c r="N113" s="178"/>
      <c r="O113" s="178"/>
      <c r="P113" s="232"/>
      <c r="Q113" s="195"/>
      <c r="R113" s="195"/>
      <c r="S113" s="195"/>
      <c r="T113" s="195"/>
      <c r="U113" s="195"/>
      <c r="V113" s="19"/>
      <c r="W113" s="19"/>
      <c r="X113" s="195"/>
      <c r="Y113" s="196"/>
    </row>
    <row r="114" spans="1:95" ht="15.75" thickBot="1" x14ac:dyDescent="0.3">
      <c r="A114" s="148">
        <v>2</v>
      </c>
      <c r="B114" s="44"/>
      <c r="C114" s="44"/>
      <c r="D114" s="44"/>
      <c r="E114" s="38"/>
      <c r="F114" s="38"/>
      <c r="G114" s="78"/>
      <c r="H114" s="44"/>
      <c r="I114" s="44"/>
      <c r="J114" s="44"/>
      <c r="K114" s="38"/>
      <c r="L114" s="38"/>
      <c r="M114" s="38"/>
      <c r="N114" s="38"/>
      <c r="O114" s="44"/>
      <c r="P114" s="238"/>
      <c r="Q114" s="205"/>
      <c r="R114" s="205"/>
      <c r="S114" s="207"/>
      <c r="T114" s="205"/>
      <c r="U114" s="205"/>
      <c r="V114" s="37"/>
      <c r="W114" s="37"/>
      <c r="X114" s="205"/>
      <c r="Y114" s="206"/>
    </row>
    <row r="115" spans="1:95" s="18" customFormat="1" ht="17.25" customHeight="1" thickBot="1" x14ac:dyDescent="0.3">
      <c r="A115" s="300" t="s">
        <v>97</v>
      </c>
      <c r="B115" s="301"/>
      <c r="C115" s="301"/>
      <c r="D115" s="301"/>
      <c r="E115" s="301"/>
      <c r="F115" s="301"/>
      <c r="G115" s="301"/>
      <c r="H115" s="301"/>
      <c r="I115" s="301"/>
      <c r="J115" s="301"/>
      <c r="K115" s="301"/>
      <c r="L115" s="301"/>
      <c r="M115" s="301"/>
      <c r="N115" s="301"/>
      <c r="O115" s="302"/>
      <c r="P115" s="191">
        <v>0</v>
      </c>
      <c r="Q115" s="191">
        <v>0</v>
      </c>
      <c r="R115" s="191">
        <v>0</v>
      </c>
      <c r="S115" s="191">
        <v>0</v>
      </c>
      <c r="T115" s="191">
        <v>0</v>
      </c>
      <c r="U115" s="191">
        <v>0</v>
      </c>
      <c r="V115" s="20"/>
      <c r="W115" s="20">
        <v>0</v>
      </c>
      <c r="X115" s="191">
        <v>0</v>
      </c>
      <c r="Y115" s="192">
        <v>0</v>
      </c>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17"/>
    </row>
    <row r="116" spans="1:95" ht="15.75" customHeight="1" x14ac:dyDescent="0.25">
      <c r="A116" s="308" t="s">
        <v>58</v>
      </c>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10"/>
    </row>
    <row r="117" spans="1:95" x14ac:dyDescent="0.25">
      <c r="A117" s="177">
        <v>1</v>
      </c>
      <c r="B117" s="178"/>
      <c r="C117" s="178"/>
      <c r="D117" s="178"/>
      <c r="E117" s="178"/>
      <c r="F117" s="178"/>
      <c r="G117" s="75"/>
      <c r="H117" s="178"/>
      <c r="I117" s="178"/>
      <c r="J117" s="178"/>
      <c r="K117" s="178"/>
      <c r="L117" s="178"/>
      <c r="M117" s="178"/>
      <c r="N117" s="178"/>
      <c r="O117" s="178"/>
      <c r="P117" s="232"/>
      <c r="Q117" s="195"/>
      <c r="R117" s="195"/>
      <c r="S117" s="195"/>
      <c r="T117" s="195"/>
      <c r="U117" s="195"/>
      <c r="V117" s="19"/>
      <c r="W117" s="19"/>
      <c r="X117" s="195"/>
      <c r="Y117" s="196"/>
    </row>
    <row r="118" spans="1:95" ht="15.75" thickBot="1" x14ac:dyDescent="0.3">
      <c r="A118" s="148">
        <v>2</v>
      </c>
      <c r="B118" s="44"/>
      <c r="C118" s="44"/>
      <c r="D118" s="44"/>
      <c r="E118" s="38"/>
      <c r="F118" s="38"/>
      <c r="G118" s="78"/>
      <c r="H118" s="44"/>
      <c r="I118" s="44"/>
      <c r="J118" s="44"/>
      <c r="K118" s="38"/>
      <c r="L118" s="38"/>
      <c r="M118" s="38"/>
      <c r="N118" s="38"/>
      <c r="O118" s="44"/>
      <c r="P118" s="238"/>
      <c r="Q118" s="205"/>
      <c r="R118" s="205"/>
      <c r="S118" s="207"/>
      <c r="T118" s="205"/>
      <c r="U118" s="205"/>
      <c r="V118" s="37"/>
      <c r="W118" s="37"/>
      <c r="X118" s="205"/>
      <c r="Y118" s="206"/>
    </row>
    <row r="119" spans="1:95" s="18" customFormat="1" ht="17.25" customHeight="1" thickBot="1" x14ac:dyDescent="0.3">
      <c r="A119" s="300" t="s">
        <v>98</v>
      </c>
      <c r="B119" s="301"/>
      <c r="C119" s="301"/>
      <c r="D119" s="301"/>
      <c r="E119" s="301"/>
      <c r="F119" s="301"/>
      <c r="G119" s="301"/>
      <c r="H119" s="301"/>
      <c r="I119" s="301"/>
      <c r="J119" s="301"/>
      <c r="K119" s="301"/>
      <c r="L119" s="301"/>
      <c r="M119" s="301"/>
      <c r="N119" s="301"/>
      <c r="O119" s="302"/>
      <c r="P119" s="191">
        <v>0</v>
      </c>
      <c r="Q119" s="191">
        <v>0</v>
      </c>
      <c r="R119" s="191">
        <v>0</v>
      </c>
      <c r="S119" s="191">
        <v>0</v>
      </c>
      <c r="T119" s="191">
        <v>0</v>
      </c>
      <c r="U119" s="191">
        <v>0</v>
      </c>
      <c r="V119" s="20"/>
      <c r="W119" s="20">
        <v>0</v>
      </c>
      <c r="X119" s="191">
        <v>0</v>
      </c>
      <c r="Y119" s="192">
        <v>0</v>
      </c>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17"/>
    </row>
    <row r="120" spans="1:95" ht="15.75" customHeight="1" x14ac:dyDescent="0.25">
      <c r="A120" s="308" t="s">
        <v>59</v>
      </c>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10"/>
    </row>
    <row r="121" spans="1:95" x14ac:dyDescent="0.25">
      <c r="A121" s="177">
        <v>1</v>
      </c>
      <c r="B121" s="178"/>
      <c r="C121" s="178"/>
      <c r="D121" s="178"/>
      <c r="E121" s="178"/>
      <c r="F121" s="178"/>
      <c r="G121" s="75"/>
      <c r="H121" s="178"/>
      <c r="I121" s="178"/>
      <c r="J121" s="178"/>
      <c r="K121" s="178"/>
      <c r="L121" s="178"/>
      <c r="M121" s="178"/>
      <c r="N121" s="178"/>
      <c r="O121" s="178"/>
      <c r="P121" s="232"/>
      <c r="Q121" s="195"/>
      <c r="R121" s="195"/>
      <c r="S121" s="195"/>
      <c r="T121" s="195"/>
      <c r="U121" s="195"/>
      <c r="V121" s="19"/>
      <c r="W121" s="19"/>
      <c r="X121" s="195"/>
      <c r="Y121" s="196"/>
    </row>
    <row r="122" spans="1:95" ht="15.75" thickBot="1" x14ac:dyDescent="0.3">
      <c r="A122" s="148">
        <v>2</v>
      </c>
      <c r="B122" s="44"/>
      <c r="C122" s="44"/>
      <c r="D122" s="44"/>
      <c r="E122" s="38"/>
      <c r="F122" s="38"/>
      <c r="G122" s="78"/>
      <c r="H122" s="44"/>
      <c r="I122" s="44"/>
      <c r="J122" s="44"/>
      <c r="K122" s="38"/>
      <c r="L122" s="38"/>
      <c r="M122" s="38"/>
      <c r="N122" s="38"/>
      <c r="O122" s="44"/>
      <c r="P122" s="238"/>
      <c r="Q122" s="205"/>
      <c r="R122" s="205"/>
      <c r="S122" s="207"/>
      <c r="T122" s="205"/>
      <c r="U122" s="205"/>
      <c r="V122" s="37"/>
      <c r="W122" s="37"/>
      <c r="X122" s="205"/>
      <c r="Y122" s="206"/>
    </row>
    <row r="123" spans="1:95" s="18" customFormat="1" ht="17.25" customHeight="1" thickBot="1" x14ac:dyDescent="0.3">
      <c r="A123" s="300" t="s">
        <v>99</v>
      </c>
      <c r="B123" s="301"/>
      <c r="C123" s="301"/>
      <c r="D123" s="301"/>
      <c r="E123" s="301"/>
      <c r="F123" s="301"/>
      <c r="G123" s="301"/>
      <c r="H123" s="301"/>
      <c r="I123" s="301"/>
      <c r="J123" s="301"/>
      <c r="K123" s="301"/>
      <c r="L123" s="301"/>
      <c r="M123" s="301"/>
      <c r="N123" s="301"/>
      <c r="O123" s="302"/>
      <c r="P123" s="209">
        <v>0</v>
      </c>
      <c r="Q123" s="209">
        <v>0</v>
      </c>
      <c r="R123" s="209">
        <v>0</v>
      </c>
      <c r="S123" s="209">
        <v>0</v>
      </c>
      <c r="T123" s="209">
        <v>0</v>
      </c>
      <c r="U123" s="209">
        <v>0</v>
      </c>
      <c r="V123" s="20"/>
      <c r="W123" s="20">
        <v>0</v>
      </c>
      <c r="X123" s="191">
        <v>0</v>
      </c>
      <c r="Y123" s="192">
        <v>0</v>
      </c>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17"/>
    </row>
    <row r="124" spans="1:95" ht="15.75" customHeight="1" x14ac:dyDescent="0.25">
      <c r="A124" s="308" t="s">
        <v>60</v>
      </c>
      <c r="B124" s="309"/>
      <c r="C124" s="309"/>
      <c r="D124" s="309"/>
      <c r="E124" s="309"/>
      <c r="F124" s="309"/>
      <c r="G124" s="309"/>
      <c r="H124" s="309"/>
      <c r="I124" s="309"/>
      <c r="J124" s="309"/>
      <c r="K124" s="309"/>
      <c r="L124" s="309"/>
      <c r="M124" s="309"/>
      <c r="N124" s="309"/>
      <c r="O124" s="309"/>
      <c r="P124" s="327"/>
      <c r="Q124" s="327"/>
      <c r="R124" s="327"/>
      <c r="S124" s="327"/>
      <c r="T124" s="327"/>
      <c r="U124" s="327"/>
      <c r="V124" s="309"/>
      <c r="W124" s="309"/>
      <c r="X124" s="309"/>
      <c r="Y124" s="310"/>
    </row>
    <row r="125" spans="1:95" s="28" customFormat="1" ht="90" thickBot="1" x14ac:dyDescent="0.3">
      <c r="A125" s="146">
        <v>1</v>
      </c>
      <c r="B125" s="174" t="s">
        <v>152</v>
      </c>
      <c r="C125" s="174">
        <v>116370</v>
      </c>
      <c r="D125" s="174" t="s">
        <v>362</v>
      </c>
      <c r="E125" s="22" t="s">
        <v>180</v>
      </c>
      <c r="F125" s="23" t="s">
        <v>181</v>
      </c>
      <c r="G125" s="59" t="s">
        <v>182</v>
      </c>
      <c r="H125" s="25">
        <v>42370</v>
      </c>
      <c r="I125" s="25">
        <v>43465</v>
      </c>
      <c r="J125" s="23" t="s">
        <v>115</v>
      </c>
      <c r="K125" s="63" t="s">
        <v>183</v>
      </c>
      <c r="L125" s="35" t="s">
        <v>184</v>
      </c>
      <c r="M125" s="35" t="s">
        <v>185</v>
      </c>
      <c r="N125" s="23" t="s">
        <v>186</v>
      </c>
      <c r="O125" s="23">
        <v>121</v>
      </c>
      <c r="P125" s="186">
        <v>2097177.87</v>
      </c>
      <c r="Q125" s="186">
        <v>378975.24</v>
      </c>
      <c r="R125" s="186">
        <v>0</v>
      </c>
      <c r="S125" s="186">
        <v>0</v>
      </c>
      <c r="T125" s="186">
        <v>155063.19</v>
      </c>
      <c r="U125" s="230">
        <f>P125+Q125+R125+S125+T125</f>
        <v>2631216.3000000003</v>
      </c>
      <c r="V125" s="26" t="s">
        <v>318</v>
      </c>
      <c r="W125" s="93">
        <v>2</v>
      </c>
      <c r="X125" s="186">
        <f>1979977.81+117200.06</f>
        <v>2097177.87</v>
      </c>
      <c r="Y125" s="190">
        <f>357796.34+21178.9</f>
        <v>378975.24000000005</v>
      </c>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row>
    <row r="126" spans="1:95" s="18" customFormat="1" ht="17.25" customHeight="1" thickBot="1" x14ac:dyDescent="0.3">
      <c r="A126" s="300" t="s">
        <v>100</v>
      </c>
      <c r="B126" s="301"/>
      <c r="C126" s="301"/>
      <c r="D126" s="301"/>
      <c r="E126" s="301"/>
      <c r="F126" s="301"/>
      <c r="G126" s="301"/>
      <c r="H126" s="301"/>
      <c r="I126" s="301"/>
      <c r="J126" s="301"/>
      <c r="K126" s="301"/>
      <c r="L126" s="301"/>
      <c r="M126" s="301"/>
      <c r="N126" s="301"/>
      <c r="O126" s="302"/>
      <c r="P126" s="191">
        <f>P125</f>
        <v>2097177.87</v>
      </c>
      <c r="Q126" s="209">
        <f t="shared" ref="Q126:U126" si="18">Q125</f>
        <v>378975.24</v>
      </c>
      <c r="R126" s="209">
        <f t="shared" si="18"/>
        <v>0</v>
      </c>
      <c r="S126" s="209">
        <f t="shared" si="18"/>
        <v>0</v>
      </c>
      <c r="T126" s="209">
        <f t="shared" si="18"/>
        <v>155063.19</v>
      </c>
      <c r="U126" s="209">
        <f t="shared" si="18"/>
        <v>2631216.3000000003</v>
      </c>
      <c r="V126" s="20"/>
      <c r="W126" s="53">
        <f>W125</f>
        <v>2</v>
      </c>
      <c r="X126" s="194">
        <f>X125</f>
        <v>2097177.87</v>
      </c>
      <c r="Y126" s="189">
        <f>Y125</f>
        <v>378975.24000000005</v>
      </c>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17"/>
    </row>
    <row r="127" spans="1:95" ht="15.75" customHeight="1" x14ac:dyDescent="0.25">
      <c r="A127" s="308" t="s">
        <v>61</v>
      </c>
      <c r="B127" s="309"/>
      <c r="C127" s="309"/>
      <c r="D127" s="309"/>
      <c r="E127" s="309"/>
      <c r="F127" s="309"/>
      <c r="G127" s="309"/>
      <c r="H127" s="309"/>
      <c r="I127" s="309"/>
      <c r="J127" s="309"/>
      <c r="K127" s="309"/>
      <c r="L127" s="309"/>
      <c r="M127" s="309"/>
      <c r="N127" s="309"/>
      <c r="O127" s="309"/>
      <c r="P127" s="327"/>
      <c r="Q127" s="327"/>
      <c r="R127" s="327"/>
      <c r="S127" s="327"/>
      <c r="T127" s="327"/>
      <c r="U127" s="327"/>
      <c r="V127" s="309"/>
      <c r="W127" s="309"/>
      <c r="X127" s="309"/>
      <c r="Y127" s="310"/>
    </row>
    <row r="128" spans="1:95" x14ac:dyDescent="0.25">
      <c r="A128" s="177">
        <v>1</v>
      </c>
      <c r="B128" s="178"/>
      <c r="C128" s="178"/>
      <c r="D128" s="178"/>
      <c r="E128" s="178"/>
      <c r="F128" s="178"/>
      <c r="G128" s="75"/>
      <c r="H128" s="178"/>
      <c r="I128" s="178"/>
      <c r="J128" s="178"/>
      <c r="K128" s="178"/>
      <c r="L128" s="178"/>
      <c r="M128" s="178"/>
      <c r="N128" s="178"/>
      <c r="O128" s="178"/>
      <c r="P128" s="232"/>
      <c r="Q128" s="195"/>
      <c r="R128" s="195"/>
      <c r="S128" s="195"/>
      <c r="T128" s="195"/>
      <c r="U128" s="195"/>
      <c r="V128" s="19"/>
      <c r="W128" s="19"/>
      <c r="X128" s="195"/>
      <c r="Y128" s="196"/>
    </row>
    <row r="129" spans="1:95" ht="15.75" thickBot="1" x14ac:dyDescent="0.3">
      <c r="A129" s="148">
        <v>2</v>
      </c>
      <c r="B129" s="44"/>
      <c r="C129" s="44"/>
      <c r="D129" s="44"/>
      <c r="E129" s="38"/>
      <c r="F129" s="38"/>
      <c r="G129" s="78"/>
      <c r="H129" s="44"/>
      <c r="I129" s="44"/>
      <c r="J129" s="44"/>
      <c r="K129" s="38"/>
      <c r="L129" s="38"/>
      <c r="M129" s="38"/>
      <c r="N129" s="38"/>
      <c r="O129" s="44"/>
      <c r="P129" s="238"/>
      <c r="Q129" s="205"/>
      <c r="R129" s="205"/>
      <c r="S129" s="207"/>
      <c r="T129" s="205"/>
      <c r="U129" s="205"/>
      <c r="V129" s="37"/>
      <c r="W129" s="37"/>
      <c r="X129" s="205"/>
      <c r="Y129" s="206"/>
    </row>
    <row r="130" spans="1:95" s="18" customFormat="1" ht="17.25" customHeight="1" thickBot="1" x14ac:dyDescent="0.3">
      <c r="A130" s="300" t="s">
        <v>101</v>
      </c>
      <c r="B130" s="301"/>
      <c r="C130" s="301"/>
      <c r="D130" s="301"/>
      <c r="E130" s="301"/>
      <c r="F130" s="301"/>
      <c r="G130" s="301"/>
      <c r="H130" s="301"/>
      <c r="I130" s="301"/>
      <c r="J130" s="301"/>
      <c r="K130" s="301"/>
      <c r="L130" s="301"/>
      <c r="M130" s="301"/>
      <c r="N130" s="301"/>
      <c r="O130" s="302"/>
      <c r="P130" s="209">
        <v>0</v>
      </c>
      <c r="Q130" s="209">
        <v>0</v>
      </c>
      <c r="R130" s="209">
        <v>0</v>
      </c>
      <c r="S130" s="209">
        <v>0</v>
      </c>
      <c r="T130" s="209">
        <v>0</v>
      </c>
      <c r="U130" s="209">
        <v>0</v>
      </c>
      <c r="V130" s="20"/>
      <c r="W130" s="20">
        <v>0</v>
      </c>
      <c r="X130" s="191">
        <v>0</v>
      </c>
      <c r="Y130" s="192">
        <v>0</v>
      </c>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17"/>
    </row>
    <row r="131" spans="1:95" ht="15.75" customHeight="1" x14ac:dyDescent="0.25">
      <c r="A131" s="308" t="s">
        <v>62</v>
      </c>
      <c r="B131" s="309"/>
      <c r="C131" s="309"/>
      <c r="D131" s="309"/>
      <c r="E131" s="309"/>
      <c r="F131" s="309"/>
      <c r="G131" s="309"/>
      <c r="H131" s="309"/>
      <c r="I131" s="309"/>
      <c r="J131" s="309"/>
      <c r="K131" s="309"/>
      <c r="L131" s="309"/>
      <c r="M131" s="309"/>
      <c r="N131" s="309"/>
      <c r="O131" s="309"/>
      <c r="P131" s="327"/>
      <c r="Q131" s="327"/>
      <c r="R131" s="327"/>
      <c r="S131" s="327"/>
      <c r="T131" s="327"/>
      <c r="U131" s="327"/>
      <c r="V131" s="309"/>
      <c r="W131" s="309"/>
      <c r="X131" s="309"/>
      <c r="Y131" s="310"/>
    </row>
    <row r="132" spans="1:95" x14ac:dyDescent="0.25">
      <c r="A132" s="177">
        <v>1</v>
      </c>
      <c r="B132" s="178"/>
      <c r="C132" s="178"/>
      <c r="D132" s="178"/>
      <c r="E132" s="178"/>
      <c r="F132" s="178"/>
      <c r="G132" s="75"/>
      <c r="H132" s="178"/>
      <c r="I132" s="178"/>
      <c r="J132" s="178"/>
      <c r="K132" s="178"/>
      <c r="L132" s="178"/>
      <c r="M132" s="178"/>
      <c r="N132" s="178"/>
      <c r="O132" s="178"/>
      <c r="P132" s="232"/>
      <c r="Q132" s="195"/>
      <c r="R132" s="195"/>
      <c r="S132" s="195"/>
      <c r="T132" s="195"/>
      <c r="U132" s="195"/>
      <c r="V132" s="19"/>
      <c r="W132" s="19"/>
      <c r="X132" s="195"/>
      <c r="Y132" s="196"/>
    </row>
    <row r="133" spans="1:95" ht="15.75" thickBot="1" x14ac:dyDescent="0.3">
      <c r="A133" s="148">
        <v>2</v>
      </c>
      <c r="B133" s="44"/>
      <c r="C133" s="44"/>
      <c r="D133" s="44"/>
      <c r="E133" s="38"/>
      <c r="F133" s="38"/>
      <c r="G133" s="78"/>
      <c r="H133" s="44"/>
      <c r="I133" s="44"/>
      <c r="J133" s="44"/>
      <c r="K133" s="38"/>
      <c r="L133" s="38"/>
      <c r="M133" s="38"/>
      <c r="N133" s="38"/>
      <c r="O133" s="44"/>
      <c r="P133" s="238"/>
      <c r="Q133" s="205"/>
      <c r="R133" s="205"/>
      <c r="S133" s="207"/>
      <c r="T133" s="205"/>
      <c r="U133" s="205"/>
      <c r="V133" s="37"/>
      <c r="W133" s="37"/>
      <c r="X133" s="205"/>
      <c r="Y133" s="206"/>
    </row>
    <row r="134" spans="1:95" s="18" customFormat="1" ht="17.25" customHeight="1" thickBot="1" x14ac:dyDescent="0.3">
      <c r="A134" s="300" t="s">
        <v>102</v>
      </c>
      <c r="B134" s="301"/>
      <c r="C134" s="301"/>
      <c r="D134" s="301"/>
      <c r="E134" s="301"/>
      <c r="F134" s="301"/>
      <c r="G134" s="301"/>
      <c r="H134" s="301"/>
      <c r="I134" s="301"/>
      <c r="J134" s="301"/>
      <c r="K134" s="301"/>
      <c r="L134" s="301"/>
      <c r="M134" s="301"/>
      <c r="N134" s="301"/>
      <c r="O134" s="302"/>
      <c r="P134" s="191">
        <v>0</v>
      </c>
      <c r="Q134" s="191">
        <v>0</v>
      </c>
      <c r="R134" s="191">
        <v>0</v>
      </c>
      <c r="S134" s="191">
        <v>0</v>
      </c>
      <c r="T134" s="191">
        <v>0</v>
      </c>
      <c r="U134" s="191">
        <v>0</v>
      </c>
      <c r="V134" s="20"/>
      <c r="W134" s="20">
        <v>0</v>
      </c>
      <c r="X134" s="191">
        <v>0</v>
      </c>
      <c r="Y134" s="192">
        <v>0</v>
      </c>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17"/>
    </row>
    <row r="135" spans="1:95" ht="15.75" customHeight="1" x14ac:dyDescent="0.25">
      <c r="A135" s="308" t="s">
        <v>63</v>
      </c>
      <c r="B135" s="309"/>
      <c r="C135" s="309"/>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10"/>
    </row>
    <row r="136" spans="1:95" x14ac:dyDescent="0.25">
      <c r="A136" s="177">
        <v>1</v>
      </c>
      <c r="B136" s="178"/>
      <c r="C136" s="178"/>
      <c r="D136" s="178"/>
      <c r="E136" s="178"/>
      <c r="F136" s="178"/>
      <c r="G136" s="75"/>
      <c r="H136" s="178"/>
      <c r="I136" s="178"/>
      <c r="J136" s="178"/>
      <c r="K136" s="178"/>
      <c r="L136" s="178"/>
      <c r="M136" s="178"/>
      <c r="N136" s="178"/>
      <c r="O136" s="178"/>
      <c r="P136" s="232"/>
      <c r="Q136" s="195"/>
      <c r="R136" s="195"/>
      <c r="S136" s="195"/>
      <c r="T136" s="195"/>
      <c r="U136" s="195"/>
      <c r="V136" s="19"/>
      <c r="W136" s="19"/>
      <c r="X136" s="195"/>
      <c r="Y136" s="196"/>
    </row>
    <row r="137" spans="1:95" ht="15.75" thickBot="1" x14ac:dyDescent="0.3">
      <c r="A137" s="148">
        <v>2</v>
      </c>
      <c r="B137" s="44"/>
      <c r="C137" s="44"/>
      <c r="D137" s="44"/>
      <c r="E137" s="38"/>
      <c r="F137" s="38"/>
      <c r="G137" s="78"/>
      <c r="H137" s="44"/>
      <c r="I137" s="44"/>
      <c r="J137" s="44"/>
      <c r="K137" s="38"/>
      <c r="L137" s="38"/>
      <c r="M137" s="38"/>
      <c r="N137" s="38"/>
      <c r="O137" s="44"/>
      <c r="P137" s="238"/>
      <c r="Q137" s="205"/>
      <c r="R137" s="205"/>
      <c r="S137" s="207"/>
      <c r="T137" s="205"/>
      <c r="U137" s="205"/>
      <c r="V137" s="37"/>
      <c r="W137" s="37"/>
      <c r="X137" s="205"/>
      <c r="Y137" s="206"/>
    </row>
    <row r="138" spans="1:95" s="18" customFormat="1" ht="17.25" customHeight="1" thickBot="1" x14ac:dyDescent="0.3">
      <c r="A138" s="300" t="s">
        <v>103</v>
      </c>
      <c r="B138" s="301"/>
      <c r="C138" s="301"/>
      <c r="D138" s="301"/>
      <c r="E138" s="301"/>
      <c r="F138" s="301"/>
      <c r="G138" s="301"/>
      <c r="H138" s="301"/>
      <c r="I138" s="301"/>
      <c r="J138" s="301"/>
      <c r="K138" s="301"/>
      <c r="L138" s="301"/>
      <c r="M138" s="301"/>
      <c r="N138" s="301"/>
      <c r="O138" s="302"/>
      <c r="P138" s="191">
        <v>0</v>
      </c>
      <c r="Q138" s="191">
        <v>0</v>
      </c>
      <c r="R138" s="191">
        <v>0</v>
      </c>
      <c r="S138" s="191">
        <v>0</v>
      </c>
      <c r="T138" s="191">
        <v>0</v>
      </c>
      <c r="U138" s="191">
        <v>0</v>
      </c>
      <c r="V138" s="20"/>
      <c r="W138" s="20">
        <v>0</v>
      </c>
      <c r="X138" s="191">
        <v>0</v>
      </c>
      <c r="Y138" s="192">
        <v>0</v>
      </c>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17"/>
    </row>
    <row r="139" spans="1:95" ht="15.75" customHeight="1" x14ac:dyDescent="0.25">
      <c r="A139" s="308" t="s">
        <v>64</v>
      </c>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10"/>
    </row>
    <row r="140" spans="1:95" s="32" customFormat="1" x14ac:dyDescent="0.25">
      <c r="A140" s="147">
        <v>1</v>
      </c>
      <c r="B140" s="29"/>
      <c r="C140" s="29"/>
      <c r="D140" s="29"/>
      <c r="E140" s="22"/>
      <c r="F140" s="23"/>
      <c r="G140" s="16"/>
      <c r="H140" s="30"/>
      <c r="I140" s="30"/>
      <c r="J140" s="31"/>
      <c r="K140" s="33"/>
      <c r="L140" s="33"/>
      <c r="M140" s="33"/>
      <c r="N140" s="5"/>
      <c r="O140" s="5"/>
      <c r="P140" s="186"/>
      <c r="Q140" s="197"/>
      <c r="R140" s="197"/>
      <c r="S140" s="197"/>
      <c r="T140" s="197"/>
      <c r="U140" s="233"/>
      <c r="V140" s="8"/>
      <c r="W140" s="5"/>
      <c r="X140" s="197"/>
      <c r="Y140" s="198"/>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14"/>
    </row>
    <row r="141" spans="1:95" s="18" customFormat="1" ht="17.25" customHeight="1" thickBot="1" x14ac:dyDescent="0.3">
      <c r="A141" s="343" t="s">
        <v>104</v>
      </c>
      <c r="B141" s="306"/>
      <c r="C141" s="306"/>
      <c r="D141" s="306"/>
      <c r="E141" s="306"/>
      <c r="F141" s="306"/>
      <c r="G141" s="306"/>
      <c r="H141" s="306"/>
      <c r="I141" s="306"/>
      <c r="J141" s="306"/>
      <c r="K141" s="306"/>
      <c r="L141" s="306"/>
      <c r="M141" s="306"/>
      <c r="N141" s="306"/>
      <c r="O141" s="307"/>
      <c r="P141" s="243">
        <v>0</v>
      </c>
      <c r="Q141" s="243">
        <v>0</v>
      </c>
      <c r="R141" s="243">
        <v>0</v>
      </c>
      <c r="S141" s="243">
        <v>0</v>
      </c>
      <c r="T141" s="243">
        <v>0</v>
      </c>
      <c r="U141" s="243">
        <v>0</v>
      </c>
      <c r="V141" s="53"/>
      <c r="W141" s="53">
        <v>0</v>
      </c>
      <c r="X141" s="194">
        <v>0</v>
      </c>
      <c r="Y141" s="189">
        <v>0</v>
      </c>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17"/>
    </row>
    <row r="142" spans="1:95" ht="15.75" customHeight="1" thickBot="1" x14ac:dyDescent="0.3">
      <c r="A142" s="314" t="s">
        <v>65</v>
      </c>
      <c r="B142" s="315"/>
      <c r="C142" s="315"/>
      <c r="D142" s="315"/>
      <c r="E142" s="315"/>
      <c r="F142" s="315"/>
      <c r="G142" s="315"/>
      <c r="H142" s="315"/>
      <c r="I142" s="315"/>
      <c r="J142" s="315"/>
      <c r="K142" s="315"/>
      <c r="L142" s="315"/>
      <c r="M142" s="315"/>
      <c r="N142" s="315"/>
      <c r="O142" s="315"/>
      <c r="P142" s="344"/>
      <c r="Q142" s="344"/>
      <c r="R142" s="344"/>
      <c r="S142" s="344"/>
      <c r="T142" s="344"/>
      <c r="U142" s="344"/>
      <c r="V142" s="315"/>
      <c r="W142" s="315"/>
      <c r="X142" s="315"/>
      <c r="Y142" s="316"/>
    </row>
    <row r="143" spans="1:95" x14ac:dyDescent="0.25">
      <c r="A143" s="177">
        <v>1</v>
      </c>
      <c r="B143" s="178"/>
      <c r="C143" s="178"/>
      <c r="D143" s="178"/>
      <c r="E143" s="178"/>
      <c r="F143" s="178"/>
      <c r="G143" s="75"/>
      <c r="H143" s="178"/>
      <c r="I143" s="178"/>
      <c r="J143" s="178"/>
      <c r="K143" s="178"/>
      <c r="L143" s="178"/>
      <c r="M143" s="178"/>
      <c r="N143" s="178"/>
      <c r="O143" s="178"/>
      <c r="P143" s="232"/>
      <c r="Q143" s="195"/>
      <c r="R143" s="195"/>
      <c r="S143" s="195"/>
      <c r="T143" s="195"/>
      <c r="U143" s="195"/>
      <c r="V143" s="19"/>
      <c r="W143" s="19"/>
      <c r="X143" s="195"/>
      <c r="Y143" s="196"/>
    </row>
    <row r="144" spans="1:95" x14ac:dyDescent="0.25">
      <c r="A144" s="147">
        <v>2</v>
      </c>
      <c r="B144" s="178"/>
      <c r="C144" s="178"/>
      <c r="D144" s="178"/>
      <c r="E144" s="33"/>
      <c r="F144" s="33"/>
      <c r="G144" s="75"/>
      <c r="H144" s="178"/>
      <c r="I144" s="178"/>
      <c r="J144" s="178"/>
      <c r="K144" s="33"/>
      <c r="L144" s="33"/>
      <c r="M144" s="33"/>
      <c r="N144" s="33"/>
      <c r="O144" s="178"/>
      <c r="P144" s="234"/>
      <c r="Q144" s="199"/>
      <c r="R144" s="199"/>
      <c r="S144" s="195"/>
      <c r="T144" s="199"/>
      <c r="U144" s="199"/>
      <c r="V144" s="109"/>
      <c r="W144" s="109"/>
      <c r="X144" s="199"/>
      <c r="Y144" s="200"/>
    </row>
    <row r="145" spans="1:95" ht="15.75" thickBot="1" x14ac:dyDescent="0.3">
      <c r="A145" s="148">
        <v>3</v>
      </c>
      <c r="B145" s="44"/>
      <c r="C145" s="44"/>
      <c r="D145" s="44"/>
      <c r="E145" s="38"/>
      <c r="F145" s="38"/>
      <c r="G145" s="78"/>
      <c r="H145" s="44"/>
      <c r="I145" s="44"/>
      <c r="J145" s="44"/>
      <c r="K145" s="38"/>
      <c r="L145" s="38"/>
      <c r="M145" s="38"/>
      <c r="N145" s="38"/>
      <c r="O145" s="44"/>
      <c r="P145" s="238"/>
      <c r="Q145" s="205"/>
      <c r="R145" s="205"/>
      <c r="S145" s="207"/>
      <c r="T145" s="205"/>
      <c r="U145" s="205"/>
      <c r="V145" s="37"/>
      <c r="W145" s="37"/>
      <c r="X145" s="205"/>
      <c r="Y145" s="206"/>
    </row>
    <row r="146" spans="1:95" s="18" customFormat="1" ht="17.25" customHeight="1" thickBot="1" x14ac:dyDescent="0.3">
      <c r="A146" s="300" t="s">
        <v>105</v>
      </c>
      <c r="B146" s="301"/>
      <c r="C146" s="301"/>
      <c r="D146" s="301"/>
      <c r="E146" s="301"/>
      <c r="F146" s="301"/>
      <c r="G146" s="301"/>
      <c r="H146" s="301"/>
      <c r="I146" s="301"/>
      <c r="J146" s="301"/>
      <c r="K146" s="301"/>
      <c r="L146" s="301"/>
      <c r="M146" s="301"/>
      <c r="N146" s="301"/>
      <c r="O146" s="302"/>
      <c r="P146" s="191">
        <f>P143</f>
        <v>0</v>
      </c>
      <c r="Q146" s="191">
        <f t="shared" ref="Q146:U146" si="19">Q143</f>
        <v>0</v>
      </c>
      <c r="R146" s="191">
        <f t="shared" si="19"/>
        <v>0</v>
      </c>
      <c r="S146" s="191">
        <f t="shared" si="19"/>
        <v>0</v>
      </c>
      <c r="T146" s="191">
        <f t="shared" si="19"/>
        <v>0</v>
      </c>
      <c r="U146" s="191">
        <f t="shared" si="19"/>
        <v>0</v>
      </c>
      <c r="V146" s="20"/>
      <c r="W146" s="20">
        <f>W144</f>
        <v>0</v>
      </c>
      <c r="X146" s="191">
        <f>X144</f>
        <v>0</v>
      </c>
      <c r="Y146" s="192">
        <f>Y144</f>
        <v>0</v>
      </c>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17"/>
    </row>
    <row r="147" spans="1:95" ht="15.75" customHeight="1" x14ac:dyDescent="0.25">
      <c r="A147" s="308" t="s">
        <v>66</v>
      </c>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10"/>
    </row>
    <row r="148" spans="1:95" x14ac:dyDescent="0.25">
      <c r="A148" s="177">
        <v>1</v>
      </c>
      <c r="B148" s="178"/>
      <c r="C148" s="178"/>
      <c r="D148" s="178"/>
      <c r="E148" s="178"/>
      <c r="F148" s="178"/>
      <c r="G148" s="75"/>
      <c r="H148" s="178"/>
      <c r="I148" s="178"/>
      <c r="J148" s="178"/>
      <c r="K148" s="178"/>
      <c r="L148" s="178"/>
      <c r="M148" s="178"/>
      <c r="N148" s="178"/>
      <c r="O148" s="178"/>
      <c r="P148" s="232"/>
      <c r="Q148" s="195"/>
      <c r="R148" s="195"/>
      <c r="S148" s="195"/>
      <c r="T148" s="195"/>
      <c r="U148" s="195"/>
      <c r="V148" s="19"/>
      <c r="W148" s="19"/>
      <c r="X148" s="195"/>
      <c r="Y148" s="196"/>
    </row>
    <row r="149" spans="1:95" ht="15.75" thickBot="1" x14ac:dyDescent="0.3">
      <c r="A149" s="148">
        <v>2</v>
      </c>
      <c r="B149" s="44"/>
      <c r="C149" s="44"/>
      <c r="D149" s="44"/>
      <c r="E149" s="38"/>
      <c r="F149" s="38"/>
      <c r="G149" s="78"/>
      <c r="H149" s="44"/>
      <c r="I149" s="44"/>
      <c r="J149" s="44"/>
      <c r="K149" s="38"/>
      <c r="L149" s="38"/>
      <c r="M149" s="38"/>
      <c r="N149" s="38"/>
      <c r="O149" s="44"/>
      <c r="P149" s="238"/>
      <c r="Q149" s="205"/>
      <c r="R149" s="205"/>
      <c r="S149" s="207"/>
      <c r="T149" s="205"/>
      <c r="U149" s="205"/>
      <c r="V149" s="37"/>
      <c r="W149" s="37"/>
      <c r="X149" s="205"/>
      <c r="Y149" s="206"/>
    </row>
    <row r="150" spans="1:95" s="18" customFormat="1" ht="17.25" customHeight="1" thickBot="1" x14ac:dyDescent="0.3">
      <c r="A150" s="300" t="s">
        <v>106</v>
      </c>
      <c r="B150" s="301"/>
      <c r="C150" s="301"/>
      <c r="D150" s="301"/>
      <c r="E150" s="301"/>
      <c r="F150" s="301"/>
      <c r="G150" s="301"/>
      <c r="H150" s="301"/>
      <c r="I150" s="301"/>
      <c r="J150" s="301"/>
      <c r="K150" s="301"/>
      <c r="L150" s="301"/>
      <c r="M150" s="301"/>
      <c r="N150" s="301"/>
      <c r="O150" s="302"/>
      <c r="P150" s="209">
        <v>0</v>
      </c>
      <c r="Q150" s="209">
        <v>0</v>
      </c>
      <c r="R150" s="209">
        <v>0</v>
      </c>
      <c r="S150" s="209">
        <v>0</v>
      </c>
      <c r="T150" s="209">
        <v>0</v>
      </c>
      <c r="U150" s="209">
        <v>0</v>
      </c>
      <c r="V150" s="20"/>
      <c r="W150" s="20">
        <v>0</v>
      </c>
      <c r="X150" s="191">
        <v>0</v>
      </c>
      <c r="Y150" s="192">
        <v>0</v>
      </c>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17"/>
    </row>
    <row r="151" spans="1:95" ht="15.75" customHeight="1" x14ac:dyDescent="0.25">
      <c r="A151" s="308" t="s">
        <v>67</v>
      </c>
      <c r="B151" s="309"/>
      <c r="C151" s="309"/>
      <c r="D151" s="309"/>
      <c r="E151" s="309"/>
      <c r="F151" s="309"/>
      <c r="G151" s="309"/>
      <c r="H151" s="309"/>
      <c r="I151" s="309"/>
      <c r="J151" s="309"/>
      <c r="K151" s="309"/>
      <c r="L151" s="309"/>
      <c r="M151" s="309"/>
      <c r="N151" s="309"/>
      <c r="O151" s="309"/>
      <c r="P151" s="327"/>
      <c r="Q151" s="327"/>
      <c r="R151" s="327"/>
      <c r="S151" s="327"/>
      <c r="T151" s="327"/>
      <c r="U151" s="327"/>
      <c r="V151" s="309"/>
      <c r="W151" s="309"/>
      <c r="X151" s="309"/>
      <c r="Y151" s="310"/>
    </row>
    <row r="152" spans="1:95" x14ac:dyDescent="0.25">
      <c r="A152" s="177">
        <v>1</v>
      </c>
      <c r="B152" s="178"/>
      <c r="C152" s="178"/>
      <c r="D152" s="178"/>
      <c r="E152" s="178"/>
      <c r="F152" s="178"/>
      <c r="G152" s="75"/>
      <c r="H152" s="178"/>
      <c r="I152" s="178"/>
      <c r="J152" s="178"/>
      <c r="K152" s="178"/>
      <c r="L152" s="178"/>
      <c r="M152" s="178"/>
      <c r="N152" s="178"/>
      <c r="O152" s="178"/>
      <c r="P152" s="232"/>
      <c r="Q152" s="195"/>
      <c r="R152" s="195"/>
      <c r="S152" s="195"/>
      <c r="T152" s="195"/>
      <c r="U152" s="195"/>
      <c r="V152" s="19"/>
      <c r="W152" s="19"/>
      <c r="X152" s="195"/>
      <c r="Y152" s="196"/>
    </row>
    <row r="153" spans="1:95" ht="15.75" thickBot="1" x14ac:dyDescent="0.3">
      <c r="A153" s="148">
        <v>2</v>
      </c>
      <c r="B153" s="44"/>
      <c r="C153" s="44"/>
      <c r="D153" s="44"/>
      <c r="E153" s="38"/>
      <c r="F153" s="38"/>
      <c r="G153" s="78"/>
      <c r="H153" s="44"/>
      <c r="I153" s="44"/>
      <c r="J153" s="44"/>
      <c r="K153" s="38"/>
      <c r="L153" s="38"/>
      <c r="M153" s="38"/>
      <c r="N153" s="38"/>
      <c r="O153" s="44"/>
      <c r="P153" s="238"/>
      <c r="Q153" s="205"/>
      <c r="R153" s="205"/>
      <c r="S153" s="207"/>
      <c r="T153" s="205"/>
      <c r="U153" s="205"/>
      <c r="V153" s="37"/>
      <c r="W153" s="37"/>
      <c r="X153" s="205"/>
      <c r="Y153" s="206"/>
    </row>
    <row r="154" spans="1:95" s="18" customFormat="1" ht="17.25" customHeight="1" thickBot="1" x14ac:dyDescent="0.3">
      <c r="A154" s="300" t="s">
        <v>107</v>
      </c>
      <c r="B154" s="301"/>
      <c r="C154" s="301"/>
      <c r="D154" s="301"/>
      <c r="E154" s="301"/>
      <c r="F154" s="301"/>
      <c r="G154" s="301"/>
      <c r="H154" s="301"/>
      <c r="I154" s="301"/>
      <c r="J154" s="301"/>
      <c r="K154" s="301"/>
      <c r="L154" s="301"/>
      <c r="M154" s="301"/>
      <c r="N154" s="301"/>
      <c r="O154" s="302"/>
      <c r="P154" s="209">
        <v>0</v>
      </c>
      <c r="Q154" s="209">
        <v>0</v>
      </c>
      <c r="R154" s="209">
        <v>0</v>
      </c>
      <c r="S154" s="209">
        <v>0</v>
      </c>
      <c r="T154" s="209">
        <v>0</v>
      </c>
      <c r="U154" s="209">
        <v>0</v>
      </c>
      <c r="V154" s="46"/>
      <c r="W154" s="46">
        <v>0</v>
      </c>
      <c r="X154" s="209">
        <v>0</v>
      </c>
      <c r="Y154" s="210">
        <v>0</v>
      </c>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17"/>
    </row>
    <row r="155" spans="1:95" ht="15.75" customHeight="1" x14ac:dyDescent="0.25">
      <c r="A155" s="308" t="s">
        <v>68</v>
      </c>
      <c r="B155" s="309"/>
      <c r="C155" s="309"/>
      <c r="D155" s="309"/>
      <c r="E155" s="309"/>
      <c r="F155" s="309"/>
      <c r="G155" s="309"/>
      <c r="H155" s="309"/>
      <c r="I155" s="309"/>
      <c r="J155" s="309"/>
      <c r="K155" s="309"/>
      <c r="L155" s="309"/>
      <c r="M155" s="309"/>
      <c r="N155" s="309"/>
      <c r="O155" s="309"/>
      <c r="P155" s="327"/>
      <c r="Q155" s="327"/>
      <c r="R155" s="327"/>
      <c r="S155" s="327"/>
      <c r="T155" s="327"/>
      <c r="U155" s="327"/>
      <c r="V155" s="327"/>
      <c r="W155" s="327"/>
      <c r="X155" s="327"/>
      <c r="Y155" s="342"/>
    </row>
    <row r="156" spans="1:95" s="28" customFormat="1" ht="77.25" thickBot="1" x14ac:dyDescent="0.3">
      <c r="A156" s="146">
        <v>1</v>
      </c>
      <c r="B156" s="29" t="s">
        <v>152</v>
      </c>
      <c r="C156" s="29" t="s">
        <v>639</v>
      </c>
      <c r="D156" s="29" t="s">
        <v>345</v>
      </c>
      <c r="E156" s="22" t="s">
        <v>223</v>
      </c>
      <c r="F156" s="23" t="s">
        <v>224</v>
      </c>
      <c r="G156" s="59" t="s">
        <v>225</v>
      </c>
      <c r="H156" s="25">
        <v>42370</v>
      </c>
      <c r="I156" s="25">
        <v>43465</v>
      </c>
      <c r="J156" s="23" t="s">
        <v>115</v>
      </c>
      <c r="K156" s="35" t="s">
        <v>226</v>
      </c>
      <c r="L156" s="35" t="s">
        <v>729</v>
      </c>
      <c r="M156" s="35" t="s">
        <v>729</v>
      </c>
      <c r="N156" s="23" t="s">
        <v>186</v>
      </c>
      <c r="O156" s="23">
        <v>121</v>
      </c>
      <c r="P156" s="186">
        <v>749747.77</v>
      </c>
      <c r="Q156" s="186">
        <v>135484.84</v>
      </c>
      <c r="R156" s="186">
        <v>0</v>
      </c>
      <c r="S156" s="186">
        <v>0</v>
      </c>
      <c r="T156" s="186">
        <v>102849.72</v>
      </c>
      <c r="U156" s="230">
        <v>988082.33</v>
      </c>
      <c r="V156" s="26" t="s">
        <v>318</v>
      </c>
      <c r="W156" s="23">
        <v>3</v>
      </c>
      <c r="X156" s="186">
        <v>749747.77</v>
      </c>
      <c r="Y156" s="190">
        <v>135484.84</v>
      </c>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row>
    <row r="157" spans="1:95" s="18" customFormat="1" ht="17.25" customHeight="1" thickBot="1" x14ac:dyDescent="0.3">
      <c r="A157" s="300" t="s">
        <v>108</v>
      </c>
      <c r="B157" s="301"/>
      <c r="C157" s="301"/>
      <c r="D157" s="301"/>
      <c r="E157" s="301"/>
      <c r="F157" s="301"/>
      <c r="G157" s="301"/>
      <c r="H157" s="301"/>
      <c r="I157" s="301"/>
      <c r="J157" s="301"/>
      <c r="K157" s="301"/>
      <c r="L157" s="301"/>
      <c r="M157" s="301"/>
      <c r="N157" s="301"/>
      <c r="O157" s="302"/>
      <c r="P157" s="209">
        <f>P156</f>
        <v>749747.77</v>
      </c>
      <c r="Q157" s="209">
        <f t="shared" ref="Q157:Y157" si="20">Q156</f>
        <v>135484.84</v>
      </c>
      <c r="R157" s="209">
        <f t="shared" si="20"/>
        <v>0</v>
      </c>
      <c r="S157" s="209">
        <f t="shared" si="20"/>
        <v>0</v>
      </c>
      <c r="T157" s="209">
        <f t="shared" si="20"/>
        <v>102849.72</v>
      </c>
      <c r="U157" s="209">
        <f t="shared" si="20"/>
        <v>988082.33</v>
      </c>
      <c r="V157" s="46"/>
      <c r="W157" s="46">
        <f t="shared" si="20"/>
        <v>3</v>
      </c>
      <c r="X157" s="209">
        <f t="shared" si="20"/>
        <v>749747.77</v>
      </c>
      <c r="Y157" s="210">
        <f t="shared" si="20"/>
        <v>135484.84</v>
      </c>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17"/>
    </row>
    <row r="158" spans="1:95" ht="15.75" customHeight="1" x14ac:dyDescent="0.25">
      <c r="A158" s="308" t="s">
        <v>69</v>
      </c>
      <c r="B158" s="309"/>
      <c r="C158" s="309"/>
      <c r="D158" s="309"/>
      <c r="E158" s="309"/>
      <c r="F158" s="309"/>
      <c r="G158" s="309"/>
      <c r="H158" s="309"/>
      <c r="I158" s="309"/>
      <c r="J158" s="309"/>
      <c r="K158" s="309"/>
      <c r="L158" s="309"/>
      <c r="M158" s="309"/>
      <c r="N158" s="309"/>
      <c r="O158" s="309"/>
      <c r="P158" s="327"/>
      <c r="Q158" s="327"/>
      <c r="R158" s="327"/>
      <c r="S158" s="327"/>
      <c r="T158" s="327"/>
      <c r="U158" s="327"/>
      <c r="V158" s="327"/>
      <c r="W158" s="309"/>
      <c r="X158" s="309"/>
      <c r="Y158" s="310"/>
    </row>
    <row r="159" spans="1:95" s="28" customFormat="1" ht="153" x14ac:dyDescent="0.25">
      <c r="A159" s="146">
        <v>1</v>
      </c>
      <c r="B159" s="174" t="s">
        <v>126</v>
      </c>
      <c r="C159" s="174">
        <v>116755</v>
      </c>
      <c r="D159" s="174" t="s">
        <v>363</v>
      </c>
      <c r="E159" s="22" t="s">
        <v>130</v>
      </c>
      <c r="F159" s="23" t="s">
        <v>131</v>
      </c>
      <c r="G159" s="24" t="s">
        <v>132</v>
      </c>
      <c r="H159" s="25">
        <v>42370</v>
      </c>
      <c r="I159" s="25">
        <v>43465</v>
      </c>
      <c r="J159" s="23" t="s">
        <v>115</v>
      </c>
      <c r="K159" s="35" t="s">
        <v>219</v>
      </c>
      <c r="L159" s="35" t="s">
        <v>133</v>
      </c>
      <c r="M159" s="35" t="s">
        <v>134</v>
      </c>
      <c r="N159" s="23" t="s">
        <v>135</v>
      </c>
      <c r="O159" s="23">
        <v>121</v>
      </c>
      <c r="P159" s="186">
        <v>6811296.5800000001</v>
      </c>
      <c r="Q159" s="186">
        <v>1230850.6100000001</v>
      </c>
      <c r="R159" s="186">
        <v>0</v>
      </c>
      <c r="S159" s="186">
        <v>164125.49</v>
      </c>
      <c r="T159" s="186">
        <v>44048.85</v>
      </c>
      <c r="U159" s="230">
        <f>P159+Q159+R159+S159+T159</f>
        <v>8250321.5300000003</v>
      </c>
      <c r="V159" s="26" t="s">
        <v>318</v>
      </c>
      <c r="W159" s="23">
        <v>7</v>
      </c>
      <c r="X159" s="215">
        <f>7357717.78-546421.2</f>
        <v>6811296.5800000001</v>
      </c>
      <c r="Y159" s="190">
        <f>680126.01+4303.4+546421.2</f>
        <v>1230850.6099999999</v>
      </c>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row>
    <row r="160" spans="1:95" ht="15.75" thickBot="1" x14ac:dyDescent="0.3">
      <c r="A160" s="150">
        <v>2</v>
      </c>
      <c r="B160" s="44"/>
      <c r="C160" s="44"/>
      <c r="D160" s="44"/>
      <c r="E160" s="44"/>
      <c r="F160" s="44"/>
      <c r="G160" s="78"/>
      <c r="H160" s="44"/>
      <c r="I160" s="44"/>
      <c r="J160" s="44"/>
      <c r="K160" s="44"/>
      <c r="L160" s="44"/>
      <c r="M160" s="44"/>
      <c r="N160" s="44"/>
      <c r="O160" s="44"/>
      <c r="P160" s="241"/>
      <c r="Q160" s="207"/>
      <c r="R160" s="207"/>
      <c r="S160" s="207"/>
      <c r="T160" s="207"/>
      <c r="U160" s="207"/>
      <c r="V160" s="45"/>
      <c r="W160" s="45"/>
      <c r="X160" s="207"/>
      <c r="Y160" s="208"/>
    </row>
    <row r="161" spans="1:95" s="18" customFormat="1" ht="17.25" customHeight="1" thickBot="1" x14ac:dyDescent="0.3">
      <c r="A161" s="300" t="s">
        <v>109</v>
      </c>
      <c r="B161" s="301"/>
      <c r="C161" s="301"/>
      <c r="D161" s="301"/>
      <c r="E161" s="301"/>
      <c r="F161" s="301"/>
      <c r="G161" s="301"/>
      <c r="H161" s="301"/>
      <c r="I161" s="301"/>
      <c r="J161" s="301"/>
      <c r="K161" s="301"/>
      <c r="L161" s="301"/>
      <c r="M161" s="301"/>
      <c r="N161" s="301"/>
      <c r="O161" s="301"/>
      <c r="P161" s="191">
        <f t="shared" ref="P161:U161" si="21">P159</f>
        <v>6811296.5800000001</v>
      </c>
      <c r="Q161" s="191">
        <f t="shared" si="21"/>
        <v>1230850.6100000001</v>
      </c>
      <c r="R161" s="191">
        <f t="shared" si="21"/>
        <v>0</v>
      </c>
      <c r="S161" s="191">
        <f t="shared" si="21"/>
        <v>164125.49</v>
      </c>
      <c r="T161" s="191">
        <f t="shared" si="21"/>
        <v>44048.85</v>
      </c>
      <c r="U161" s="192">
        <f t="shared" si="21"/>
        <v>8250321.5300000003</v>
      </c>
      <c r="V161" s="69"/>
      <c r="W161" s="20">
        <f>W159</f>
        <v>7</v>
      </c>
      <c r="X161" s="191">
        <f>X159</f>
        <v>6811296.5800000001</v>
      </c>
      <c r="Y161" s="192">
        <f>Y159</f>
        <v>1230850.6099999999</v>
      </c>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17"/>
    </row>
    <row r="162" spans="1:95" ht="15.75" customHeight="1" thickBot="1" x14ac:dyDescent="0.3">
      <c r="A162" s="314" t="s">
        <v>70</v>
      </c>
      <c r="B162" s="315"/>
      <c r="C162" s="315"/>
      <c r="D162" s="315"/>
      <c r="E162" s="315"/>
      <c r="F162" s="315"/>
      <c r="G162" s="315"/>
      <c r="H162" s="315"/>
      <c r="I162" s="315"/>
      <c r="J162" s="315"/>
      <c r="K162" s="315"/>
      <c r="L162" s="315"/>
      <c r="M162" s="315"/>
      <c r="N162" s="315"/>
      <c r="O162" s="315"/>
      <c r="P162" s="344"/>
      <c r="Q162" s="344"/>
      <c r="R162" s="344"/>
      <c r="S162" s="344"/>
      <c r="T162" s="344"/>
      <c r="U162" s="344"/>
      <c r="V162" s="315"/>
      <c r="W162" s="315"/>
      <c r="X162" s="315"/>
      <c r="Y162" s="316"/>
    </row>
    <row r="163" spans="1:95" x14ac:dyDescent="0.25">
      <c r="A163" s="177">
        <v>1</v>
      </c>
      <c r="B163" s="178"/>
      <c r="C163" s="178"/>
      <c r="D163" s="178"/>
      <c r="E163" s="178"/>
      <c r="F163" s="178"/>
      <c r="G163" s="75"/>
      <c r="H163" s="178"/>
      <c r="I163" s="178"/>
      <c r="J163" s="178"/>
      <c r="K163" s="178"/>
      <c r="L163" s="178"/>
      <c r="M163" s="178"/>
      <c r="N163" s="178"/>
      <c r="O163" s="178"/>
      <c r="P163" s="232"/>
      <c r="Q163" s="195"/>
      <c r="R163" s="195"/>
      <c r="S163" s="195"/>
      <c r="T163" s="195"/>
      <c r="U163" s="195"/>
      <c r="V163" s="19"/>
      <c r="W163" s="19"/>
      <c r="X163" s="195"/>
      <c r="Y163" s="196"/>
    </row>
    <row r="164" spans="1:95" x14ac:dyDescent="0.25">
      <c r="A164" s="147">
        <v>2</v>
      </c>
      <c r="B164" s="178"/>
      <c r="C164" s="178"/>
      <c r="D164" s="178"/>
      <c r="E164" s="33"/>
      <c r="F164" s="33"/>
      <c r="G164" s="75"/>
      <c r="H164" s="178"/>
      <c r="I164" s="178"/>
      <c r="J164" s="178"/>
      <c r="K164" s="33"/>
      <c r="L164" s="33"/>
      <c r="M164" s="33"/>
      <c r="N164" s="33"/>
      <c r="O164" s="178"/>
      <c r="P164" s="234"/>
      <c r="Q164" s="199"/>
      <c r="R164" s="199"/>
      <c r="S164" s="195"/>
      <c r="T164" s="199"/>
      <c r="U164" s="199"/>
      <c r="V164" s="109"/>
      <c r="W164" s="109"/>
      <c r="X164" s="199"/>
      <c r="Y164" s="200"/>
    </row>
    <row r="165" spans="1:95" ht="15.75" thickBot="1" x14ac:dyDescent="0.3">
      <c r="A165" s="148">
        <v>3</v>
      </c>
      <c r="B165" s="44"/>
      <c r="C165" s="44"/>
      <c r="D165" s="44"/>
      <c r="E165" s="38"/>
      <c r="F165" s="38"/>
      <c r="G165" s="78"/>
      <c r="H165" s="44"/>
      <c r="I165" s="44"/>
      <c r="J165" s="44"/>
      <c r="K165" s="38"/>
      <c r="L165" s="38"/>
      <c r="M165" s="38"/>
      <c r="N165" s="38"/>
      <c r="O165" s="44"/>
      <c r="P165" s="238"/>
      <c r="Q165" s="205"/>
      <c r="R165" s="205"/>
      <c r="S165" s="207"/>
      <c r="T165" s="205"/>
      <c r="U165" s="205"/>
      <c r="V165" s="37"/>
      <c r="W165" s="37"/>
      <c r="X165" s="205"/>
      <c r="Y165" s="206"/>
    </row>
    <row r="166" spans="1:95" s="18" customFormat="1" ht="17.25" customHeight="1" thickBot="1" x14ac:dyDescent="0.3">
      <c r="A166" s="300" t="s">
        <v>110</v>
      </c>
      <c r="B166" s="301"/>
      <c r="C166" s="301"/>
      <c r="D166" s="301"/>
      <c r="E166" s="301"/>
      <c r="F166" s="301"/>
      <c r="G166" s="301"/>
      <c r="H166" s="301"/>
      <c r="I166" s="301"/>
      <c r="J166" s="301"/>
      <c r="K166" s="301"/>
      <c r="L166" s="301"/>
      <c r="M166" s="301"/>
      <c r="N166" s="301"/>
      <c r="O166" s="302"/>
      <c r="P166" s="191">
        <f>P163</f>
        <v>0</v>
      </c>
      <c r="Q166" s="191">
        <f t="shared" ref="Q166:U166" si="22">Q163</f>
        <v>0</v>
      </c>
      <c r="R166" s="191">
        <f t="shared" si="22"/>
        <v>0</v>
      </c>
      <c r="S166" s="191">
        <f t="shared" si="22"/>
        <v>0</v>
      </c>
      <c r="T166" s="191">
        <f t="shared" si="22"/>
        <v>0</v>
      </c>
      <c r="U166" s="191">
        <f t="shared" si="22"/>
        <v>0</v>
      </c>
      <c r="V166" s="20"/>
      <c r="W166" s="20">
        <f>W163</f>
        <v>0</v>
      </c>
      <c r="X166" s="191">
        <f>X163</f>
        <v>0</v>
      </c>
      <c r="Y166" s="192">
        <f>Y163</f>
        <v>0</v>
      </c>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17"/>
    </row>
    <row r="167" spans="1:95" ht="15.75" customHeight="1" x14ac:dyDescent="0.25">
      <c r="A167" s="308" t="s">
        <v>27</v>
      </c>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10"/>
    </row>
    <row r="168" spans="1:95" x14ac:dyDescent="0.25">
      <c r="A168" s="177">
        <v>1</v>
      </c>
      <c r="B168" s="52"/>
      <c r="C168" s="52"/>
      <c r="D168" s="52"/>
      <c r="E168" s="52"/>
      <c r="F168" s="52"/>
      <c r="G168" s="75"/>
      <c r="H168" s="178"/>
      <c r="I168" s="178"/>
      <c r="J168" s="178"/>
      <c r="K168" s="178"/>
      <c r="L168" s="178"/>
      <c r="M168" s="178"/>
      <c r="N168" s="178"/>
      <c r="O168" s="178"/>
      <c r="P168" s="232"/>
      <c r="Q168" s="195"/>
      <c r="R168" s="195"/>
      <c r="S168" s="195"/>
      <c r="T168" s="195"/>
      <c r="U168" s="195"/>
      <c r="V168" s="19"/>
      <c r="W168" s="19"/>
      <c r="X168" s="195"/>
      <c r="Y168" s="196"/>
    </row>
    <row r="169" spans="1:95" ht="15.75" thickBot="1" x14ac:dyDescent="0.3">
      <c r="A169" s="148">
        <v>2</v>
      </c>
      <c r="B169" s="44"/>
      <c r="C169" s="44"/>
      <c r="D169" s="44"/>
      <c r="E169" s="38"/>
      <c r="F169" s="38"/>
      <c r="G169" s="78"/>
      <c r="H169" s="44"/>
      <c r="I169" s="44"/>
      <c r="J169" s="44"/>
      <c r="K169" s="38"/>
      <c r="L169" s="38"/>
      <c r="M169" s="38"/>
      <c r="N169" s="38"/>
      <c r="O169" s="44"/>
      <c r="P169" s="238"/>
      <c r="Q169" s="205"/>
      <c r="R169" s="205"/>
      <c r="S169" s="207"/>
      <c r="T169" s="205"/>
      <c r="U169" s="205"/>
      <c r="V169" s="37"/>
      <c r="W169" s="37"/>
      <c r="X169" s="205"/>
      <c r="Y169" s="206"/>
    </row>
    <row r="170" spans="1:95" s="18" customFormat="1" ht="17.25" customHeight="1" thickBot="1" x14ac:dyDescent="0.3">
      <c r="A170" s="300" t="s">
        <v>30</v>
      </c>
      <c r="B170" s="301"/>
      <c r="C170" s="301"/>
      <c r="D170" s="301"/>
      <c r="E170" s="301"/>
      <c r="F170" s="301"/>
      <c r="G170" s="301"/>
      <c r="H170" s="301"/>
      <c r="I170" s="301"/>
      <c r="J170" s="301"/>
      <c r="K170" s="301"/>
      <c r="L170" s="301"/>
      <c r="M170" s="301"/>
      <c r="N170" s="301"/>
      <c r="O170" s="302"/>
      <c r="P170" s="191">
        <v>0</v>
      </c>
      <c r="Q170" s="191">
        <v>0</v>
      </c>
      <c r="R170" s="191">
        <v>0</v>
      </c>
      <c r="S170" s="191">
        <v>0</v>
      </c>
      <c r="T170" s="191">
        <v>0</v>
      </c>
      <c r="U170" s="191">
        <v>0</v>
      </c>
      <c r="V170" s="20"/>
      <c r="W170" s="20">
        <v>0</v>
      </c>
      <c r="X170" s="191">
        <v>0</v>
      </c>
      <c r="Y170" s="192">
        <v>0</v>
      </c>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17"/>
    </row>
    <row r="171" spans="1:95" ht="15.75" customHeight="1" x14ac:dyDescent="0.25">
      <c r="A171" s="308" t="s">
        <v>71</v>
      </c>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10"/>
    </row>
    <row r="172" spans="1:95" x14ac:dyDescent="0.25">
      <c r="A172" s="177">
        <v>1</v>
      </c>
      <c r="B172" s="178"/>
      <c r="C172" s="178"/>
      <c r="D172" s="178"/>
      <c r="E172" s="178"/>
      <c r="F172" s="178"/>
      <c r="G172" s="75"/>
      <c r="H172" s="178"/>
      <c r="I172" s="178"/>
      <c r="J172" s="178"/>
      <c r="K172" s="178"/>
      <c r="L172" s="178"/>
      <c r="M172" s="178"/>
      <c r="N172" s="178"/>
      <c r="O172" s="178"/>
      <c r="P172" s="232"/>
      <c r="Q172" s="195"/>
      <c r="R172" s="195"/>
      <c r="S172" s="195"/>
      <c r="T172" s="195"/>
      <c r="U172" s="195"/>
      <c r="V172" s="19"/>
      <c r="W172" s="19"/>
      <c r="X172" s="195"/>
      <c r="Y172" s="196"/>
    </row>
    <row r="173" spans="1:95" ht="15.75" thickBot="1" x14ac:dyDescent="0.3">
      <c r="A173" s="148">
        <v>2</v>
      </c>
      <c r="B173" s="44"/>
      <c r="C173" s="44"/>
      <c r="D173" s="44"/>
      <c r="E173" s="38"/>
      <c r="F173" s="38"/>
      <c r="G173" s="78"/>
      <c r="H173" s="44"/>
      <c r="I173" s="44"/>
      <c r="J173" s="44"/>
      <c r="K173" s="38"/>
      <c r="L173" s="38"/>
      <c r="M173" s="38"/>
      <c r="N173" s="38"/>
      <c r="O173" s="44"/>
      <c r="P173" s="238"/>
      <c r="Q173" s="205"/>
      <c r="R173" s="205"/>
      <c r="S173" s="207"/>
      <c r="T173" s="205"/>
      <c r="U173" s="205"/>
      <c r="V173" s="37"/>
      <c r="W173" s="37"/>
      <c r="X173" s="205"/>
      <c r="Y173" s="206"/>
    </row>
    <row r="174" spans="1:95" s="18" customFormat="1" ht="16.5" customHeight="1" thickBot="1" x14ac:dyDescent="0.3">
      <c r="A174" s="300" t="s">
        <v>72</v>
      </c>
      <c r="B174" s="301"/>
      <c r="C174" s="301"/>
      <c r="D174" s="301"/>
      <c r="E174" s="301"/>
      <c r="F174" s="301"/>
      <c r="G174" s="301"/>
      <c r="H174" s="301"/>
      <c r="I174" s="301"/>
      <c r="J174" s="301"/>
      <c r="K174" s="301"/>
      <c r="L174" s="301"/>
      <c r="M174" s="301"/>
      <c r="N174" s="301"/>
      <c r="O174" s="302"/>
      <c r="P174" s="191">
        <v>0</v>
      </c>
      <c r="Q174" s="191">
        <v>0</v>
      </c>
      <c r="R174" s="191">
        <v>0</v>
      </c>
      <c r="S174" s="191">
        <v>0</v>
      </c>
      <c r="T174" s="191">
        <v>0</v>
      </c>
      <c r="U174" s="191">
        <v>0</v>
      </c>
      <c r="V174" s="20"/>
      <c r="W174" s="20">
        <v>0</v>
      </c>
      <c r="X174" s="191">
        <v>0</v>
      </c>
      <c r="Y174" s="192">
        <v>0</v>
      </c>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17"/>
    </row>
    <row r="175" spans="1:95" x14ac:dyDescent="0.25">
      <c r="A175" s="346" t="s">
        <v>31</v>
      </c>
      <c r="B175" s="347"/>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348"/>
    </row>
    <row r="176" spans="1:95" s="55" customFormat="1" ht="68.25" customHeight="1" x14ac:dyDescent="0.25">
      <c r="A176" s="153">
        <v>1</v>
      </c>
      <c r="B176" s="175" t="s">
        <v>257</v>
      </c>
      <c r="C176" s="175" t="s">
        <v>638</v>
      </c>
      <c r="D176" s="175" t="s">
        <v>344</v>
      </c>
      <c r="E176" s="22" t="s">
        <v>269</v>
      </c>
      <c r="F176" s="23" t="s">
        <v>253</v>
      </c>
      <c r="G176" s="24" t="s">
        <v>270</v>
      </c>
      <c r="H176" s="25">
        <v>42339</v>
      </c>
      <c r="I176" s="25">
        <v>43100</v>
      </c>
      <c r="J176" s="23" t="s">
        <v>115</v>
      </c>
      <c r="K176" s="23" t="s">
        <v>335</v>
      </c>
      <c r="L176" s="23" t="s">
        <v>477</v>
      </c>
      <c r="M176" s="23" t="s">
        <v>477</v>
      </c>
      <c r="N176" s="23" t="s">
        <v>116</v>
      </c>
      <c r="O176" s="175">
        <v>121</v>
      </c>
      <c r="P176" s="246">
        <v>56019436.090000004</v>
      </c>
      <c r="Q176" s="246">
        <v>0</v>
      </c>
      <c r="R176" s="246">
        <v>10123117.9</v>
      </c>
      <c r="S176" s="246">
        <v>0</v>
      </c>
      <c r="T176" s="246">
        <v>784</v>
      </c>
      <c r="U176" s="247">
        <v>66143337.990000002</v>
      </c>
      <c r="V176" s="176" t="s">
        <v>318</v>
      </c>
      <c r="W176" s="175">
        <v>2</v>
      </c>
      <c r="X176" s="201">
        <v>56019436.090000004</v>
      </c>
      <c r="Y176" s="187">
        <v>0</v>
      </c>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row>
    <row r="177" spans="1:95" s="28" customFormat="1" ht="153" customHeight="1" x14ac:dyDescent="0.25">
      <c r="A177" s="146">
        <v>2</v>
      </c>
      <c r="B177" s="62" t="s">
        <v>152</v>
      </c>
      <c r="C177" s="79">
        <v>119352</v>
      </c>
      <c r="D177" s="79" t="s">
        <v>528</v>
      </c>
      <c r="E177" s="22" t="s">
        <v>293</v>
      </c>
      <c r="F177" s="23" t="s">
        <v>253</v>
      </c>
      <c r="G177" s="24" t="s">
        <v>294</v>
      </c>
      <c r="H177" s="25">
        <v>42339</v>
      </c>
      <c r="I177" s="7">
        <v>44012</v>
      </c>
      <c r="J177" s="23" t="s">
        <v>115</v>
      </c>
      <c r="K177" s="23" t="s">
        <v>335</v>
      </c>
      <c r="L177" s="23" t="s">
        <v>477</v>
      </c>
      <c r="M177" s="23" t="s">
        <v>477</v>
      </c>
      <c r="N177" s="23" t="s">
        <v>116</v>
      </c>
      <c r="O177" s="23">
        <v>121</v>
      </c>
      <c r="P177" s="186">
        <v>15028878.779999999</v>
      </c>
      <c r="Q177" s="186">
        <v>0</v>
      </c>
      <c r="R177" s="186">
        <v>2715827.2</v>
      </c>
      <c r="S177" s="236">
        <v>0</v>
      </c>
      <c r="T177" s="186">
        <v>4248577.55</v>
      </c>
      <c r="U177" s="230">
        <f t="shared" ref="U177:U184" si="23">P177+Q177+R177+S177+T177</f>
        <v>21993283.530000001</v>
      </c>
      <c r="V177" s="8" t="s">
        <v>757</v>
      </c>
      <c r="W177" s="23">
        <v>8</v>
      </c>
      <c r="X177" s="201">
        <v>12347728.51</v>
      </c>
      <c r="Y177" s="187">
        <v>0</v>
      </c>
      <c r="Z177" s="123"/>
      <c r="AA177" s="121"/>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row>
    <row r="178" spans="1:95" s="55" customFormat="1" ht="38.25" x14ac:dyDescent="0.25">
      <c r="A178" s="151">
        <v>3</v>
      </c>
      <c r="B178" s="29" t="s">
        <v>227</v>
      </c>
      <c r="C178" s="29" t="s">
        <v>648</v>
      </c>
      <c r="D178" s="29" t="s">
        <v>347</v>
      </c>
      <c r="E178" s="22" t="s">
        <v>233</v>
      </c>
      <c r="F178" s="23" t="s">
        <v>176</v>
      </c>
      <c r="G178" s="59" t="s">
        <v>234</v>
      </c>
      <c r="H178" s="25">
        <v>42051</v>
      </c>
      <c r="I178" s="25">
        <v>44895</v>
      </c>
      <c r="J178" s="23" t="s">
        <v>115</v>
      </c>
      <c r="K178" s="23" t="s">
        <v>335</v>
      </c>
      <c r="L178" s="23" t="s">
        <v>477</v>
      </c>
      <c r="M178" s="23" t="s">
        <v>477</v>
      </c>
      <c r="N178" s="23" t="s">
        <v>116</v>
      </c>
      <c r="O178" s="23">
        <v>121</v>
      </c>
      <c r="P178" s="186">
        <f>9188140.08-681942.67</f>
        <v>8506197.4100000001</v>
      </c>
      <c r="Q178" s="186">
        <v>0</v>
      </c>
      <c r="R178" s="186">
        <f>1660363.47-123232</f>
        <v>1537131.47</v>
      </c>
      <c r="S178" s="186">
        <v>0</v>
      </c>
      <c r="T178" s="186">
        <v>560186.18999999948</v>
      </c>
      <c r="U178" s="230">
        <f t="shared" si="23"/>
        <v>10603515.07</v>
      </c>
      <c r="V178" s="26" t="s">
        <v>329</v>
      </c>
      <c r="W178" s="93">
        <v>1</v>
      </c>
      <c r="X178" s="186">
        <f>2453625.2+162529.36+3621.39+9068.91+86102.61+5247.95+5437.48+1394.75+2716.59+2028.25+18596.36+217422.38+923152.79+133099.53+405690.93</f>
        <v>4429734.4799999995</v>
      </c>
      <c r="Y178" s="216">
        <v>0</v>
      </c>
      <c r="Z178" s="123"/>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row>
    <row r="179" spans="1:95" s="55" customFormat="1" ht="185.25" customHeight="1" x14ac:dyDescent="0.25">
      <c r="A179" s="146">
        <v>4</v>
      </c>
      <c r="B179" s="47" t="s">
        <v>152</v>
      </c>
      <c r="C179" s="47" t="s">
        <v>649</v>
      </c>
      <c r="D179" s="47" t="s">
        <v>348</v>
      </c>
      <c r="E179" s="39" t="s">
        <v>237</v>
      </c>
      <c r="F179" s="40" t="s">
        <v>176</v>
      </c>
      <c r="G179" s="54" t="s">
        <v>238</v>
      </c>
      <c r="H179" s="42">
        <v>42370</v>
      </c>
      <c r="I179" s="42">
        <v>44681</v>
      </c>
      <c r="J179" s="40" t="s">
        <v>115</v>
      </c>
      <c r="K179" s="23" t="s">
        <v>335</v>
      </c>
      <c r="L179" s="23" t="s">
        <v>477</v>
      </c>
      <c r="M179" s="23" t="s">
        <v>477</v>
      </c>
      <c r="N179" s="40" t="s">
        <v>116</v>
      </c>
      <c r="O179" s="40">
        <v>121</v>
      </c>
      <c r="P179" s="201">
        <f>1616795.15-379354.65+272125.04</f>
        <v>1509565.54</v>
      </c>
      <c r="Q179" s="201">
        <v>0</v>
      </c>
      <c r="R179" s="201">
        <f>292166.6-68552.12+49174.96</f>
        <v>272789.44</v>
      </c>
      <c r="S179" s="201">
        <v>0</v>
      </c>
      <c r="T179" s="201">
        <f>2296.91</f>
        <v>2296.91</v>
      </c>
      <c r="U179" s="235">
        <f t="shared" si="23"/>
        <v>1784651.89</v>
      </c>
      <c r="V179" s="43" t="str">
        <f>V178</f>
        <v>in implementare</v>
      </c>
      <c r="W179" s="40">
        <v>3</v>
      </c>
      <c r="X179" s="217">
        <f>1068637.44+57967.98</f>
        <v>1126605.42</v>
      </c>
      <c r="Y179" s="202">
        <v>0</v>
      </c>
      <c r="Z179" s="123"/>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row>
    <row r="180" spans="1:95" s="28" customFormat="1" ht="63.75" x14ac:dyDescent="0.25">
      <c r="A180" s="153">
        <v>5</v>
      </c>
      <c r="B180" s="71" t="s">
        <v>242</v>
      </c>
      <c r="C180" s="71" t="s">
        <v>650</v>
      </c>
      <c r="D180" s="29" t="s">
        <v>354</v>
      </c>
      <c r="E180" s="22" t="s">
        <v>272</v>
      </c>
      <c r="F180" s="23" t="s">
        <v>204</v>
      </c>
      <c r="G180" s="59" t="s">
        <v>273</v>
      </c>
      <c r="H180" s="25">
        <v>42461</v>
      </c>
      <c r="I180" s="25">
        <v>43890</v>
      </c>
      <c r="J180" s="23" t="s">
        <v>115</v>
      </c>
      <c r="K180" s="23" t="s">
        <v>335</v>
      </c>
      <c r="L180" s="23" t="s">
        <v>477</v>
      </c>
      <c r="M180" s="23" t="s">
        <v>477</v>
      </c>
      <c r="N180" s="23" t="s">
        <v>116</v>
      </c>
      <c r="O180" s="23">
        <v>121</v>
      </c>
      <c r="P180" s="236">
        <f>764301.63-103554.47</f>
        <v>660747.16</v>
      </c>
      <c r="Q180" s="236">
        <v>0</v>
      </c>
      <c r="R180" s="236">
        <f>138114.84-18713.05</f>
        <v>119401.79</v>
      </c>
      <c r="S180" s="236">
        <v>0</v>
      </c>
      <c r="T180" s="236">
        <v>0</v>
      </c>
      <c r="U180" s="230">
        <f t="shared" si="23"/>
        <v>780148.95000000007</v>
      </c>
      <c r="V180" s="26" t="s">
        <v>318</v>
      </c>
      <c r="W180" s="23">
        <v>4</v>
      </c>
      <c r="X180" s="186">
        <f>184571.69+170269.35+101859.11+204047.01</f>
        <v>660747.16</v>
      </c>
      <c r="Y180" s="190">
        <v>0</v>
      </c>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row>
    <row r="181" spans="1:95" s="28" customFormat="1" ht="51" x14ac:dyDescent="0.25">
      <c r="A181" s="146">
        <v>6</v>
      </c>
      <c r="B181" s="62" t="s">
        <v>251</v>
      </c>
      <c r="C181" s="79">
        <v>119449</v>
      </c>
      <c r="D181" s="79" t="s">
        <v>357</v>
      </c>
      <c r="E181" s="22" t="s">
        <v>303</v>
      </c>
      <c r="F181" s="23" t="s">
        <v>304</v>
      </c>
      <c r="G181" s="24" t="s">
        <v>305</v>
      </c>
      <c r="H181" s="25">
        <v>43222</v>
      </c>
      <c r="I181" s="25">
        <v>44377</v>
      </c>
      <c r="J181" s="23" t="s">
        <v>115</v>
      </c>
      <c r="K181" s="23" t="s">
        <v>335</v>
      </c>
      <c r="L181" s="23" t="s">
        <v>477</v>
      </c>
      <c r="M181" s="23" t="s">
        <v>477</v>
      </c>
      <c r="N181" s="23" t="s">
        <v>116</v>
      </c>
      <c r="O181" s="23">
        <v>121</v>
      </c>
      <c r="P181" s="236">
        <v>2408098.36</v>
      </c>
      <c r="Q181" s="236">
        <v>0</v>
      </c>
      <c r="R181" s="236">
        <v>435160.82</v>
      </c>
      <c r="S181" s="236">
        <v>0</v>
      </c>
      <c r="T181" s="236">
        <v>50814.720000000001</v>
      </c>
      <c r="U181" s="230">
        <f t="shared" si="23"/>
        <v>2894073.9</v>
      </c>
      <c r="V181" s="26" t="s">
        <v>117</v>
      </c>
      <c r="W181" s="23">
        <v>2</v>
      </c>
      <c r="X181" s="186">
        <f>90271.86+291172.03+30120.08</f>
        <v>411563.97000000003</v>
      </c>
      <c r="Y181" s="190">
        <v>0</v>
      </c>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row>
    <row r="182" spans="1:95" s="28" customFormat="1" ht="73.5" customHeight="1" x14ac:dyDescent="0.25">
      <c r="A182" s="153">
        <v>7</v>
      </c>
      <c r="B182" s="62" t="s">
        <v>174</v>
      </c>
      <c r="C182" s="79">
        <v>118800</v>
      </c>
      <c r="D182" s="79" t="s">
        <v>359</v>
      </c>
      <c r="E182" s="22" t="s">
        <v>308</v>
      </c>
      <c r="F182" s="23" t="s">
        <v>204</v>
      </c>
      <c r="G182" s="22" t="s">
        <v>313</v>
      </c>
      <c r="H182" s="25">
        <v>42370</v>
      </c>
      <c r="I182" s="25">
        <v>43465</v>
      </c>
      <c r="J182" s="23" t="s">
        <v>115</v>
      </c>
      <c r="K182" s="23" t="s">
        <v>335</v>
      </c>
      <c r="L182" s="23" t="s">
        <v>477</v>
      </c>
      <c r="M182" s="23" t="s">
        <v>477</v>
      </c>
      <c r="N182" s="23" t="s">
        <v>116</v>
      </c>
      <c r="O182" s="23">
        <v>121</v>
      </c>
      <c r="P182" s="186">
        <f>7342704.45-191253.02</f>
        <v>7151451.4300000006</v>
      </c>
      <c r="Q182" s="186">
        <v>0</v>
      </c>
      <c r="R182" s="186">
        <v>1292318.9399999995</v>
      </c>
      <c r="S182" s="186">
        <v>0</v>
      </c>
      <c r="T182" s="186">
        <v>0</v>
      </c>
      <c r="U182" s="230">
        <f t="shared" si="23"/>
        <v>8443770.370000001</v>
      </c>
      <c r="V182" s="26" t="s">
        <v>318</v>
      </c>
      <c r="W182" s="23">
        <v>2</v>
      </c>
      <c r="X182" s="186">
        <v>7151451.4299999997</v>
      </c>
      <c r="Y182" s="190">
        <v>0</v>
      </c>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row>
    <row r="183" spans="1:95" s="28" customFormat="1" ht="99" customHeight="1" x14ac:dyDescent="0.25">
      <c r="A183" s="146">
        <v>8</v>
      </c>
      <c r="B183" s="66" t="s">
        <v>309</v>
      </c>
      <c r="C183" s="119">
        <v>124409</v>
      </c>
      <c r="D183" s="119" t="s">
        <v>360</v>
      </c>
      <c r="E183" s="39" t="s">
        <v>310</v>
      </c>
      <c r="F183" s="40" t="s">
        <v>311</v>
      </c>
      <c r="G183" s="39" t="s">
        <v>312</v>
      </c>
      <c r="H183" s="42">
        <v>43252</v>
      </c>
      <c r="I183" s="42">
        <v>43830</v>
      </c>
      <c r="J183" s="40" t="s">
        <v>115</v>
      </c>
      <c r="K183" s="40" t="s">
        <v>335</v>
      </c>
      <c r="L183" s="40" t="s">
        <v>477</v>
      </c>
      <c r="M183" s="40" t="s">
        <v>477</v>
      </c>
      <c r="N183" s="40" t="s">
        <v>116</v>
      </c>
      <c r="O183" s="40">
        <v>121</v>
      </c>
      <c r="P183" s="201">
        <v>0</v>
      </c>
      <c r="Q183" s="201">
        <v>0</v>
      </c>
      <c r="R183" s="201">
        <v>0</v>
      </c>
      <c r="S183" s="201">
        <v>0</v>
      </c>
      <c r="T183" s="201">
        <v>0</v>
      </c>
      <c r="U183" s="235">
        <f t="shared" si="23"/>
        <v>0</v>
      </c>
      <c r="V183" s="43" t="s">
        <v>421</v>
      </c>
      <c r="W183" s="40">
        <v>0</v>
      </c>
      <c r="X183" s="201">
        <v>0</v>
      </c>
      <c r="Y183" s="202">
        <v>0</v>
      </c>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row>
    <row r="184" spans="1:95" s="2" customFormat="1" ht="182.25" customHeight="1" x14ac:dyDescent="0.25">
      <c r="A184" s="151">
        <v>9</v>
      </c>
      <c r="B184" s="62" t="s">
        <v>118</v>
      </c>
      <c r="C184" s="79">
        <v>116789</v>
      </c>
      <c r="D184" s="79" t="s">
        <v>364</v>
      </c>
      <c r="E184" s="73" t="s">
        <v>112</v>
      </c>
      <c r="F184" s="70" t="s">
        <v>113</v>
      </c>
      <c r="G184" s="73" t="s">
        <v>114</v>
      </c>
      <c r="H184" s="7">
        <v>42510</v>
      </c>
      <c r="I184" s="7">
        <v>44296</v>
      </c>
      <c r="J184" s="70" t="s">
        <v>115</v>
      </c>
      <c r="K184" s="23" t="s">
        <v>335</v>
      </c>
      <c r="L184" s="23" t="s">
        <v>477</v>
      </c>
      <c r="M184" s="23" t="s">
        <v>477</v>
      </c>
      <c r="N184" s="5" t="s">
        <v>116</v>
      </c>
      <c r="O184" s="5">
        <v>121</v>
      </c>
      <c r="P184" s="186">
        <f>12816891.46+0.01</f>
        <v>12816891.470000001</v>
      </c>
      <c r="Q184" s="197">
        <v>0</v>
      </c>
      <c r="R184" s="197">
        <f>2316105.13</f>
        <v>2316105.13</v>
      </c>
      <c r="S184" s="197">
        <v>0</v>
      </c>
      <c r="T184" s="197">
        <v>459666.3</v>
      </c>
      <c r="U184" s="233">
        <f t="shared" si="23"/>
        <v>15592662.900000002</v>
      </c>
      <c r="V184" s="8" t="s">
        <v>117</v>
      </c>
      <c r="W184" s="5">
        <v>6</v>
      </c>
      <c r="X184" s="197">
        <f>6374869.6+424936.8+190801.31+1724910.92+642863.85+586034.35+416756.99+57695.55+6889.33</f>
        <v>10425758.699999999</v>
      </c>
      <c r="Y184" s="218">
        <v>0</v>
      </c>
      <c r="Z184" s="123"/>
      <c r="AA184" s="124"/>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row>
    <row r="185" spans="1:95" s="28" customFormat="1" ht="109.5" customHeight="1" x14ac:dyDescent="0.25">
      <c r="A185" s="146">
        <v>10</v>
      </c>
      <c r="B185" s="62" t="s">
        <v>118</v>
      </c>
      <c r="C185" s="79">
        <v>116670</v>
      </c>
      <c r="D185" s="25" t="s">
        <v>365</v>
      </c>
      <c r="E185" s="22" t="s">
        <v>119</v>
      </c>
      <c r="F185" s="23" t="s">
        <v>120</v>
      </c>
      <c r="G185" s="24" t="s">
        <v>121</v>
      </c>
      <c r="H185" s="25">
        <v>42522</v>
      </c>
      <c r="I185" s="25">
        <v>42978</v>
      </c>
      <c r="J185" s="154" t="s">
        <v>115</v>
      </c>
      <c r="K185" s="23" t="s">
        <v>335</v>
      </c>
      <c r="L185" s="23" t="s">
        <v>477</v>
      </c>
      <c r="M185" s="23" t="s">
        <v>477</v>
      </c>
      <c r="N185" s="94" t="s">
        <v>116</v>
      </c>
      <c r="O185" s="94">
        <v>121</v>
      </c>
      <c r="P185" s="203">
        <v>771222.56</v>
      </c>
      <c r="Q185" s="203">
        <v>0</v>
      </c>
      <c r="R185" s="203">
        <v>139365.51</v>
      </c>
      <c r="S185" s="203">
        <v>0</v>
      </c>
      <c r="T185" s="203">
        <v>112414</v>
      </c>
      <c r="U185" s="237">
        <f t="shared" ref="U185:U258" si="24">P185+Q185+R185+S185+T185</f>
        <v>1023002.0700000001</v>
      </c>
      <c r="V185" s="111" t="s">
        <v>318</v>
      </c>
      <c r="W185" s="23">
        <v>2</v>
      </c>
      <c r="X185" s="186">
        <f>217870.14+553352.42</f>
        <v>771222.56</v>
      </c>
      <c r="Y185" s="190">
        <v>0</v>
      </c>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row>
    <row r="186" spans="1:95" s="28" customFormat="1" ht="75.75" customHeight="1" x14ac:dyDescent="0.25">
      <c r="A186" s="153">
        <v>11</v>
      </c>
      <c r="B186" s="62" t="s">
        <v>125</v>
      </c>
      <c r="C186" s="79">
        <v>119951</v>
      </c>
      <c r="D186" s="79" t="s">
        <v>366</v>
      </c>
      <c r="E186" s="22" t="s">
        <v>122</v>
      </c>
      <c r="F186" s="23" t="s">
        <v>123</v>
      </c>
      <c r="G186" s="24" t="s">
        <v>124</v>
      </c>
      <c r="H186" s="25">
        <v>42278</v>
      </c>
      <c r="I186" s="25">
        <v>43830</v>
      </c>
      <c r="J186" s="23" t="s">
        <v>115</v>
      </c>
      <c r="K186" s="23" t="s">
        <v>335</v>
      </c>
      <c r="L186" s="23" t="s">
        <v>477</v>
      </c>
      <c r="M186" s="23" t="s">
        <v>477</v>
      </c>
      <c r="N186" s="23" t="s">
        <v>116</v>
      </c>
      <c r="O186" s="23">
        <v>123</v>
      </c>
      <c r="P186" s="186">
        <f>189946.35-5108.03</f>
        <v>184838.32</v>
      </c>
      <c r="Q186" s="186">
        <v>0</v>
      </c>
      <c r="R186" s="186">
        <f>34324.68-923.04</f>
        <v>33401.64</v>
      </c>
      <c r="S186" s="186">
        <v>0</v>
      </c>
      <c r="T186" s="186">
        <v>0</v>
      </c>
      <c r="U186" s="230">
        <f t="shared" si="24"/>
        <v>218239.96000000002</v>
      </c>
      <c r="V186" s="26" t="s">
        <v>318</v>
      </c>
      <c r="W186" s="23">
        <v>4</v>
      </c>
      <c r="X186" s="186">
        <f>152286.16+8863.72+23289.88+1473.85</f>
        <v>185913.61000000002</v>
      </c>
      <c r="Y186" s="190">
        <v>0</v>
      </c>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row>
    <row r="187" spans="1:95" s="28" customFormat="1" ht="51" x14ac:dyDescent="0.25">
      <c r="A187" s="146">
        <v>12</v>
      </c>
      <c r="B187" s="62" t="s">
        <v>126</v>
      </c>
      <c r="C187" s="79">
        <v>117136</v>
      </c>
      <c r="D187" s="79" t="s">
        <v>367</v>
      </c>
      <c r="E187" s="22" t="s">
        <v>314</v>
      </c>
      <c r="F187" s="23" t="s">
        <v>127</v>
      </c>
      <c r="G187" s="24" t="s">
        <v>128</v>
      </c>
      <c r="H187" s="25">
        <v>42639</v>
      </c>
      <c r="I187" s="25">
        <v>43276</v>
      </c>
      <c r="J187" s="23" t="s">
        <v>115</v>
      </c>
      <c r="K187" s="23" t="s">
        <v>335</v>
      </c>
      <c r="L187" s="23" t="s">
        <v>477</v>
      </c>
      <c r="M187" s="23" t="s">
        <v>477</v>
      </c>
      <c r="N187" s="23" t="s">
        <v>116</v>
      </c>
      <c r="O187" s="23">
        <v>121</v>
      </c>
      <c r="P187" s="186">
        <v>953345.23</v>
      </c>
      <c r="Q187" s="186">
        <v>0</v>
      </c>
      <c r="R187" s="186">
        <v>172276.4</v>
      </c>
      <c r="S187" s="186">
        <v>0</v>
      </c>
      <c r="T187" s="186">
        <v>15935.53</v>
      </c>
      <c r="U187" s="230">
        <f t="shared" si="24"/>
        <v>1141557.1599999999</v>
      </c>
      <c r="V187" s="26" t="s">
        <v>318</v>
      </c>
      <c r="W187" s="23">
        <v>4</v>
      </c>
      <c r="X187" s="186">
        <f>312162.21+384872.2+46203.66+210107.16</f>
        <v>953345.2300000001</v>
      </c>
      <c r="Y187" s="190">
        <v>0</v>
      </c>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row>
    <row r="188" spans="1:95" s="28" customFormat="1" ht="114.75" x14ac:dyDescent="0.25">
      <c r="A188" s="153">
        <v>13</v>
      </c>
      <c r="B188" s="62" t="s">
        <v>126</v>
      </c>
      <c r="C188" s="79">
        <v>118449</v>
      </c>
      <c r="D188" s="79" t="s">
        <v>368</v>
      </c>
      <c r="E188" s="22" t="s">
        <v>136</v>
      </c>
      <c r="F188" s="23" t="s">
        <v>120</v>
      </c>
      <c r="G188" s="24" t="s">
        <v>137</v>
      </c>
      <c r="H188" s="25">
        <v>42767</v>
      </c>
      <c r="I188" s="25">
        <v>43861</v>
      </c>
      <c r="J188" s="23" t="s">
        <v>115</v>
      </c>
      <c r="K188" s="23" t="s">
        <v>335</v>
      </c>
      <c r="L188" s="23" t="s">
        <v>477</v>
      </c>
      <c r="M188" s="23" t="s">
        <v>477</v>
      </c>
      <c r="N188" s="23" t="s">
        <v>116</v>
      </c>
      <c r="O188" s="40">
        <v>121</v>
      </c>
      <c r="P188" s="201">
        <f>4696144.91-1077263.74</f>
        <v>3618881.17</v>
      </c>
      <c r="Q188" s="201">
        <v>0</v>
      </c>
      <c r="R188" s="201">
        <f>848627.41-194669.36</f>
        <v>653958.05000000005</v>
      </c>
      <c r="S188" s="201">
        <v>0</v>
      </c>
      <c r="T188" s="201">
        <v>0</v>
      </c>
      <c r="U188" s="235">
        <f t="shared" si="24"/>
        <v>4272839.22</v>
      </c>
      <c r="V188" s="43" t="s">
        <v>318</v>
      </c>
      <c r="W188" s="40">
        <v>3</v>
      </c>
      <c r="X188" s="201">
        <v>3631731.1</v>
      </c>
      <c r="Y188" s="190">
        <v>0</v>
      </c>
      <c r="Z188" s="123"/>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row>
    <row r="189" spans="1:95" s="28" customFormat="1" ht="69.75" customHeight="1" x14ac:dyDescent="0.25">
      <c r="A189" s="146">
        <v>14</v>
      </c>
      <c r="B189" s="62" t="s">
        <v>138</v>
      </c>
      <c r="C189" s="79">
        <v>119989</v>
      </c>
      <c r="D189" s="79" t="s">
        <v>369</v>
      </c>
      <c r="E189" s="22" t="s">
        <v>139</v>
      </c>
      <c r="F189" s="23" t="s">
        <v>370</v>
      </c>
      <c r="G189" s="24" t="s">
        <v>140</v>
      </c>
      <c r="H189" s="25">
        <v>42461</v>
      </c>
      <c r="I189" s="25">
        <v>44439</v>
      </c>
      <c r="J189" s="23" t="s">
        <v>115</v>
      </c>
      <c r="K189" s="23" t="s">
        <v>335</v>
      </c>
      <c r="L189" s="23" t="s">
        <v>477</v>
      </c>
      <c r="M189" s="23" t="s">
        <v>477</v>
      </c>
      <c r="N189" s="23" t="s">
        <v>116</v>
      </c>
      <c r="O189" s="23">
        <v>123</v>
      </c>
      <c r="P189" s="186">
        <f>763944.21+21688.94</f>
        <v>785633.14999999991</v>
      </c>
      <c r="Q189" s="186">
        <v>0</v>
      </c>
      <c r="R189" s="186">
        <f>138050.25+3919.36</f>
        <v>141969.60999999999</v>
      </c>
      <c r="S189" s="186">
        <v>0</v>
      </c>
      <c r="T189" s="186">
        <v>1164</v>
      </c>
      <c r="U189" s="230">
        <f t="shared" si="24"/>
        <v>928766.75999999989</v>
      </c>
      <c r="V189" s="26" t="s">
        <v>117</v>
      </c>
      <c r="W189" s="23">
        <v>4</v>
      </c>
      <c r="X189" s="186">
        <f>210623.3+131311.13</f>
        <v>341934.43</v>
      </c>
      <c r="Y189" s="187">
        <v>0</v>
      </c>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row>
    <row r="190" spans="1:95" s="2" customFormat="1" ht="89.25" x14ac:dyDescent="0.25">
      <c r="A190" s="151">
        <v>15</v>
      </c>
      <c r="B190" s="61" t="s">
        <v>138</v>
      </c>
      <c r="C190" s="81">
        <v>120088</v>
      </c>
      <c r="D190" s="81" t="s">
        <v>371</v>
      </c>
      <c r="E190" s="4" t="s">
        <v>144</v>
      </c>
      <c r="F190" s="5" t="s">
        <v>145</v>
      </c>
      <c r="G190" s="6" t="s">
        <v>146</v>
      </c>
      <c r="H190" s="7">
        <v>42887</v>
      </c>
      <c r="I190" s="7">
        <v>44561</v>
      </c>
      <c r="J190" s="5" t="s">
        <v>115</v>
      </c>
      <c r="K190" s="23" t="s">
        <v>335</v>
      </c>
      <c r="L190" s="23" t="s">
        <v>477</v>
      </c>
      <c r="M190" s="23" t="s">
        <v>477</v>
      </c>
      <c r="N190" s="5" t="s">
        <v>116</v>
      </c>
      <c r="O190" s="5">
        <v>123</v>
      </c>
      <c r="P190" s="186">
        <f>13808943.37-225474.72</f>
        <v>13583468.649999999</v>
      </c>
      <c r="Q190" s="197">
        <v>0</v>
      </c>
      <c r="R190" s="197">
        <v>2454631.1700000037</v>
      </c>
      <c r="S190" s="197">
        <v>0</v>
      </c>
      <c r="T190" s="197">
        <v>0</v>
      </c>
      <c r="U190" s="233">
        <f t="shared" si="24"/>
        <v>16038099.820000002</v>
      </c>
      <c r="V190" s="8" t="s">
        <v>117</v>
      </c>
      <c r="W190" s="5">
        <v>2</v>
      </c>
      <c r="X190" s="186">
        <f>7982.33+1813501.7+4561098.53+4434.63+4434.63+22173.15+8869.26</f>
        <v>6422494.2300000004</v>
      </c>
      <c r="Y190" s="219">
        <v>0</v>
      </c>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row>
    <row r="191" spans="1:95" s="56" customFormat="1" ht="51" x14ac:dyDescent="0.25">
      <c r="A191" s="146">
        <v>16</v>
      </c>
      <c r="B191" s="61" t="s">
        <v>138</v>
      </c>
      <c r="C191" s="81">
        <v>120018</v>
      </c>
      <c r="D191" s="81" t="s">
        <v>372</v>
      </c>
      <c r="E191" s="4" t="s">
        <v>147</v>
      </c>
      <c r="F191" s="5" t="s">
        <v>145</v>
      </c>
      <c r="G191" s="6" t="s">
        <v>148</v>
      </c>
      <c r="H191" s="7">
        <v>43070</v>
      </c>
      <c r="I191" s="7">
        <v>44592</v>
      </c>
      <c r="J191" s="5" t="s">
        <v>115</v>
      </c>
      <c r="K191" s="23" t="s">
        <v>335</v>
      </c>
      <c r="L191" s="23" t="s">
        <v>477</v>
      </c>
      <c r="M191" s="23" t="s">
        <v>477</v>
      </c>
      <c r="N191" s="5" t="s">
        <v>116</v>
      </c>
      <c r="O191" s="5">
        <v>123</v>
      </c>
      <c r="P191" s="186">
        <f>12117860.46-8874584.63</f>
        <v>3243275.83</v>
      </c>
      <c r="Q191" s="197">
        <v>0</v>
      </c>
      <c r="R191" s="197">
        <v>586083.40000000037</v>
      </c>
      <c r="S191" s="197">
        <v>0</v>
      </c>
      <c r="T191" s="197">
        <v>42849.640000000596</v>
      </c>
      <c r="U191" s="233">
        <f t="shared" si="24"/>
        <v>3872208.870000001</v>
      </c>
      <c r="V191" s="8" t="s">
        <v>117</v>
      </c>
      <c r="W191" s="5">
        <v>2</v>
      </c>
      <c r="X191" s="197">
        <v>0</v>
      </c>
      <c r="Y191" s="218">
        <v>0</v>
      </c>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57"/>
    </row>
    <row r="192" spans="1:95" s="28" customFormat="1" ht="140.25" x14ac:dyDescent="0.25">
      <c r="A192" s="151">
        <v>17</v>
      </c>
      <c r="B192" s="62" t="s">
        <v>149</v>
      </c>
      <c r="C192" s="79">
        <v>119484</v>
      </c>
      <c r="D192" s="79" t="s">
        <v>373</v>
      </c>
      <c r="E192" s="22" t="s">
        <v>150</v>
      </c>
      <c r="F192" s="23" t="s">
        <v>298</v>
      </c>
      <c r="G192" s="59" t="s">
        <v>151</v>
      </c>
      <c r="H192" s="25">
        <v>42430</v>
      </c>
      <c r="I192" s="25">
        <v>45291</v>
      </c>
      <c r="J192" s="23" t="s">
        <v>115</v>
      </c>
      <c r="K192" s="23" t="s">
        <v>335</v>
      </c>
      <c r="L192" s="23" t="s">
        <v>477</v>
      </c>
      <c r="M192" s="23" t="s">
        <v>477</v>
      </c>
      <c r="N192" s="23" t="s">
        <v>116</v>
      </c>
      <c r="O192" s="23">
        <v>122</v>
      </c>
      <c r="P192" s="186">
        <v>1888173.14</v>
      </c>
      <c r="Q192" s="186">
        <v>0</v>
      </c>
      <c r="R192" s="186">
        <v>341206.56</v>
      </c>
      <c r="S192" s="186">
        <v>0</v>
      </c>
      <c r="T192" s="186">
        <v>0</v>
      </c>
      <c r="U192" s="230">
        <f t="shared" si="24"/>
        <v>2229379.6999999997</v>
      </c>
      <c r="V192" s="26" t="s">
        <v>117</v>
      </c>
      <c r="W192" s="23">
        <v>1</v>
      </c>
      <c r="X192" s="186">
        <v>91212.28</v>
      </c>
      <c r="Y192" s="190">
        <v>0</v>
      </c>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row>
    <row r="193" spans="1:95" s="28" customFormat="1" ht="269.25" customHeight="1" x14ac:dyDescent="0.25">
      <c r="A193" s="146">
        <v>18</v>
      </c>
      <c r="B193" s="62" t="s">
        <v>248</v>
      </c>
      <c r="C193" s="79">
        <v>119621</v>
      </c>
      <c r="D193" s="25" t="s">
        <v>374</v>
      </c>
      <c r="E193" s="22" t="s">
        <v>259</v>
      </c>
      <c r="F193" s="23" t="s">
        <v>260</v>
      </c>
      <c r="G193" s="59" t="s">
        <v>261</v>
      </c>
      <c r="H193" s="25">
        <v>42095</v>
      </c>
      <c r="I193" s="25">
        <v>43100</v>
      </c>
      <c r="J193" s="23" t="s">
        <v>115</v>
      </c>
      <c r="K193" s="23" t="s">
        <v>335</v>
      </c>
      <c r="L193" s="23" t="s">
        <v>477</v>
      </c>
      <c r="M193" s="23" t="s">
        <v>477</v>
      </c>
      <c r="N193" s="23" t="s">
        <v>116</v>
      </c>
      <c r="O193" s="23">
        <v>121</v>
      </c>
      <c r="P193" s="236">
        <v>18247933.600000001</v>
      </c>
      <c r="Q193" s="236">
        <v>0</v>
      </c>
      <c r="R193" s="236">
        <v>3297533.79</v>
      </c>
      <c r="S193" s="236">
        <v>0</v>
      </c>
      <c r="T193" s="236">
        <v>28699.200000000001</v>
      </c>
      <c r="U193" s="230">
        <f t="shared" si="24"/>
        <v>21574166.59</v>
      </c>
      <c r="V193" s="26" t="s">
        <v>318</v>
      </c>
      <c r="W193" s="23">
        <v>1</v>
      </c>
      <c r="X193" s="186">
        <v>18247933.600000001</v>
      </c>
      <c r="Y193" s="190">
        <v>0</v>
      </c>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row>
    <row r="194" spans="1:95" s="28" customFormat="1" ht="63.75" x14ac:dyDescent="0.25">
      <c r="A194" s="153">
        <v>19</v>
      </c>
      <c r="B194" s="62" t="s">
        <v>152</v>
      </c>
      <c r="C194" s="79">
        <v>117343</v>
      </c>
      <c r="D194" s="25" t="s">
        <v>375</v>
      </c>
      <c r="E194" s="22" t="s">
        <v>153</v>
      </c>
      <c r="F194" s="23" t="s">
        <v>154</v>
      </c>
      <c r="G194" s="59" t="s">
        <v>155</v>
      </c>
      <c r="H194" s="25">
        <v>42552</v>
      </c>
      <c r="I194" s="25">
        <v>43465</v>
      </c>
      <c r="J194" s="23" t="s">
        <v>115</v>
      </c>
      <c r="K194" s="23" t="s">
        <v>335</v>
      </c>
      <c r="L194" s="23" t="s">
        <v>477</v>
      </c>
      <c r="M194" s="23" t="s">
        <v>477</v>
      </c>
      <c r="N194" s="23" t="s">
        <v>116</v>
      </c>
      <c r="O194" s="23">
        <v>121</v>
      </c>
      <c r="P194" s="186">
        <v>75382.259999999995</v>
      </c>
      <c r="Q194" s="186">
        <v>0</v>
      </c>
      <c r="R194" s="186">
        <v>13622.12</v>
      </c>
      <c r="S194" s="186">
        <v>0</v>
      </c>
      <c r="T194" s="186">
        <v>0</v>
      </c>
      <c r="U194" s="230">
        <f t="shared" si="24"/>
        <v>89004.37999999999</v>
      </c>
      <c r="V194" s="26" t="s">
        <v>318</v>
      </c>
      <c r="W194" s="23">
        <v>1</v>
      </c>
      <c r="X194" s="186">
        <v>75382.259999999995</v>
      </c>
      <c r="Y194" s="190">
        <v>0</v>
      </c>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row>
    <row r="195" spans="1:95" s="28" customFormat="1" ht="76.5" x14ac:dyDescent="0.25">
      <c r="A195" s="146">
        <v>20</v>
      </c>
      <c r="B195" s="62" t="s">
        <v>152</v>
      </c>
      <c r="C195" s="79">
        <v>117251</v>
      </c>
      <c r="D195" s="25" t="s">
        <v>376</v>
      </c>
      <c r="E195" s="22" t="s">
        <v>156</v>
      </c>
      <c r="F195" s="23" t="s">
        <v>157</v>
      </c>
      <c r="G195" s="59" t="s">
        <v>158</v>
      </c>
      <c r="H195" s="25">
        <v>42430</v>
      </c>
      <c r="I195" s="155">
        <v>42735</v>
      </c>
      <c r="J195" s="23" t="s">
        <v>115</v>
      </c>
      <c r="K195" s="23" t="s">
        <v>335</v>
      </c>
      <c r="L195" s="23" t="s">
        <v>477</v>
      </c>
      <c r="M195" s="23" t="s">
        <v>477</v>
      </c>
      <c r="N195" s="23" t="s">
        <v>116</v>
      </c>
      <c r="O195" s="23">
        <v>121</v>
      </c>
      <c r="P195" s="186">
        <v>122570.6</v>
      </c>
      <c r="Q195" s="186">
        <v>0</v>
      </c>
      <c r="R195" s="186">
        <v>22149.4</v>
      </c>
      <c r="S195" s="186">
        <v>0</v>
      </c>
      <c r="T195" s="186">
        <v>0</v>
      </c>
      <c r="U195" s="230">
        <f t="shared" si="24"/>
        <v>144720</v>
      </c>
      <c r="V195" s="26" t="s">
        <v>318</v>
      </c>
      <c r="W195" s="23">
        <v>1</v>
      </c>
      <c r="X195" s="186">
        <v>122570.6</v>
      </c>
      <c r="Y195" s="190">
        <v>0</v>
      </c>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row>
    <row r="196" spans="1:95" s="2" customFormat="1" ht="363" customHeight="1" x14ac:dyDescent="0.25">
      <c r="A196" s="151">
        <v>21</v>
      </c>
      <c r="B196" s="61" t="s">
        <v>149</v>
      </c>
      <c r="C196" s="81">
        <v>119480</v>
      </c>
      <c r="D196" s="79" t="s">
        <v>377</v>
      </c>
      <c r="E196" s="4" t="s">
        <v>159</v>
      </c>
      <c r="F196" s="5" t="s">
        <v>298</v>
      </c>
      <c r="G196" s="16" t="s">
        <v>160</v>
      </c>
      <c r="H196" s="7">
        <v>42430</v>
      </c>
      <c r="I196" s="7">
        <v>45291</v>
      </c>
      <c r="J196" s="5" t="s">
        <v>115</v>
      </c>
      <c r="K196" s="23" t="s">
        <v>335</v>
      </c>
      <c r="L196" s="23" t="s">
        <v>477</v>
      </c>
      <c r="M196" s="23" t="s">
        <v>477</v>
      </c>
      <c r="N196" s="5" t="s">
        <v>116</v>
      </c>
      <c r="O196" s="9">
        <v>122</v>
      </c>
      <c r="P196" s="201">
        <v>3709520.88</v>
      </c>
      <c r="Q196" s="213">
        <v>0</v>
      </c>
      <c r="R196" s="213">
        <v>670337.29</v>
      </c>
      <c r="S196" s="213">
        <v>0</v>
      </c>
      <c r="T196" s="213">
        <v>0</v>
      </c>
      <c r="U196" s="242">
        <f t="shared" si="24"/>
        <v>4379858.17</v>
      </c>
      <c r="V196" s="8" t="s">
        <v>117</v>
      </c>
      <c r="W196" s="5">
        <v>1</v>
      </c>
      <c r="X196" s="213">
        <v>0</v>
      </c>
      <c r="Y196" s="190">
        <v>0</v>
      </c>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row>
    <row r="197" spans="1:95" s="28" customFormat="1" ht="141.75" customHeight="1" x14ac:dyDescent="0.25">
      <c r="A197" s="146">
        <v>22</v>
      </c>
      <c r="B197" s="62" t="s">
        <v>152</v>
      </c>
      <c r="C197" s="79">
        <v>118587</v>
      </c>
      <c r="D197" s="79" t="s">
        <v>378</v>
      </c>
      <c r="E197" s="22" t="s">
        <v>161</v>
      </c>
      <c r="F197" s="23" t="s">
        <v>154</v>
      </c>
      <c r="G197" s="59" t="s">
        <v>162</v>
      </c>
      <c r="H197" s="25">
        <v>42370</v>
      </c>
      <c r="I197" s="25">
        <v>44196</v>
      </c>
      <c r="J197" s="23" t="s">
        <v>115</v>
      </c>
      <c r="K197" s="23" t="s">
        <v>335</v>
      </c>
      <c r="L197" s="23" t="s">
        <v>477</v>
      </c>
      <c r="M197" s="23" t="s">
        <v>477</v>
      </c>
      <c r="N197" s="23" t="s">
        <v>116</v>
      </c>
      <c r="O197" s="23">
        <v>121</v>
      </c>
      <c r="P197" s="186">
        <f>3809650.05-35417.55-16167.02</f>
        <v>3758065.48</v>
      </c>
      <c r="Q197" s="186">
        <v>0</v>
      </c>
      <c r="R197" s="186">
        <f>688431.36-6400.2-2921.5</f>
        <v>679109.66</v>
      </c>
      <c r="S197" s="186">
        <v>0</v>
      </c>
      <c r="T197" s="186">
        <f>39887.98-20053.09</f>
        <v>19834.890000000003</v>
      </c>
      <c r="U197" s="230">
        <f t="shared" si="24"/>
        <v>4457010.0299999993</v>
      </c>
      <c r="V197" s="26" t="s">
        <v>117</v>
      </c>
      <c r="W197" s="93">
        <v>8</v>
      </c>
      <c r="X197" s="186">
        <f>1154350.94+86784.85+184584.75+2375.69+233357.88+103518.34+75999.9+11927.72+4691.87</f>
        <v>1857591.94</v>
      </c>
      <c r="Y197" s="187">
        <v>0</v>
      </c>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row>
    <row r="198" spans="1:95" s="28" customFormat="1" ht="63.75" x14ac:dyDescent="0.25">
      <c r="A198" s="151">
        <v>23</v>
      </c>
      <c r="B198" s="62" t="s">
        <v>152</v>
      </c>
      <c r="C198" s="79">
        <v>118018</v>
      </c>
      <c r="D198" s="25" t="s">
        <v>379</v>
      </c>
      <c r="E198" s="22" t="s">
        <v>163</v>
      </c>
      <c r="F198" s="23" t="s">
        <v>164</v>
      </c>
      <c r="G198" s="59" t="s">
        <v>165</v>
      </c>
      <c r="H198" s="25">
        <v>42461</v>
      </c>
      <c r="I198" s="25">
        <v>42735</v>
      </c>
      <c r="J198" s="23" t="s">
        <v>115</v>
      </c>
      <c r="K198" s="23" t="s">
        <v>335</v>
      </c>
      <c r="L198" s="23" t="s">
        <v>477</v>
      </c>
      <c r="M198" s="23" t="s">
        <v>477</v>
      </c>
      <c r="N198" s="23" t="s">
        <v>116</v>
      </c>
      <c r="O198" s="94">
        <v>121</v>
      </c>
      <c r="P198" s="203">
        <v>37250.300000000003</v>
      </c>
      <c r="Q198" s="203">
        <v>0</v>
      </c>
      <c r="R198" s="203">
        <v>6731.4</v>
      </c>
      <c r="S198" s="203">
        <v>0</v>
      </c>
      <c r="T198" s="203">
        <v>2239.4299999999998</v>
      </c>
      <c r="U198" s="237">
        <f t="shared" si="24"/>
        <v>46221.130000000005</v>
      </c>
      <c r="V198" s="26" t="s">
        <v>318</v>
      </c>
      <c r="W198" s="23">
        <v>1</v>
      </c>
      <c r="X198" s="203">
        <v>37250.300000000003</v>
      </c>
      <c r="Y198" s="190">
        <v>0</v>
      </c>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row>
    <row r="199" spans="1:95" s="2" customFormat="1" ht="153" x14ac:dyDescent="0.25">
      <c r="A199" s="146">
        <v>24</v>
      </c>
      <c r="B199" s="61" t="s">
        <v>149</v>
      </c>
      <c r="C199" s="81">
        <v>119467</v>
      </c>
      <c r="D199" s="79" t="s">
        <v>380</v>
      </c>
      <c r="E199" s="4" t="s">
        <v>166</v>
      </c>
      <c r="F199" s="5" t="s">
        <v>298</v>
      </c>
      <c r="G199" s="16" t="s">
        <v>167</v>
      </c>
      <c r="H199" s="7">
        <v>42430</v>
      </c>
      <c r="I199" s="7">
        <v>45291</v>
      </c>
      <c r="J199" s="5" t="s">
        <v>115</v>
      </c>
      <c r="K199" s="23" t="s">
        <v>335</v>
      </c>
      <c r="L199" s="23" t="s">
        <v>477</v>
      </c>
      <c r="M199" s="23" t="s">
        <v>477</v>
      </c>
      <c r="N199" s="5" t="s">
        <v>116</v>
      </c>
      <c r="O199" s="5">
        <v>122</v>
      </c>
      <c r="P199" s="186">
        <f>3456468.8+0.02</f>
        <v>3456468.82</v>
      </c>
      <c r="Q199" s="197">
        <v>0</v>
      </c>
      <c r="R199" s="197">
        <f>624608.96-0.02</f>
        <v>624608.93999999994</v>
      </c>
      <c r="S199" s="197">
        <v>0</v>
      </c>
      <c r="T199" s="197">
        <v>0</v>
      </c>
      <c r="U199" s="233">
        <f t="shared" si="24"/>
        <v>4081077.76</v>
      </c>
      <c r="V199" s="8" t="s">
        <v>117</v>
      </c>
      <c r="W199" s="5">
        <v>2</v>
      </c>
      <c r="X199" s="197">
        <f>534881.73+234741.1+3951.85</f>
        <v>773574.67999999993</v>
      </c>
      <c r="Y199" s="218">
        <v>0</v>
      </c>
      <c r="Z199" s="3"/>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row>
    <row r="200" spans="1:95" s="2" customFormat="1" ht="102" x14ac:dyDescent="0.25">
      <c r="A200" s="151">
        <v>25</v>
      </c>
      <c r="B200" s="61" t="s">
        <v>168</v>
      </c>
      <c r="C200" s="81">
        <v>119466</v>
      </c>
      <c r="D200" s="81" t="s">
        <v>381</v>
      </c>
      <c r="E200" s="4" t="s">
        <v>169</v>
      </c>
      <c r="F200" s="5" t="s">
        <v>298</v>
      </c>
      <c r="G200" s="16" t="s">
        <v>170</v>
      </c>
      <c r="H200" s="7">
        <v>42461</v>
      </c>
      <c r="I200" s="7">
        <v>45291</v>
      </c>
      <c r="J200" s="5" t="s">
        <v>115</v>
      </c>
      <c r="K200" s="5" t="s">
        <v>335</v>
      </c>
      <c r="L200" s="5" t="s">
        <v>477</v>
      </c>
      <c r="M200" s="5" t="s">
        <v>477</v>
      </c>
      <c r="N200" s="5" t="s">
        <v>116</v>
      </c>
      <c r="O200" s="5">
        <v>122</v>
      </c>
      <c r="P200" s="197">
        <f>3615947.16+0.83</f>
        <v>3615947.99</v>
      </c>
      <c r="Q200" s="197">
        <v>0</v>
      </c>
      <c r="R200" s="197">
        <v>653427.98</v>
      </c>
      <c r="S200" s="197">
        <v>0</v>
      </c>
      <c r="T200" s="197">
        <v>0</v>
      </c>
      <c r="U200" s="233">
        <f t="shared" si="24"/>
        <v>4269375.9700000007</v>
      </c>
      <c r="V200" s="8" t="s">
        <v>117</v>
      </c>
      <c r="W200" s="5">
        <v>2</v>
      </c>
      <c r="X200" s="197">
        <v>0</v>
      </c>
      <c r="Y200" s="218">
        <v>0</v>
      </c>
      <c r="Z200" s="123"/>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row>
    <row r="201" spans="1:95" s="28" customFormat="1" ht="51" x14ac:dyDescent="0.25">
      <c r="A201" s="146">
        <v>26</v>
      </c>
      <c r="B201" s="62" t="s">
        <v>152</v>
      </c>
      <c r="C201" s="79">
        <v>119281</v>
      </c>
      <c r="D201" s="79" t="s">
        <v>382</v>
      </c>
      <c r="E201" s="22" t="s">
        <v>171</v>
      </c>
      <c r="F201" s="23" t="s">
        <v>172</v>
      </c>
      <c r="G201" s="59" t="s">
        <v>173</v>
      </c>
      <c r="H201" s="25">
        <v>42430</v>
      </c>
      <c r="I201" s="25">
        <v>44592</v>
      </c>
      <c r="J201" s="23" t="s">
        <v>115</v>
      </c>
      <c r="K201" s="23" t="s">
        <v>335</v>
      </c>
      <c r="L201" s="23" t="s">
        <v>477</v>
      </c>
      <c r="M201" s="23" t="s">
        <v>477</v>
      </c>
      <c r="N201" s="23" t="s">
        <v>116</v>
      </c>
      <c r="O201" s="23">
        <v>121</v>
      </c>
      <c r="P201" s="186">
        <f>4922333.04+0.01</f>
        <v>4922333.05</v>
      </c>
      <c r="Q201" s="186">
        <v>0</v>
      </c>
      <c r="R201" s="186">
        <v>889501.22</v>
      </c>
      <c r="S201" s="186">
        <v>0</v>
      </c>
      <c r="T201" s="186">
        <v>229427.24000000022</v>
      </c>
      <c r="U201" s="230">
        <f t="shared" si="24"/>
        <v>6041261.5099999998</v>
      </c>
      <c r="V201" s="26" t="s">
        <v>117</v>
      </c>
      <c r="W201" s="23">
        <v>5</v>
      </c>
      <c r="X201" s="186">
        <f>850418.69+40941.02+21806.28+230745.67+26127.43+150405.92+42743.51+56988.61+16189.86+15138.49+36136.3+311.38+14306.42</f>
        <v>1502259.5799999998</v>
      </c>
      <c r="Y201" s="190">
        <v>0</v>
      </c>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row>
    <row r="202" spans="1:95" s="28" customFormat="1" ht="51" x14ac:dyDescent="0.25">
      <c r="A202" s="153">
        <v>27</v>
      </c>
      <c r="B202" s="62" t="s">
        <v>174</v>
      </c>
      <c r="C202" s="79">
        <v>116829</v>
      </c>
      <c r="D202" s="25" t="s">
        <v>383</v>
      </c>
      <c r="E202" s="22" t="s">
        <v>175</v>
      </c>
      <c r="F202" s="23" t="s">
        <v>176</v>
      </c>
      <c r="G202" s="59" t="s">
        <v>177</v>
      </c>
      <c r="H202" s="25">
        <v>42370</v>
      </c>
      <c r="I202" s="25">
        <v>42794</v>
      </c>
      <c r="J202" s="23" t="s">
        <v>115</v>
      </c>
      <c r="K202" s="23" t="s">
        <v>335</v>
      </c>
      <c r="L202" s="23" t="s">
        <v>477</v>
      </c>
      <c r="M202" s="23" t="s">
        <v>477</v>
      </c>
      <c r="N202" s="23" t="s">
        <v>116</v>
      </c>
      <c r="O202" s="23">
        <v>121</v>
      </c>
      <c r="P202" s="186">
        <v>55417.120000000003</v>
      </c>
      <c r="Q202" s="186">
        <v>0</v>
      </c>
      <c r="R202" s="186">
        <v>10014.27</v>
      </c>
      <c r="S202" s="186">
        <v>0</v>
      </c>
      <c r="T202" s="186">
        <v>0</v>
      </c>
      <c r="U202" s="230">
        <f t="shared" si="24"/>
        <v>65431.39</v>
      </c>
      <c r="V202" s="26" t="s">
        <v>318</v>
      </c>
      <c r="W202" s="23">
        <v>0</v>
      </c>
      <c r="X202" s="186">
        <v>55417.120000000003</v>
      </c>
      <c r="Y202" s="190">
        <v>0</v>
      </c>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row>
    <row r="203" spans="1:95" s="28" customFormat="1" ht="129" customHeight="1" x14ac:dyDescent="0.25">
      <c r="A203" s="146">
        <v>28</v>
      </c>
      <c r="B203" s="62" t="s">
        <v>152</v>
      </c>
      <c r="C203" s="79">
        <v>117322</v>
      </c>
      <c r="D203" s="25" t="s">
        <v>384</v>
      </c>
      <c r="E203" s="22" t="s">
        <v>291</v>
      </c>
      <c r="F203" s="23" t="s">
        <v>176</v>
      </c>
      <c r="G203" s="59" t="s">
        <v>292</v>
      </c>
      <c r="H203" s="25">
        <v>42430</v>
      </c>
      <c r="I203" s="25">
        <v>42825</v>
      </c>
      <c r="J203" s="23" t="s">
        <v>115</v>
      </c>
      <c r="K203" s="23" t="s">
        <v>335</v>
      </c>
      <c r="L203" s="23" t="s">
        <v>477</v>
      </c>
      <c r="M203" s="23" t="s">
        <v>477</v>
      </c>
      <c r="N203" s="23" t="s">
        <v>116</v>
      </c>
      <c r="O203" s="23">
        <v>121</v>
      </c>
      <c r="P203" s="186">
        <v>444243.43</v>
      </c>
      <c r="Q203" s="186">
        <v>0</v>
      </c>
      <c r="R203" s="186">
        <v>80278</v>
      </c>
      <c r="S203" s="186">
        <v>0</v>
      </c>
      <c r="T203" s="186">
        <v>0</v>
      </c>
      <c r="U203" s="230">
        <f t="shared" si="24"/>
        <v>524521.42999999993</v>
      </c>
      <c r="V203" s="26" t="s">
        <v>318</v>
      </c>
      <c r="W203" s="23">
        <v>0</v>
      </c>
      <c r="X203" s="186">
        <v>444243.43</v>
      </c>
      <c r="Y203" s="190">
        <v>0</v>
      </c>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row>
    <row r="204" spans="1:95" s="28" customFormat="1" ht="38.25" x14ac:dyDescent="0.25">
      <c r="A204" s="153">
        <v>29</v>
      </c>
      <c r="B204" s="62" t="s">
        <v>174</v>
      </c>
      <c r="C204" s="79">
        <v>117299</v>
      </c>
      <c r="D204" s="25" t="s">
        <v>385</v>
      </c>
      <c r="E204" s="22" t="s">
        <v>178</v>
      </c>
      <c r="F204" s="23" t="s">
        <v>176</v>
      </c>
      <c r="G204" s="59" t="s">
        <v>179</v>
      </c>
      <c r="H204" s="25">
        <v>42370</v>
      </c>
      <c r="I204" s="25">
        <v>42853</v>
      </c>
      <c r="J204" s="23" t="s">
        <v>115</v>
      </c>
      <c r="K204" s="23" t="s">
        <v>335</v>
      </c>
      <c r="L204" s="23" t="s">
        <v>477</v>
      </c>
      <c r="M204" s="23" t="s">
        <v>477</v>
      </c>
      <c r="N204" s="23" t="s">
        <v>116</v>
      </c>
      <c r="O204" s="23">
        <v>121</v>
      </c>
      <c r="P204" s="186">
        <v>99340.43</v>
      </c>
      <c r="Q204" s="186">
        <v>0</v>
      </c>
      <c r="R204" s="186">
        <v>17951.53</v>
      </c>
      <c r="S204" s="186">
        <v>0</v>
      </c>
      <c r="T204" s="186">
        <v>2081.44</v>
      </c>
      <c r="U204" s="230">
        <f t="shared" si="24"/>
        <v>119373.4</v>
      </c>
      <c r="V204" s="26" t="s">
        <v>318</v>
      </c>
      <c r="W204" s="23">
        <v>0</v>
      </c>
      <c r="X204" s="186">
        <v>99340.43</v>
      </c>
      <c r="Y204" s="190">
        <v>0</v>
      </c>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row>
    <row r="205" spans="1:95" s="28" customFormat="1" ht="89.25" customHeight="1" x14ac:dyDescent="0.25">
      <c r="A205" s="146">
        <v>30</v>
      </c>
      <c r="B205" s="29" t="s">
        <v>152</v>
      </c>
      <c r="C205" s="29" t="s">
        <v>651</v>
      </c>
      <c r="D205" s="29" t="s">
        <v>386</v>
      </c>
      <c r="E205" s="22" t="s">
        <v>191</v>
      </c>
      <c r="F205" s="23" t="s">
        <v>154</v>
      </c>
      <c r="G205" s="59" t="s">
        <v>192</v>
      </c>
      <c r="H205" s="25">
        <v>42795</v>
      </c>
      <c r="I205" s="25">
        <v>45291</v>
      </c>
      <c r="J205" s="23" t="s">
        <v>115</v>
      </c>
      <c r="K205" s="23" t="s">
        <v>335</v>
      </c>
      <c r="L205" s="23" t="s">
        <v>477</v>
      </c>
      <c r="M205" s="23" t="s">
        <v>477</v>
      </c>
      <c r="N205" s="23" t="s">
        <v>116</v>
      </c>
      <c r="O205" s="23">
        <v>121</v>
      </c>
      <c r="P205" s="186">
        <f>8579566.23-76366.34</f>
        <v>8503199.8900000006</v>
      </c>
      <c r="Q205" s="186">
        <v>0</v>
      </c>
      <c r="R205" s="186">
        <f>1550389.77-13799.95</f>
        <v>1536589.82</v>
      </c>
      <c r="S205" s="186">
        <v>0</v>
      </c>
      <c r="T205" s="186">
        <v>0</v>
      </c>
      <c r="U205" s="230">
        <f t="shared" si="24"/>
        <v>10039789.710000001</v>
      </c>
      <c r="V205" s="26" t="s">
        <v>117</v>
      </c>
      <c r="W205" s="23">
        <v>5</v>
      </c>
      <c r="X205" s="201">
        <v>59182.15</v>
      </c>
      <c r="Y205" s="190">
        <v>10694.65</v>
      </c>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row>
    <row r="206" spans="1:95" s="28" customFormat="1" ht="153" x14ac:dyDescent="0.25">
      <c r="A206" s="151">
        <v>31</v>
      </c>
      <c r="B206" s="29" t="s">
        <v>152</v>
      </c>
      <c r="C206" s="29" t="s">
        <v>652</v>
      </c>
      <c r="D206" s="29" t="s">
        <v>387</v>
      </c>
      <c r="E206" s="22" t="s">
        <v>203</v>
      </c>
      <c r="F206" s="23" t="s">
        <v>204</v>
      </c>
      <c r="G206" s="59" t="s">
        <v>205</v>
      </c>
      <c r="H206" s="25">
        <v>42248</v>
      </c>
      <c r="I206" s="25">
        <v>44255</v>
      </c>
      <c r="J206" s="23" t="s">
        <v>115</v>
      </c>
      <c r="K206" s="23" t="s">
        <v>335</v>
      </c>
      <c r="L206" s="23" t="s">
        <v>477</v>
      </c>
      <c r="M206" s="23" t="s">
        <v>477</v>
      </c>
      <c r="N206" s="23" t="s">
        <v>116</v>
      </c>
      <c r="O206" s="23">
        <v>121</v>
      </c>
      <c r="P206" s="186">
        <v>7768950.4900000002</v>
      </c>
      <c r="Q206" s="186">
        <v>0</v>
      </c>
      <c r="R206" s="186">
        <v>1403905.63</v>
      </c>
      <c r="S206" s="186">
        <v>0</v>
      </c>
      <c r="T206" s="186">
        <v>1800</v>
      </c>
      <c r="U206" s="230">
        <f t="shared" si="24"/>
        <v>9174656.120000001</v>
      </c>
      <c r="V206" s="26" t="s">
        <v>117</v>
      </c>
      <c r="W206" s="93">
        <v>3</v>
      </c>
      <c r="X206" s="186">
        <f>10177.48+1076417.79+461279.14+256402.26+1078824.59</f>
        <v>2883101.2600000002</v>
      </c>
      <c r="Y206" s="187">
        <v>0</v>
      </c>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row>
    <row r="207" spans="1:95" s="2" customFormat="1" ht="89.25" x14ac:dyDescent="0.25">
      <c r="A207" s="146">
        <v>32</v>
      </c>
      <c r="B207" s="15" t="s">
        <v>227</v>
      </c>
      <c r="C207" s="15" t="s">
        <v>653</v>
      </c>
      <c r="D207" s="29" t="s">
        <v>388</v>
      </c>
      <c r="E207" s="4" t="s">
        <v>228</v>
      </c>
      <c r="F207" s="5" t="s">
        <v>176</v>
      </c>
      <c r="G207" s="16" t="s">
        <v>229</v>
      </c>
      <c r="H207" s="7">
        <v>42381</v>
      </c>
      <c r="I207" s="7">
        <v>45291</v>
      </c>
      <c r="J207" s="5" t="s">
        <v>115</v>
      </c>
      <c r="K207" s="23" t="s">
        <v>335</v>
      </c>
      <c r="L207" s="23" t="s">
        <v>477</v>
      </c>
      <c r="M207" s="23" t="s">
        <v>477</v>
      </c>
      <c r="N207" s="5" t="s">
        <v>116</v>
      </c>
      <c r="O207" s="5">
        <v>121</v>
      </c>
      <c r="P207" s="186">
        <v>17369854.27</v>
      </c>
      <c r="Q207" s="197">
        <v>0</v>
      </c>
      <c r="R207" s="197">
        <v>3138858.49</v>
      </c>
      <c r="S207" s="197">
        <v>0</v>
      </c>
      <c r="T207" s="197">
        <v>0</v>
      </c>
      <c r="U207" s="233">
        <f t="shared" si="24"/>
        <v>20508712.759999998</v>
      </c>
      <c r="V207" s="8" t="str">
        <f t="shared" ref="V207:V209" si="25">V206</f>
        <v>în implementare</v>
      </c>
      <c r="W207" s="23">
        <v>2</v>
      </c>
      <c r="X207" s="203">
        <f>1209914.43+215758.73+297306.78+155532.97+833642.2+143190.49+103582.39+254490.26</f>
        <v>3213418.25</v>
      </c>
      <c r="Y207" s="218">
        <v>0</v>
      </c>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row>
    <row r="208" spans="1:95" s="2" customFormat="1" ht="63.75" x14ac:dyDescent="0.25">
      <c r="A208" s="151">
        <v>33</v>
      </c>
      <c r="B208" s="15" t="s">
        <v>230</v>
      </c>
      <c r="C208" s="15" t="s">
        <v>654</v>
      </c>
      <c r="D208" s="15" t="s">
        <v>389</v>
      </c>
      <c r="E208" s="4" t="s">
        <v>231</v>
      </c>
      <c r="F208" s="5" t="s">
        <v>298</v>
      </c>
      <c r="G208" s="16" t="s">
        <v>232</v>
      </c>
      <c r="H208" s="7">
        <v>42522</v>
      </c>
      <c r="I208" s="7">
        <v>45291</v>
      </c>
      <c r="J208" s="5" t="s">
        <v>115</v>
      </c>
      <c r="K208" s="23" t="s">
        <v>335</v>
      </c>
      <c r="L208" s="23" t="s">
        <v>477</v>
      </c>
      <c r="M208" s="23" t="s">
        <v>477</v>
      </c>
      <c r="N208" s="5" t="s">
        <v>116</v>
      </c>
      <c r="O208" s="5">
        <v>122</v>
      </c>
      <c r="P208" s="201">
        <f>7768829.1-670474.37</f>
        <v>7098354.7299999995</v>
      </c>
      <c r="Q208" s="201">
        <v>0</v>
      </c>
      <c r="R208" s="201">
        <v>1282724.1100000001</v>
      </c>
      <c r="S208" s="186">
        <v>0</v>
      </c>
      <c r="T208" s="186">
        <v>0</v>
      </c>
      <c r="U208" s="230">
        <f t="shared" si="24"/>
        <v>8381078.8399999999</v>
      </c>
      <c r="V208" s="26" t="str">
        <f t="shared" si="25"/>
        <v>în implementare</v>
      </c>
      <c r="W208" s="23">
        <v>2</v>
      </c>
      <c r="X208" s="213">
        <v>234442.25</v>
      </c>
      <c r="Y208" s="218">
        <v>0</v>
      </c>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row>
    <row r="209" spans="1:95" s="56" customFormat="1" ht="106.5" customHeight="1" x14ac:dyDescent="0.25">
      <c r="A209" s="146">
        <v>34</v>
      </c>
      <c r="B209" s="15" t="s">
        <v>227</v>
      </c>
      <c r="C209" s="15" t="s">
        <v>655</v>
      </c>
      <c r="D209" s="15" t="s">
        <v>390</v>
      </c>
      <c r="E209" s="4" t="s">
        <v>239</v>
      </c>
      <c r="F209" s="5" t="s">
        <v>240</v>
      </c>
      <c r="G209" s="16" t="s">
        <v>241</v>
      </c>
      <c r="H209" s="7">
        <v>42856</v>
      </c>
      <c r="I209" s="7">
        <v>44561</v>
      </c>
      <c r="J209" s="5" t="s">
        <v>115</v>
      </c>
      <c r="K209" s="23" t="s">
        <v>335</v>
      </c>
      <c r="L209" s="23" t="s">
        <v>477</v>
      </c>
      <c r="M209" s="23" t="s">
        <v>477</v>
      </c>
      <c r="N209" s="5" t="s">
        <v>116</v>
      </c>
      <c r="O209" s="58">
        <v>121</v>
      </c>
      <c r="P209" s="186">
        <v>720244.87</v>
      </c>
      <c r="Q209" s="197">
        <v>0</v>
      </c>
      <c r="R209" s="197">
        <v>130153.46</v>
      </c>
      <c r="S209" s="248">
        <v>0</v>
      </c>
      <c r="T209" s="197">
        <v>0</v>
      </c>
      <c r="U209" s="233">
        <f t="shared" si="24"/>
        <v>850398.33</v>
      </c>
      <c r="V209" s="8" t="str">
        <f t="shared" si="25"/>
        <v>în implementare</v>
      </c>
      <c r="W209" s="58">
        <v>2</v>
      </c>
      <c r="X209" s="186">
        <f>43607.39+24746.98+41576.49+22890.91+23256.85+31797.98+41258+19125.52+8646.51+3757.25</f>
        <v>260663.88</v>
      </c>
      <c r="Y209" s="219">
        <v>0</v>
      </c>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57"/>
    </row>
    <row r="210" spans="1:95" s="28" customFormat="1" ht="161.25" customHeight="1" x14ac:dyDescent="0.25">
      <c r="A210" s="153">
        <v>35</v>
      </c>
      <c r="B210" s="71" t="s">
        <v>242</v>
      </c>
      <c r="C210" s="71" t="s">
        <v>656</v>
      </c>
      <c r="D210" s="71" t="s">
        <v>391</v>
      </c>
      <c r="E210" s="22" t="s">
        <v>243</v>
      </c>
      <c r="F210" s="23" t="s">
        <v>244</v>
      </c>
      <c r="G210" s="59" t="s">
        <v>245</v>
      </c>
      <c r="H210" s="25">
        <v>42491</v>
      </c>
      <c r="I210" s="25">
        <v>43008</v>
      </c>
      <c r="J210" s="23" t="s">
        <v>115</v>
      </c>
      <c r="K210" s="23" t="s">
        <v>335</v>
      </c>
      <c r="L210" s="23" t="s">
        <v>477</v>
      </c>
      <c r="M210" s="23" t="s">
        <v>477</v>
      </c>
      <c r="N210" s="23" t="s">
        <v>116</v>
      </c>
      <c r="O210" s="93">
        <v>121</v>
      </c>
      <c r="P210" s="249">
        <v>940622.01</v>
      </c>
      <c r="Q210" s="249">
        <v>0</v>
      </c>
      <c r="R210" s="249">
        <v>169977.21</v>
      </c>
      <c r="S210" s="250">
        <v>0</v>
      </c>
      <c r="T210" s="236">
        <v>459409.82</v>
      </c>
      <c r="U210" s="230">
        <f t="shared" si="24"/>
        <v>1570009.04</v>
      </c>
      <c r="V210" s="26" t="s">
        <v>318</v>
      </c>
      <c r="W210" s="23">
        <v>3</v>
      </c>
      <c r="X210" s="203">
        <v>940622.01</v>
      </c>
      <c r="Y210" s="190">
        <v>0</v>
      </c>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row>
    <row r="211" spans="1:95" s="28" customFormat="1" ht="63.75" x14ac:dyDescent="0.25">
      <c r="A211" s="146">
        <v>36</v>
      </c>
      <c r="B211" s="71" t="s">
        <v>248</v>
      </c>
      <c r="C211" s="71" t="s">
        <v>657</v>
      </c>
      <c r="D211" s="71" t="s">
        <v>392</v>
      </c>
      <c r="E211" s="22" t="s">
        <v>246</v>
      </c>
      <c r="F211" s="23" t="s">
        <v>154</v>
      </c>
      <c r="G211" s="59" t="s">
        <v>247</v>
      </c>
      <c r="H211" s="25">
        <v>42339</v>
      </c>
      <c r="I211" s="25">
        <v>43100</v>
      </c>
      <c r="J211" s="23" t="s">
        <v>115</v>
      </c>
      <c r="K211" s="23" t="s">
        <v>335</v>
      </c>
      <c r="L211" s="23" t="s">
        <v>477</v>
      </c>
      <c r="M211" s="23" t="s">
        <v>477</v>
      </c>
      <c r="N211" s="23" t="s">
        <v>116</v>
      </c>
      <c r="O211" s="93">
        <v>121</v>
      </c>
      <c r="P211" s="236">
        <v>10576497.65</v>
      </c>
      <c r="Q211" s="236">
        <v>0</v>
      </c>
      <c r="R211" s="236">
        <v>1911249.74</v>
      </c>
      <c r="S211" s="250">
        <v>0</v>
      </c>
      <c r="T211" s="236">
        <v>0</v>
      </c>
      <c r="U211" s="230">
        <f t="shared" si="24"/>
        <v>12487747.390000001</v>
      </c>
      <c r="V211" s="26" t="s">
        <v>318</v>
      </c>
      <c r="W211" s="23">
        <v>2</v>
      </c>
      <c r="X211" s="186">
        <v>10576497.65</v>
      </c>
      <c r="Y211" s="190">
        <v>0</v>
      </c>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row>
    <row r="212" spans="1:95" s="28" customFormat="1" ht="76.5" x14ac:dyDescent="0.25">
      <c r="A212" s="153">
        <v>37</v>
      </c>
      <c r="B212" s="71" t="s">
        <v>248</v>
      </c>
      <c r="C212" s="71" t="s">
        <v>658</v>
      </c>
      <c r="D212" s="71" t="s">
        <v>393</v>
      </c>
      <c r="E212" s="22" t="s">
        <v>249</v>
      </c>
      <c r="F212" s="23" t="s">
        <v>176</v>
      </c>
      <c r="G212" s="54" t="s">
        <v>250</v>
      </c>
      <c r="H212" s="42">
        <v>42339</v>
      </c>
      <c r="I212" s="42">
        <v>43100</v>
      </c>
      <c r="J212" s="40" t="s">
        <v>115</v>
      </c>
      <c r="K212" s="23" t="s">
        <v>335</v>
      </c>
      <c r="L212" s="23" t="s">
        <v>477</v>
      </c>
      <c r="M212" s="23" t="s">
        <v>477</v>
      </c>
      <c r="N212" s="40" t="s">
        <v>116</v>
      </c>
      <c r="O212" s="40">
        <v>121</v>
      </c>
      <c r="P212" s="251">
        <v>144295811.75</v>
      </c>
      <c r="Q212" s="251">
        <v>0</v>
      </c>
      <c r="R212" s="251">
        <v>26075298.41</v>
      </c>
      <c r="S212" s="249">
        <v>0</v>
      </c>
      <c r="T212" s="249">
        <v>5821988</v>
      </c>
      <c r="U212" s="235">
        <f t="shared" si="24"/>
        <v>176193098.16</v>
      </c>
      <c r="V212" s="43" t="s">
        <v>318</v>
      </c>
      <c r="W212" s="40">
        <v>3</v>
      </c>
      <c r="X212" s="186">
        <v>144295811.75</v>
      </c>
      <c r="Y212" s="190">
        <v>0</v>
      </c>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row>
    <row r="213" spans="1:95" s="28" customFormat="1" ht="102" x14ac:dyDescent="0.25">
      <c r="A213" s="146">
        <v>38</v>
      </c>
      <c r="B213" s="71" t="s">
        <v>251</v>
      </c>
      <c r="C213" s="71" t="s">
        <v>659</v>
      </c>
      <c r="D213" s="71" t="s">
        <v>394</v>
      </c>
      <c r="E213" s="22" t="s">
        <v>252</v>
      </c>
      <c r="F213" s="23" t="s">
        <v>253</v>
      </c>
      <c r="G213" s="59" t="s">
        <v>254</v>
      </c>
      <c r="H213" s="25">
        <v>42583</v>
      </c>
      <c r="I213" s="25">
        <v>43646</v>
      </c>
      <c r="J213" s="23" t="s">
        <v>115</v>
      </c>
      <c r="K213" s="23" t="s">
        <v>335</v>
      </c>
      <c r="L213" s="23" t="s">
        <v>477</v>
      </c>
      <c r="M213" s="23" t="s">
        <v>477</v>
      </c>
      <c r="N213" s="23" t="s">
        <v>116</v>
      </c>
      <c r="O213" s="93">
        <v>121</v>
      </c>
      <c r="P213" s="236">
        <f>2959739.87-101331.2</f>
        <v>2858408.67</v>
      </c>
      <c r="Q213" s="236">
        <v>0</v>
      </c>
      <c r="R213" s="236">
        <f>534846.45-18311.28</f>
        <v>516535.16999999993</v>
      </c>
      <c r="S213" s="236">
        <v>0</v>
      </c>
      <c r="T213" s="236">
        <f>49786.01+9399.72</f>
        <v>59185.73</v>
      </c>
      <c r="U213" s="252">
        <f t="shared" si="24"/>
        <v>3434129.57</v>
      </c>
      <c r="V213" s="26" t="s">
        <v>318</v>
      </c>
      <c r="W213" s="23">
        <v>5</v>
      </c>
      <c r="X213" s="186">
        <f>2591154.12+275215.64</f>
        <v>2866369.7600000002</v>
      </c>
      <c r="Y213" s="190">
        <v>0</v>
      </c>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row>
    <row r="214" spans="1:95" s="28" customFormat="1" ht="89.25" x14ac:dyDescent="0.25">
      <c r="A214" s="153">
        <v>39</v>
      </c>
      <c r="B214" s="71" t="s">
        <v>251</v>
      </c>
      <c r="C214" s="71" t="s">
        <v>660</v>
      </c>
      <c r="D214" s="71" t="s">
        <v>395</v>
      </c>
      <c r="E214" s="22" t="s">
        <v>255</v>
      </c>
      <c r="F214" s="23" t="s">
        <v>172</v>
      </c>
      <c r="G214" s="85" t="s">
        <v>256</v>
      </c>
      <c r="H214" s="86">
        <v>42278</v>
      </c>
      <c r="I214" s="86">
        <v>43465</v>
      </c>
      <c r="J214" s="94" t="s">
        <v>115</v>
      </c>
      <c r="K214" s="23" t="s">
        <v>335</v>
      </c>
      <c r="L214" s="23" t="s">
        <v>477</v>
      </c>
      <c r="M214" s="23" t="s">
        <v>477</v>
      </c>
      <c r="N214" s="94" t="s">
        <v>116</v>
      </c>
      <c r="O214" s="94">
        <v>121</v>
      </c>
      <c r="P214" s="253">
        <v>865540.03</v>
      </c>
      <c r="Q214" s="253">
        <v>0</v>
      </c>
      <c r="R214" s="253">
        <v>156409.37</v>
      </c>
      <c r="S214" s="253">
        <v>0</v>
      </c>
      <c r="T214" s="253">
        <v>183030.85</v>
      </c>
      <c r="U214" s="237">
        <f t="shared" si="24"/>
        <v>1204980.25</v>
      </c>
      <c r="V214" s="111" t="s">
        <v>318</v>
      </c>
      <c r="W214" s="94">
        <v>3</v>
      </c>
      <c r="X214" s="186">
        <f>267134.63+400812.57+18292.54+179300.29</f>
        <v>865540.03</v>
      </c>
      <c r="Y214" s="190">
        <v>0</v>
      </c>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row>
    <row r="215" spans="1:95" s="28" customFormat="1" ht="51" x14ac:dyDescent="0.25">
      <c r="A215" s="146">
        <v>40</v>
      </c>
      <c r="B215" s="71" t="s">
        <v>257</v>
      </c>
      <c r="C215" s="141" t="s">
        <v>661</v>
      </c>
      <c r="D215" s="156" t="s">
        <v>396</v>
      </c>
      <c r="E215" s="140" t="s">
        <v>574</v>
      </c>
      <c r="F215" s="157" t="s">
        <v>204</v>
      </c>
      <c r="G215" s="158" t="s">
        <v>258</v>
      </c>
      <c r="H215" s="156">
        <v>42339</v>
      </c>
      <c r="I215" s="156">
        <v>43100</v>
      </c>
      <c r="J215" s="157" t="s">
        <v>115</v>
      </c>
      <c r="K215" s="157" t="s">
        <v>335</v>
      </c>
      <c r="L215" s="157" t="s">
        <v>477</v>
      </c>
      <c r="M215" s="157" t="s">
        <v>477</v>
      </c>
      <c r="N215" s="157" t="s">
        <v>116</v>
      </c>
      <c r="O215" s="157">
        <v>121</v>
      </c>
      <c r="P215" s="254">
        <v>11507286.039999999</v>
      </c>
      <c r="Q215" s="254">
        <v>0</v>
      </c>
      <c r="R215" s="254">
        <v>2079449.96</v>
      </c>
      <c r="S215" s="254">
        <v>0</v>
      </c>
      <c r="T215" s="254">
        <v>918</v>
      </c>
      <c r="U215" s="255">
        <f t="shared" si="24"/>
        <v>13587654</v>
      </c>
      <c r="V215" s="159" t="s">
        <v>318</v>
      </c>
      <c r="W215" s="157">
        <v>2</v>
      </c>
      <c r="X215" s="220">
        <v>11507286.039999999</v>
      </c>
      <c r="Y215" s="190">
        <v>0</v>
      </c>
      <c r="Z215" s="120"/>
      <c r="AA215" s="121"/>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row>
    <row r="216" spans="1:95" s="28" customFormat="1" ht="63.75" x14ac:dyDescent="0.25">
      <c r="A216" s="153">
        <v>41</v>
      </c>
      <c r="B216" s="71" t="s">
        <v>251</v>
      </c>
      <c r="C216" s="71" t="s">
        <v>662</v>
      </c>
      <c r="D216" s="71" t="s">
        <v>397</v>
      </c>
      <c r="E216" s="22" t="s">
        <v>274</v>
      </c>
      <c r="F216" s="23" t="s">
        <v>299</v>
      </c>
      <c r="G216" s="59" t="s">
        <v>275</v>
      </c>
      <c r="H216" s="25">
        <v>42339</v>
      </c>
      <c r="I216" s="25">
        <v>44561</v>
      </c>
      <c r="J216" s="23" t="s">
        <v>115</v>
      </c>
      <c r="K216" s="23" t="s">
        <v>335</v>
      </c>
      <c r="L216" s="23" t="s">
        <v>477</v>
      </c>
      <c r="M216" s="23" t="s">
        <v>477</v>
      </c>
      <c r="N216" s="23" t="s">
        <v>116</v>
      </c>
      <c r="O216" s="23">
        <v>121</v>
      </c>
      <c r="P216" s="236">
        <f>9152078.24-0.01</f>
        <v>9152078.2300000004</v>
      </c>
      <c r="Q216" s="236">
        <v>0</v>
      </c>
      <c r="R216" s="236">
        <v>1653846.82</v>
      </c>
      <c r="S216" s="236">
        <v>0</v>
      </c>
      <c r="T216" s="236">
        <v>170471.8</v>
      </c>
      <c r="U216" s="230">
        <f t="shared" si="24"/>
        <v>10976396.850000001</v>
      </c>
      <c r="V216" s="26" t="s">
        <v>117</v>
      </c>
      <c r="W216" s="23">
        <v>6</v>
      </c>
      <c r="X216" s="201">
        <f>2096887.21+349779.04+68783.3+354183.51+76406.28+459158.2</f>
        <v>3405197.5399999996</v>
      </c>
      <c r="Y216" s="190">
        <v>0</v>
      </c>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row>
    <row r="217" spans="1:95" s="28" customFormat="1" ht="64.5" customHeight="1" x14ac:dyDescent="0.25">
      <c r="A217" s="146">
        <v>42</v>
      </c>
      <c r="B217" s="71" t="s">
        <v>251</v>
      </c>
      <c r="C217" s="71" t="s">
        <v>663</v>
      </c>
      <c r="D217" s="71" t="s">
        <v>398</v>
      </c>
      <c r="E217" s="22" t="s">
        <v>276</v>
      </c>
      <c r="F217" s="23" t="s">
        <v>154</v>
      </c>
      <c r="G217" s="59" t="s">
        <v>277</v>
      </c>
      <c r="H217" s="25">
        <v>42917</v>
      </c>
      <c r="I217" s="7">
        <v>44104</v>
      </c>
      <c r="J217" s="23" t="s">
        <v>115</v>
      </c>
      <c r="K217" s="23" t="s">
        <v>335</v>
      </c>
      <c r="L217" s="23" t="s">
        <v>477</v>
      </c>
      <c r="M217" s="23" t="s">
        <v>477</v>
      </c>
      <c r="N217" s="23" t="s">
        <v>116</v>
      </c>
      <c r="O217" s="23">
        <v>121</v>
      </c>
      <c r="P217" s="236">
        <v>631316.53</v>
      </c>
      <c r="Q217" s="236">
        <v>42312.81</v>
      </c>
      <c r="R217" s="236">
        <v>71770.649999999994</v>
      </c>
      <c r="S217" s="236">
        <v>0</v>
      </c>
      <c r="T217" s="236">
        <v>0</v>
      </c>
      <c r="U217" s="230">
        <f t="shared" si="24"/>
        <v>745399.99000000011</v>
      </c>
      <c r="V217" s="8" t="s">
        <v>757</v>
      </c>
      <c r="W217" s="93">
        <v>6</v>
      </c>
      <c r="X217" s="186">
        <f>22181.77+275.96+194666.38+11782.62+5244.43</f>
        <v>234151.16</v>
      </c>
      <c r="Y217" s="187">
        <v>0</v>
      </c>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row>
    <row r="218" spans="1:95" s="28" customFormat="1" ht="51" x14ac:dyDescent="0.25">
      <c r="A218" s="153">
        <v>43</v>
      </c>
      <c r="B218" s="71" t="s">
        <v>257</v>
      </c>
      <c r="C218" s="141" t="s">
        <v>664</v>
      </c>
      <c r="D218" s="141" t="s">
        <v>399</v>
      </c>
      <c r="E218" s="140" t="s">
        <v>281</v>
      </c>
      <c r="F218" s="157" t="s">
        <v>253</v>
      </c>
      <c r="G218" s="158" t="s">
        <v>282</v>
      </c>
      <c r="H218" s="156">
        <v>43070</v>
      </c>
      <c r="I218" s="156">
        <v>44561</v>
      </c>
      <c r="J218" s="157" t="s">
        <v>115</v>
      </c>
      <c r="K218" s="157" t="s">
        <v>335</v>
      </c>
      <c r="L218" s="157" t="s">
        <v>477</v>
      </c>
      <c r="M218" s="157" t="s">
        <v>477</v>
      </c>
      <c r="N218" s="139" t="s">
        <v>116</v>
      </c>
      <c r="O218" s="139">
        <v>121</v>
      </c>
      <c r="P218" s="256">
        <v>113806037.64</v>
      </c>
      <c r="Q218" s="256">
        <v>0</v>
      </c>
      <c r="R218" s="256">
        <v>20465046.18</v>
      </c>
      <c r="S218" s="256">
        <v>0</v>
      </c>
      <c r="T218" s="256">
        <v>22489575.600000001</v>
      </c>
      <c r="U218" s="257">
        <f t="shared" si="24"/>
        <v>156760659.41999999</v>
      </c>
      <c r="V218" s="159" t="s">
        <v>117</v>
      </c>
      <c r="W218" s="160">
        <v>3</v>
      </c>
      <c r="X218" s="220">
        <f>66676825.76+2851872.2+2854786.2+3290545.29+3411334.51+3142227.4+3253532.14+3406148.99+3405591.28+3273460.54+3224690.55+3194807.28</f>
        <v>101985822.14000002</v>
      </c>
      <c r="Y218" s="187">
        <v>0</v>
      </c>
      <c r="Z218" s="120"/>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row>
    <row r="219" spans="1:95" s="28" customFormat="1" ht="63.75" x14ac:dyDescent="0.25">
      <c r="A219" s="146">
        <v>44</v>
      </c>
      <c r="B219" s="71" t="s">
        <v>257</v>
      </c>
      <c r="C219" s="71" t="s">
        <v>665</v>
      </c>
      <c r="D219" s="71" t="s">
        <v>400</v>
      </c>
      <c r="E219" s="22" t="s">
        <v>283</v>
      </c>
      <c r="F219" s="23" t="s">
        <v>154</v>
      </c>
      <c r="G219" s="59" t="s">
        <v>284</v>
      </c>
      <c r="H219" s="25">
        <v>43070</v>
      </c>
      <c r="I219" s="25">
        <v>44196</v>
      </c>
      <c r="J219" s="23" t="s">
        <v>115</v>
      </c>
      <c r="K219" s="23" t="s">
        <v>335</v>
      </c>
      <c r="L219" s="23" t="s">
        <v>477</v>
      </c>
      <c r="M219" s="23" t="s">
        <v>477</v>
      </c>
      <c r="N219" s="23" t="s">
        <v>116</v>
      </c>
      <c r="O219" s="23">
        <v>121</v>
      </c>
      <c r="P219" s="236">
        <f>19706799.91+650417.22</f>
        <v>20357217.129999999</v>
      </c>
      <c r="Q219" s="236">
        <v>0</v>
      </c>
      <c r="R219" s="236">
        <f>3543753.74+116960.55</f>
        <v>3660714.29</v>
      </c>
      <c r="S219" s="236">
        <v>0</v>
      </c>
      <c r="T219" s="236">
        <f>644507.9+377252.26</f>
        <v>1021760.16</v>
      </c>
      <c r="U219" s="230">
        <f t="shared" si="24"/>
        <v>25039691.579999998</v>
      </c>
      <c r="V219" s="26" t="s">
        <v>117</v>
      </c>
      <c r="W219" s="93">
        <v>3</v>
      </c>
      <c r="X219" s="220">
        <f>5825153.71+523463.71+573561.87+578208.32+583893.92+594437.86+576675.89+580587.49+575949.51+572621.05+582022.45+582314.02+586719.76+575505.38+532657.46+3473140.34</f>
        <v>17316912.740000002</v>
      </c>
      <c r="Y219" s="187">
        <v>624553.66</v>
      </c>
      <c r="Z219" s="120"/>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row>
    <row r="220" spans="1:95" s="28" customFormat="1" ht="76.5" x14ac:dyDescent="0.25">
      <c r="A220" s="153">
        <v>45</v>
      </c>
      <c r="B220" s="71" t="s">
        <v>257</v>
      </c>
      <c r="C220" s="71" t="s">
        <v>666</v>
      </c>
      <c r="D220" s="71" t="s">
        <v>401</v>
      </c>
      <c r="E220" s="22" t="s">
        <v>285</v>
      </c>
      <c r="F220" s="23" t="s">
        <v>286</v>
      </c>
      <c r="G220" s="59" t="s">
        <v>287</v>
      </c>
      <c r="H220" s="25">
        <v>42917</v>
      </c>
      <c r="I220" s="25">
        <v>43404</v>
      </c>
      <c r="J220" s="23" t="s">
        <v>115</v>
      </c>
      <c r="K220" s="23" t="s">
        <v>335</v>
      </c>
      <c r="L220" s="23" t="s">
        <v>477</v>
      </c>
      <c r="M220" s="23" t="s">
        <v>477</v>
      </c>
      <c r="N220" s="23" t="s">
        <v>116</v>
      </c>
      <c r="O220" s="23">
        <v>121</v>
      </c>
      <c r="P220" s="236">
        <v>1356355.8</v>
      </c>
      <c r="Q220" s="236">
        <v>0</v>
      </c>
      <c r="R220" s="236">
        <v>243905.2</v>
      </c>
      <c r="S220" s="236">
        <v>0</v>
      </c>
      <c r="T220" s="236">
        <v>0</v>
      </c>
      <c r="U220" s="230">
        <f t="shared" si="24"/>
        <v>1600261</v>
      </c>
      <c r="V220" s="26" t="s">
        <v>318</v>
      </c>
      <c r="W220" s="23">
        <v>1</v>
      </c>
      <c r="X220" s="203">
        <v>1356355.8</v>
      </c>
      <c r="Y220" s="190">
        <v>0</v>
      </c>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row>
    <row r="221" spans="1:95" s="28" customFormat="1" ht="102" x14ac:dyDescent="0.25">
      <c r="A221" s="146">
        <v>46</v>
      </c>
      <c r="B221" s="71" t="s">
        <v>257</v>
      </c>
      <c r="C221" s="71" t="s">
        <v>667</v>
      </c>
      <c r="D221" s="71" t="s">
        <v>402</v>
      </c>
      <c r="E221" s="22" t="s">
        <v>288</v>
      </c>
      <c r="F221" s="23" t="s">
        <v>289</v>
      </c>
      <c r="G221" s="59" t="s">
        <v>290</v>
      </c>
      <c r="H221" s="25">
        <v>43070</v>
      </c>
      <c r="I221" s="25">
        <v>43220</v>
      </c>
      <c r="J221" s="23" t="s">
        <v>115</v>
      </c>
      <c r="K221" s="23" t="s">
        <v>335</v>
      </c>
      <c r="L221" s="23" t="s">
        <v>477</v>
      </c>
      <c r="M221" s="23" t="s">
        <v>477</v>
      </c>
      <c r="N221" s="94" t="s">
        <v>116</v>
      </c>
      <c r="O221" s="94">
        <v>121</v>
      </c>
      <c r="P221" s="251">
        <v>26253745.879999999</v>
      </c>
      <c r="Q221" s="251">
        <v>0</v>
      </c>
      <c r="R221" s="251">
        <v>4721051.13</v>
      </c>
      <c r="S221" s="253">
        <v>0</v>
      </c>
      <c r="T221" s="253">
        <v>28027</v>
      </c>
      <c r="U221" s="237">
        <f t="shared" si="24"/>
        <v>31002824.009999998</v>
      </c>
      <c r="V221" s="26" t="s">
        <v>318</v>
      </c>
      <c r="W221" s="23">
        <v>0</v>
      </c>
      <c r="X221" s="201">
        <v>26253745.879999999</v>
      </c>
      <c r="Y221" s="190">
        <v>0</v>
      </c>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row>
    <row r="222" spans="1:95" s="28" customFormat="1" ht="102" customHeight="1" x14ac:dyDescent="0.25">
      <c r="A222" s="153">
        <v>47</v>
      </c>
      <c r="B222" s="71" t="s">
        <v>251</v>
      </c>
      <c r="C222" s="71" t="s">
        <v>668</v>
      </c>
      <c r="D222" s="71" t="s">
        <v>403</v>
      </c>
      <c r="E222" s="22" t="s">
        <v>267</v>
      </c>
      <c r="F222" s="23" t="s">
        <v>120</v>
      </c>
      <c r="G222" s="59" t="s">
        <v>268</v>
      </c>
      <c r="H222" s="25">
        <v>42826</v>
      </c>
      <c r="I222" s="25">
        <v>43921</v>
      </c>
      <c r="J222" s="23" t="s">
        <v>115</v>
      </c>
      <c r="K222" s="23" t="s">
        <v>335</v>
      </c>
      <c r="L222" s="23" t="s">
        <v>477</v>
      </c>
      <c r="M222" s="23" t="s">
        <v>477</v>
      </c>
      <c r="N222" s="23" t="s">
        <v>116</v>
      </c>
      <c r="O222" s="93">
        <v>121</v>
      </c>
      <c r="P222" s="236">
        <f>3352732.58-827482.2</f>
        <v>2525250.38</v>
      </c>
      <c r="Q222" s="236">
        <v>0</v>
      </c>
      <c r="R222" s="236">
        <f>605863.04-149532.03</f>
        <v>456331.01</v>
      </c>
      <c r="S222" s="250">
        <v>0</v>
      </c>
      <c r="T222" s="236">
        <v>0</v>
      </c>
      <c r="U222" s="230">
        <f t="shared" si="24"/>
        <v>2981581.3899999997</v>
      </c>
      <c r="V222" s="26" t="s">
        <v>318</v>
      </c>
      <c r="W222" s="93">
        <v>3</v>
      </c>
      <c r="X222" s="186">
        <f>355329.05+95476.68+332255.15+474296.71+428918.87+534649.3+304471.99</f>
        <v>2525397.75</v>
      </c>
      <c r="Y222" s="187">
        <v>0</v>
      </c>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row>
    <row r="223" spans="1:95" s="28" customFormat="1" ht="89.25" customHeight="1" x14ac:dyDescent="0.25">
      <c r="A223" s="146">
        <v>48</v>
      </c>
      <c r="B223" s="71" t="s">
        <v>152</v>
      </c>
      <c r="C223" s="71" t="s">
        <v>669</v>
      </c>
      <c r="D223" s="71" t="s">
        <v>404</v>
      </c>
      <c r="E223" s="22" t="s">
        <v>319</v>
      </c>
      <c r="F223" s="23" t="s">
        <v>295</v>
      </c>
      <c r="G223" s="59" t="s">
        <v>320</v>
      </c>
      <c r="H223" s="25">
        <v>43101</v>
      </c>
      <c r="I223" s="7">
        <v>44104</v>
      </c>
      <c r="J223" s="23" t="s">
        <v>297</v>
      </c>
      <c r="K223" s="23" t="s">
        <v>335</v>
      </c>
      <c r="L223" s="23" t="s">
        <v>477</v>
      </c>
      <c r="M223" s="23" t="s">
        <v>477</v>
      </c>
      <c r="N223" s="23" t="s">
        <v>116</v>
      </c>
      <c r="O223" s="23">
        <v>121</v>
      </c>
      <c r="P223" s="253">
        <v>90718.15</v>
      </c>
      <c r="Q223" s="253">
        <v>0</v>
      </c>
      <c r="R223" s="253">
        <v>16322.35</v>
      </c>
      <c r="S223" s="236">
        <v>0</v>
      </c>
      <c r="T223" s="236">
        <v>0</v>
      </c>
      <c r="U223" s="230">
        <f t="shared" si="24"/>
        <v>107040.5</v>
      </c>
      <c r="V223" s="8" t="s">
        <v>318</v>
      </c>
      <c r="W223" s="93">
        <v>4</v>
      </c>
      <c r="X223" s="186">
        <f>12707.6+78010.55</f>
        <v>90718.150000000009</v>
      </c>
      <c r="Y223" s="187">
        <v>14035.95</v>
      </c>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row>
    <row r="224" spans="1:95" s="27" customFormat="1" ht="90" customHeight="1" x14ac:dyDescent="0.25">
      <c r="A224" s="151">
        <v>49</v>
      </c>
      <c r="B224" s="72" t="s">
        <v>248</v>
      </c>
      <c r="C224" s="72" t="s">
        <v>670</v>
      </c>
      <c r="D224" s="72" t="s">
        <v>405</v>
      </c>
      <c r="E224" s="39" t="s">
        <v>300</v>
      </c>
      <c r="F224" s="40" t="s">
        <v>301</v>
      </c>
      <c r="G224" s="54" t="s">
        <v>302</v>
      </c>
      <c r="H224" s="42">
        <v>43191</v>
      </c>
      <c r="I224" s="42">
        <v>44227</v>
      </c>
      <c r="J224" s="40" t="s">
        <v>297</v>
      </c>
      <c r="K224" s="23" t="s">
        <v>335</v>
      </c>
      <c r="L224" s="23" t="s">
        <v>477</v>
      </c>
      <c r="M224" s="23" t="s">
        <v>477</v>
      </c>
      <c r="N224" s="40" t="s">
        <v>116</v>
      </c>
      <c r="O224" s="40">
        <v>121</v>
      </c>
      <c r="P224" s="249">
        <f>273903216.83-38530136.37</f>
        <v>235373080.45999998</v>
      </c>
      <c r="Q224" s="249">
        <v>0</v>
      </c>
      <c r="R224" s="249">
        <f>48789149.66-6863200.12</f>
        <v>41925949.539999999</v>
      </c>
      <c r="S224" s="249">
        <v>0</v>
      </c>
      <c r="T224" s="249">
        <f>22926849.75-0.3</f>
        <v>22926849.449999999</v>
      </c>
      <c r="U224" s="235">
        <f t="shared" si="24"/>
        <v>300225879.44999999</v>
      </c>
      <c r="V224" s="43" t="s">
        <v>117</v>
      </c>
      <c r="W224" s="60">
        <v>6</v>
      </c>
      <c r="X224" s="220">
        <f>189915986.63+7260823.18+7244375.02+7288195.48</f>
        <v>211709380.31</v>
      </c>
      <c r="Y224" s="221">
        <v>0</v>
      </c>
      <c r="Z224" s="124"/>
      <c r="AA224" s="122"/>
    </row>
    <row r="225" spans="1:95" s="27" customFormat="1" ht="79.5" customHeight="1" x14ac:dyDescent="0.25">
      <c r="A225" s="146">
        <v>50</v>
      </c>
      <c r="B225" s="72" t="s">
        <v>248</v>
      </c>
      <c r="C225" s="133" t="s">
        <v>671</v>
      </c>
      <c r="D225" s="142" t="s">
        <v>406</v>
      </c>
      <c r="E225" s="134" t="s">
        <v>316</v>
      </c>
      <c r="F225" s="132" t="s">
        <v>315</v>
      </c>
      <c r="G225" s="135" t="s">
        <v>317</v>
      </c>
      <c r="H225" s="136">
        <v>43009</v>
      </c>
      <c r="I225" s="136">
        <v>44196</v>
      </c>
      <c r="J225" s="132" t="s">
        <v>297</v>
      </c>
      <c r="K225" s="128" t="s">
        <v>335</v>
      </c>
      <c r="L225" s="128" t="s">
        <v>477</v>
      </c>
      <c r="M225" s="128" t="s">
        <v>477</v>
      </c>
      <c r="N225" s="132" t="s">
        <v>116</v>
      </c>
      <c r="O225" s="132">
        <v>121</v>
      </c>
      <c r="P225" s="258">
        <f>29615024.29+2128762.91</f>
        <v>31743787.199999999</v>
      </c>
      <c r="Q225" s="258">
        <v>0</v>
      </c>
      <c r="R225" s="258">
        <f>5325489.33+382802.47</f>
        <v>5708291.7999999998</v>
      </c>
      <c r="S225" s="258">
        <v>0</v>
      </c>
      <c r="T225" s="258">
        <f>1693190.68+136842.32</f>
        <v>1830033</v>
      </c>
      <c r="U225" s="259">
        <f t="shared" si="24"/>
        <v>39282112</v>
      </c>
      <c r="V225" s="137" t="s">
        <v>117</v>
      </c>
      <c r="W225" s="138">
        <v>2</v>
      </c>
      <c r="X225" s="222">
        <f>9014777.5+787392.08+2985056.48+2910956.44+181894.94+3300286.58+841215.37+805188.8+1611148.91</f>
        <v>22437917.100000001</v>
      </c>
      <c r="Y225" s="221">
        <v>0</v>
      </c>
      <c r="Z225" s="123"/>
    </row>
    <row r="226" spans="1:95" s="27" customFormat="1" ht="102" customHeight="1" x14ac:dyDescent="0.25">
      <c r="A226" s="151">
        <v>51</v>
      </c>
      <c r="B226" s="71" t="s">
        <v>248</v>
      </c>
      <c r="C226" s="71" t="s">
        <v>672</v>
      </c>
      <c r="D226" s="71" t="s">
        <v>407</v>
      </c>
      <c r="E226" s="22" t="s">
        <v>321</v>
      </c>
      <c r="F226" s="23" t="s">
        <v>322</v>
      </c>
      <c r="G226" s="59" t="s">
        <v>323</v>
      </c>
      <c r="H226" s="25">
        <v>43070</v>
      </c>
      <c r="I226" s="25">
        <v>44561</v>
      </c>
      <c r="J226" s="23" t="s">
        <v>297</v>
      </c>
      <c r="K226" s="23" t="s">
        <v>335</v>
      </c>
      <c r="L226" s="23" t="s">
        <v>477</v>
      </c>
      <c r="M226" s="23" t="s">
        <v>477</v>
      </c>
      <c r="N226" s="23" t="s">
        <v>116</v>
      </c>
      <c r="O226" s="23">
        <v>121</v>
      </c>
      <c r="P226" s="236">
        <f>3886657.38+456055.37</f>
        <v>4342712.75</v>
      </c>
      <c r="Q226" s="236">
        <v>0</v>
      </c>
      <c r="R226" s="236">
        <f>692312.82+81235.09</f>
        <v>773547.90999999992</v>
      </c>
      <c r="S226" s="236">
        <v>0</v>
      </c>
      <c r="T226" s="236">
        <f>1187822.8+166639.54</f>
        <v>1354462.34</v>
      </c>
      <c r="U226" s="230">
        <f t="shared" si="24"/>
        <v>6470723</v>
      </c>
      <c r="V226" s="26" t="s">
        <v>117</v>
      </c>
      <c r="W226" s="60">
        <v>2</v>
      </c>
      <c r="X226" s="186">
        <v>3838938.98</v>
      </c>
      <c r="Y226" s="221">
        <v>0</v>
      </c>
    </row>
    <row r="227" spans="1:95" s="27" customFormat="1" ht="101.25" customHeight="1" x14ac:dyDescent="0.25">
      <c r="A227" s="146">
        <v>52</v>
      </c>
      <c r="B227" s="72" t="s">
        <v>325</v>
      </c>
      <c r="C227" s="72" t="s">
        <v>673</v>
      </c>
      <c r="D227" s="72" t="s">
        <v>408</v>
      </c>
      <c r="E227" s="39" t="s">
        <v>326</v>
      </c>
      <c r="F227" s="40" t="s">
        <v>327</v>
      </c>
      <c r="G227" s="54" t="s">
        <v>328</v>
      </c>
      <c r="H227" s="42">
        <v>43283</v>
      </c>
      <c r="I227" s="42">
        <v>45230</v>
      </c>
      <c r="J227" s="40" t="s">
        <v>297</v>
      </c>
      <c r="K227" s="23" t="s">
        <v>335</v>
      </c>
      <c r="L227" s="23" t="s">
        <v>477</v>
      </c>
      <c r="M227" s="23" t="s">
        <v>477</v>
      </c>
      <c r="N227" s="40" t="s">
        <v>116</v>
      </c>
      <c r="O227" s="40" t="s">
        <v>576</v>
      </c>
      <c r="P227" s="249">
        <v>688993.76</v>
      </c>
      <c r="Q227" s="249">
        <v>0</v>
      </c>
      <c r="R227" s="249">
        <v>124557.09</v>
      </c>
      <c r="S227" s="249">
        <v>0</v>
      </c>
      <c r="T227" s="249">
        <v>0</v>
      </c>
      <c r="U227" s="235">
        <f t="shared" si="24"/>
        <v>813550.85</v>
      </c>
      <c r="V227" s="43" t="s">
        <v>117</v>
      </c>
      <c r="W227" s="60">
        <v>3</v>
      </c>
      <c r="X227" s="186">
        <v>20385.87</v>
      </c>
      <c r="Y227" s="221">
        <v>0</v>
      </c>
    </row>
    <row r="228" spans="1:95" s="28" customFormat="1" ht="99" customHeight="1" x14ac:dyDescent="0.25">
      <c r="A228" s="151">
        <v>53</v>
      </c>
      <c r="B228" s="72" t="s">
        <v>330</v>
      </c>
      <c r="C228" s="72" t="s">
        <v>674</v>
      </c>
      <c r="D228" s="72" t="s">
        <v>409</v>
      </c>
      <c r="E228" s="39" t="s">
        <v>331</v>
      </c>
      <c r="F228" s="40" t="s">
        <v>332</v>
      </c>
      <c r="G228" s="54" t="s">
        <v>561</v>
      </c>
      <c r="H228" s="42">
        <v>43374</v>
      </c>
      <c r="I228" s="42">
        <v>44500</v>
      </c>
      <c r="J228" s="40" t="s">
        <v>115</v>
      </c>
      <c r="K228" s="23" t="s">
        <v>335</v>
      </c>
      <c r="L228" s="23" t="s">
        <v>477</v>
      </c>
      <c r="M228" s="23" t="s">
        <v>477</v>
      </c>
      <c r="N228" s="40" t="s">
        <v>116</v>
      </c>
      <c r="O228" s="40">
        <v>121</v>
      </c>
      <c r="P228" s="201">
        <f>9542439.86-3930356.23</f>
        <v>5612083.629999999</v>
      </c>
      <c r="Q228" s="201">
        <v>0</v>
      </c>
      <c r="R228" s="201">
        <f>1731083.3-713001.5</f>
        <v>1018081.8</v>
      </c>
      <c r="S228" s="201">
        <v>0</v>
      </c>
      <c r="T228" s="201">
        <f>217368-119317.71</f>
        <v>98050.29</v>
      </c>
      <c r="U228" s="235">
        <f t="shared" si="24"/>
        <v>6728215.7199999988</v>
      </c>
      <c r="V228" s="43" t="s">
        <v>117</v>
      </c>
      <c r="W228" s="114">
        <v>3</v>
      </c>
      <c r="X228" s="186">
        <f>1132684.05+462670.47+359931.27</f>
        <v>1955285.79</v>
      </c>
      <c r="Y228" s="221">
        <v>0</v>
      </c>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row>
    <row r="229" spans="1:95" s="28" customFormat="1" ht="123" customHeight="1" x14ac:dyDescent="0.25">
      <c r="A229" s="146">
        <v>54</v>
      </c>
      <c r="B229" s="99" t="s">
        <v>330</v>
      </c>
      <c r="C229" s="99" t="s">
        <v>675</v>
      </c>
      <c r="D229" s="99" t="s">
        <v>410</v>
      </c>
      <c r="E229" s="39" t="s">
        <v>333</v>
      </c>
      <c r="F229" s="40" t="s">
        <v>332</v>
      </c>
      <c r="G229" s="100" t="s">
        <v>334</v>
      </c>
      <c r="H229" s="42">
        <v>42370</v>
      </c>
      <c r="I229" s="42">
        <v>44296</v>
      </c>
      <c r="J229" s="23" t="s">
        <v>115</v>
      </c>
      <c r="K229" s="23" t="s">
        <v>335</v>
      </c>
      <c r="L229" s="23" t="s">
        <v>477</v>
      </c>
      <c r="M229" s="23" t="s">
        <v>477</v>
      </c>
      <c r="N229" s="23" t="s">
        <v>116</v>
      </c>
      <c r="O229" s="93">
        <v>121</v>
      </c>
      <c r="P229" s="201">
        <f>2186524.5+90005.27</f>
        <v>2276529.77</v>
      </c>
      <c r="Q229" s="201">
        <v>0</v>
      </c>
      <c r="R229" s="201">
        <f>393407.69+16194.1</f>
        <v>409601.79</v>
      </c>
      <c r="S229" s="201">
        <v>0</v>
      </c>
      <c r="T229" s="201">
        <v>14168.44</v>
      </c>
      <c r="U229" s="260">
        <f t="shared" si="24"/>
        <v>2700300</v>
      </c>
      <c r="V229" s="43" t="s">
        <v>117</v>
      </c>
      <c r="W229" s="114">
        <v>2</v>
      </c>
      <c r="X229" s="186">
        <f>167597.48+16689.29+94227.33+6784.51</f>
        <v>285298.61000000004</v>
      </c>
      <c r="Y229" s="187">
        <v>0</v>
      </c>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row>
    <row r="230" spans="1:95" s="28" customFormat="1" ht="123" customHeight="1" x14ac:dyDescent="0.25">
      <c r="A230" s="151">
        <v>55</v>
      </c>
      <c r="B230" s="101" t="s">
        <v>174</v>
      </c>
      <c r="C230" s="101" t="s">
        <v>676</v>
      </c>
      <c r="D230" s="71" t="s">
        <v>411</v>
      </c>
      <c r="E230" s="39" t="s">
        <v>336</v>
      </c>
      <c r="F230" s="40" t="s">
        <v>337</v>
      </c>
      <c r="G230" s="54" t="s">
        <v>338</v>
      </c>
      <c r="H230" s="42">
        <v>42705</v>
      </c>
      <c r="I230" s="42">
        <v>45291</v>
      </c>
      <c r="J230" s="84" t="s">
        <v>115</v>
      </c>
      <c r="K230" s="23" t="s">
        <v>335</v>
      </c>
      <c r="L230" s="23" t="s">
        <v>477</v>
      </c>
      <c r="M230" s="23" t="s">
        <v>477</v>
      </c>
      <c r="N230" s="23" t="s">
        <v>116</v>
      </c>
      <c r="O230" s="93">
        <v>121</v>
      </c>
      <c r="P230" s="201">
        <f>15268715.95-95866.31</f>
        <v>15172849.639999999</v>
      </c>
      <c r="Q230" s="201">
        <v>0</v>
      </c>
      <c r="R230" s="201">
        <f>2769880.61-17391.01</f>
        <v>2752489.6</v>
      </c>
      <c r="S230" s="201">
        <v>0</v>
      </c>
      <c r="T230" s="201">
        <f>723095.94+823.96</f>
        <v>723919.89999999991</v>
      </c>
      <c r="U230" s="260">
        <f t="shared" si="24"/>
        <v>18649259.139999997</v>
      </c>
      <c r="V230" s="43" t="s">
        <v>117</v>
      </c>
      <c r="W230" s="114">
        <v>3</v>
      </c>
      <c r="X230" s="186">
        <f>661382.37+246733.38+502616.84+689883.93+698157.1+748641.74</f>
        <v>3547415.3600000003</v>
      </c>
      <c r="Y230" s="187">
        <v>0</v>
      </c>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row>
    <row r="231" spans="1:95" s="28" customFormat="1" ht="81" customHeight="1" x14ac:dyDescent="0.25">
      <c r="A231" s="146">
        <v>56</v>
      </c>
      <c r="B231" s="71" t="s">
        <v>339</v>
      </c>
      <c r="C231" s="71" t="s">
        <v>677</v>
      </c>
      <c r="D231" s="71" t="s">
        <v>412</v>
      </c>
      <c r="E231" s="22" t="s">
        <v>340</v>
      </c>
      <c r="F231" s="23" t="s">
        <v>341</v>
      </c>
      <c r="G231" s="59" t="s">
        <v>342</v>
      </c>
      <c r="H231" s="25">
        <v>43070</v>
      </c>
      <c r="I231" s="25">
        <v>44227</v>
      </c>
      <c r="J231" s="23" t="s">
        <v>115</v>
      </c>
      <c r="K231" s="23" t="s">
        <v>335</v>
      </c>
      <c r="L231" s="23" t="s">
        <v>477</v>
      </c>
      <c r="M231" s="23" t="s">
        <v>477</v>
      </c>
      <c r="N231" s="23" t="s">
        <v>116</v>
      </c>
      <c r="O231" s="23">
        <v>121</v>
      </c>
      <c r="P231" s="249">
        <f>24133722.36+772053.83</f>
        <v>24905776.189999998</v>
      </c>
      <c r="Q231" s="186">
        <v>0</v>
      </c>
      <c r="R231" s="236">
        <v>4478653.95</v>
      </c>
      <c r="S231" s="186">
        <v>0</v>
      </c>
      <c r="T231" s="236">
        <v>10376051.82</v>
      </c>
      <c r="U231" s="230">
        <f t="shared" si="24"/>
        <v>39760481.959999993</v>
      </c>
      <c r="V231" s="26" t="s">
        <v>117</v>
      </c>
      <c r="W231" s="105">
        <v>2</v>
      </c>
      <c r="X231" s="186">
        <f>19085024.38+644307.17+2207147.17</f>
        <v>21936478.719999999</v>
      </c>
      <c r="Y231" s="187">
        <v>0</v>
      </c>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row>
    <row r="232" spans="1:95" s="27" customFormat="1" ht="99" customHeight="1" x14ac:dyDescent="0.25">
      <c r="A232" s="151">
        <v>57</v>
      </c>
      <c r="B232" s="71" t="s">
        <v>126</v>
      </c>
      <c r="C232" s="71" t="s">
        <v>678</v>
      </c>
      <c r="D232" s="71" t="s">
        <v>413</v>
      </c>
      <c r="E232" s="22" t="s">
        <v>415</v>
      </c>
      <c r="F232" s="23" t="s">
        <v>414</v>
      </c>
      <c r="G232" s="59" t="s">
        <v>416</v>
      </c>
      <c r="H232" s="25">
        <v>43283</v>
      </c>
      <c r="I232" s="25">
        <v>44255</v>
      </c>
      <c r="J232" s="23" t="s">
        <v>115</v>
      </c>
      <c r="K232" s="23" t="s">
        <v>335</v>
      </c>
      <c r="L232" s="23" t="s">
        <v>477</v>
      </c>
      <c r="M232" s="23" t="s">
        <v>477</v>
      </c>
      <c r="N232" s="23" t="s">
        <v>116</v>
      </c>
      <c r="O232" s="93">
        <v>121</v>
      </c>
      <c r="P232" s="186">
        <f>8856425.38+125198.53+175040.67-468234.41</f>
        <v>8688430.1699999999</v>
      </c>
      <c r="Q232" s="261">
        <v>0</v>
      </c>
      <c r="R232" s="236">
        <f>1655352.21-84647.95</f>
        <v>1570704.26</v>
      </c>
      <c r="S232" s="186">
        <v>0</v>
      </c>
      <c r="T232" s="236">
        <v>0</v>
      </c>
      <c r="U232" s="230">
        <f t="shared" si="24"/>
        <v>10259134.43</v>
      </c>
      <c r="V232" s="26" t="s">
        <v>117</v>
      </c>
      <c r="W232" s="105">
        <v>4</v>
      </c>
      <c r="X232" s="186">
        <f>2339804.42+989494.79+685547.15+1806734.69+305519.24</f>
        <v>6127100.29</v>
      </c>
      <c r="Y232" s="187">
        <v>0</v>
      </c>
    </row>
    <row r="233" spans="1:95" s="27" customFormat="1" ht="213" customHeight="1" x14ac:dyDescent="0.25">
      <c r="A233" s="146">
        <v>58</v>
      </c>
      <c r="B233" s="71" t="s">
        <v>257</v>
      </c>
      <c r="C233" s="71" t="s">
        <v>679</v>
      </c>
      <c r="D233" s="71" t="s">
        <v>417</v>
      </c>
      <c r="E233" s="22" t="s">
        <v>418</v>
      </c>
      <c r="F233" s="23" t="s">
        <v>419</v>
      </c>
      <c r="G233" s="59" t="s">
        <v>562</v>
      </c>
      <c r="H233" s="25">
        <v>43191</v>
      </c>
      <c r="I233" s="25">
        <v>44227</v>
      </c>
      <c r="J233" s="23" t="s">
        <v>115</v>
      </c>
      <c r="K233" s="23" t="s">
        <v>335</v>
      </c>
      <c r="L233" s="23" t="s">
        <v>477</v>
      </c>
      <c r="M233" s="23" t="s">
        <v>477</v>
      </c>
      <c r="N233" s="23" t="s">
        <v>116</v>
      </c>
      <c r="O233" s="23">
        <v>121</v>
      </c>
      <c r="P233" s="253">
        <v>6235945.1099999994</v>
      </c>
      <c r="Q233" s="186">
        <v>0</v>
      </c>
      <c r="R233" s="236">
        <v>1110780.8900000006</v>
      </c>
      <c r="S233" s="186">
        <v>0</v>
      </c>
      <c r="T233" s="236">
        <v>1134211</v>
      </c>
      <c r="U233" s="230">
        <f t="shared" si="24"/>
        <v>8480937</v>
      </c>
      <c r="V233" s="43" t="s">
        <v>117</v>
      </c>
      <c r="W233" s="114">
        <v>5</v>
      </c>
      <c r="X233" s="201">
        <f>4931457.62+602165.05</f>
        <v>5533622.6699999999</v>
      </c>
      <c r="Y233" s="221">
        <v>0</v>
      </c>
    </row>
    <row r="234" spans="1:95" s="27" customFormat="1" ht="88.5" customHeight="1" x14ac:dyDescent="0.25">
      <c r="A234" s="151">
        <v>59</v>
      </c>
      <c r="B234" s="71" t="s">
        <v>129</v>
      </c>
      <c r="C234" s="125" t="s">
        <v>680</v>
      </c>
      <c r="D234" s="125" t="s">
        <v>422</v>
      </c>
      <c r="E234" s="127" t="s">
        <v>423</v>
      </c>
      <c r="F234" s="128" t="s">
        <v>424</v>
      </c>
      <c r="G234" s="129" t="s">
        <v>425</v>
      </c>
      <c r="H234" s="126">
        <v>43466</v>
      </c>
      <c r="I234" s="126">
        <v>45291</v>
      </c>
      <c r="J234" s="128" t="s">
        <v>115</v>
      </c>
      <c r="K234" s="128" t="s">
        <v>335</v>
      </c>
      <c r="L234" s="128" t="s">
        <v>477</v>
      </c>
      <c r="M234" s="128" t="s">
        <v>477</v>
      </c>
      <c r="N234" s="128" t="s">
        <v>116</v>
      </c>
      <c r="O234" s="128">
        <v>121</v>
      </c>
      <c r="P234" s="262">
        <f>16914912.88-521445.66</f>
        <v>16393467.219999999</v>
      </c>
      <c r="Q234" s="222">
        <f>3057897.13-94267.49</f>
        <v>2963629.6399999997</v>
      </c>
      <c r="R234" s="262">
        <v>0</v>
      </c>
      <c r="S234" s="222">
        <f>407608.35-12565.57</f>
        <v>395042.77999999997</v>
      </c>
      <c r="T234" s="262">
        <v>0</v>
      </c>
      <c r="U234" s="263">
        <f t="shared" si="24"/>
        <v>19752139.640000001</v>
      </c>
      <c r="V234" s="130" t="s">
        <v>117</v>
      </c>
      <c r="W234" s="130">
        <v>1</v>
      </c>
      <c r="X234" s="222">
        <f>1700000+1200000-150933.19-92764.84+999054.52-129716.03+697702.3-114677.38+700000-116066.37+899392.7-119486.62+900000-124150.69</f>
        <v>6248354.4000000004</v>
      </c>
      <c r="Y234" s="218">
        <f>122332.39+28600.8+92764.84+129716.03+114677.38+116066.37+119486.62+124150.69</f>
        <v>847795.12000000011</v>
      </c>
      <c r="Z234" s="120"/>
    </row>
    <row r="235" spans="1:95" s="27" customFormat="1" ht="50.25" customHeight="1" x14ac:dyDescent="0.25">
      <c r="A235" s="146">
        <v>60</v>
      </c>
      <c r="B235" s="72" t="s">
        <v>152</v>
      </c>
      <c r="C235" s="72" t="s">
        <v>681</v>
      </c>
      <c r="D235" s="72" t="s">
        <v>426</v>
      </c>
      <c r="E235" s="39" t="s">
        <v>427</v>
      </c>
      <c r="F235" s="40" t="s">
        <v>428</v>
      </c>
      <c r="G235" s="54" t="s">
        <v>429</v>
      </c>
      <c r="H235" s="42">
        <v>43497</v>
      </c>
      <c r="I235" s="42">
        <v>43646</v>
      </c>
      <c r="J235" s="40" t="s">
        <v>115</v>
      </c>
      <c r="K235" s="23" t="s">
        <v>335</v>
      </c>
      <c r="L235" s="23" t="s">
        <v>477</v>
      </c>
      <c r="M235" s="23" t="s">
        <v>477</v>
      </c>
      <c r="N235" s="40" t="s">
        <v>116</v>
      </c>
      <c r="O235" s="40">
        <v>121</v>
      </c>
      <c r="P235" s="249">
        <f>478269.29-182215.04</f>
        <v>296054.25</v>
      </c>
      <c r="Q235" s="201">
        <v>0</v>
      </c>
      <c r="R235" s="249">
        <f>86762.29-33055.42</f>
        <v>53706.869999999995</v>
      </c>
      <c r="S235" s="201">
        <v>0</v>
      </c>
      <c r="T235" s="249">
        <v>0</v>
      </c>
      <c r="U235" s="235">
        <f t="shared" si="24"/>
        <v>349761.12</v>
      </c>
      <c r="V235" s="26" t="s">
        <v>318</v>
      </c>
      <c r="W235" s="26">
        <v>0</v>
      </c>
      <c r="X235" s="186">
        <v>296054.25</v>
      </c>
      <c r="Y235" s="190">
        <v>0</v>
      </c>
    </row>
    <row r="236" spans="1:95" s="27" customFormat="1" ht="76.5" customHeight="1" x14ac:dyDescent="0.25">
      <c r="A236" s="153">
        <v>61</v>
      </c>
      <c r="B236" s="72" t="s">
        <v>152</v>
      </c>
      <c r="C236" s="72" t="s">
        <v>682</v>
      </c>
      <c r="D236" s="47" t="s">
        <v>430</v>
      </c>
      <c r="E236" s="39" t="s">
        <v>431</v>
      </c>
      <c r="F236" s="40" t="s">
        <v>432</v>
      </c>
      <c r="G236" s="54" t="s">
        <v>433</v>
      </c>
      <c r="H236" s="25">
        <v>43466</v>
      </c>
      <c r="I236" s="25">
        <v>43890</v>
      </c>
      <c r="J236" s="40" t="s">
        <v>115</v>
      </c>
      <c r="K236" s="23" t="s">
        <v>335</v>
      </c>
      <c r="L236" s="23" t="s">
        <v>477</v>
      </c>
      <c r="M236" s="23" t="s">
        <v>477</v>
      </c>
      <c r="N236" s="40" t="s">
        <v>116</v>
      </c>
      <c r="O236" s="40">
        <v>121</v>
      </c>
      <c r="P236" s="201">
        <f>429826.2-8542.19</f>
        <v>421284.01</v>
      </c>
      <c r="Q236" s="201">
        <v>76424.679999999993</v>
      </c>
      <c r="R236" s="201">
        <v>0</v>
      </c>
      <c r="S236" s="201">
        <v>0</v>
      </c>
      <c r="T236" s="201">
        <v>0</v>
      </c>
      <c r="U236" s="235">
        <f t="shared" si="24"/>
        <v>497708.69</v>
      </c>
      <c r="V236" s="26" t="s">
        <v>318</v>
      </c>
      <c r="W236" s="26">
        <v>1</v>
      </c>
      <c r="X236" s="186">
        <f>55774.25+92949.02+91759.86+120761.2+60039.68</f>
        <v>421284.01</v>
      </c>
      <c r="Y236" s="190">
        <f>10117.95+16861.78+16646.06+21907.16+10891.73</f>
        <v>76424.679999999993</v>
      </c>
    </row>
    <row r="237" spans="1:95" s="27" customFormat="1" ht="84" customHeight="1" x14ac:dyDescent="0.25">
      <c r="A237" s="146">
        <v>62</v>
      </c>
      <c r="B237" s="72" t="s">
        <v>248</v>
      </c>
      <c r="C237" s="99" t="s">
        <v>683</v>
      </c>
      <c r="D237" s="102" t="s">
        <v>438</v>
      </c>
      <c r="E237" s="22" t="s">
        <v>439</v>
      </c>
      <c r="F237" s="23" t="s">
        <v>440</v>
      </c>
      <c r="G237" s="103" t="s">
        <v>441</v>
      </c>
      <c r="H237" s="25">
        <v>43070</v>
      </c>
      <c r="I237" s="25">
        <v>44227</v>
      </c>
      <c r="J237" s="91" t="s">
        <v>115</v>
      </c>
      <c r="K237" s="23" t="s">
        <v>335</v>
      </c>
      <c r="L237" s="23" t="s">
        <v>477</v>
      </c>
      <c r="M237" s="23" t="s">
        <v>477</v>
      </c>
      <c r="N237" s="40" t="s">
        <v>116</v>
      </c>
      <c r="O237" s="60">
        <v>121</v>
      </c>
      <c r="P237" s="236">
        <f>20760118.33-482900.76</f>
        <v>20277217.569999997</v>
      </c>
      <c r="Q237" s="236">
        <v>0</v>
      </c>
      <c r="R237" s="236">
        <f>3733165.57-86837.12</f>
        <v>3646328.4499999997</v>
      </c>
      <c r="S237" s="264">
        <v>0</v>
      </c>
      <c r="T237" s="236">
        <f>750011.03+500011.2</f>
        <v>1250022.23</v>
      </c>
      <c r="U237" s="260">
        <f t="shared" si="24"/>
        <v>25173568.249999996</v>
      </c>
      <c r="V237" s="115" t="s">
        <v>117</v>
      </c>
      <c r="W237" s="116">
        <v>1</v>
      </c>
      <c r="X237" s="203">
        <f>5917267.79+3121065.76+1608987.57+1588308.21+1670106.01+1638094.46+1705041.74</f>
        <v>17248871.539999999</v>
      </c>
      <c r="Y237" s="223">
        <v>0</v>
      </c>
    </row>
    <row r="238" spans="1:95" s="27" customFormat="1" ht="95.25" customHeight="1" x14ac:dyDescent="0.25">
      <c r="A238" s="153">
        <v>63</v>
      </c>
      <c r="B238" s="71" t="s">
        <v>152</v>
      </c>
      <c r="C238" s="101" t="s">
        <v>684</v>
      </c>
      <c r="D238" s="161" t="s">
        <v>434</v>
      </c>
      <c r="E238" s="82" t="s">
        <v>435</v>
      </c>
      <c r="F238" s="94" t="s">
        <v>436</v>
      </c>
      <c r="G238" s="162" t="s">
        <v>437</v>
      </c>
      <c r="H238" s="86">
        <v>43466</v>
      </c>
      <c r="I238" s="86">
        <v>43829</v>
      </c>
      <c r="J238" s="84" t="s">
        <v>115</v>
      </c>
      <c r="K238" s="23" t="s">
        <v>335</v>
      </c>
      <c r="L238" s="23" t="s">
        <v>477</v>
      </c>
      <c r="M238" s="23" t="s">
        <v>477</v>
      </c>
      <c r="N238" s="23" t="s">
        <v>116</v>
      </c>
      <c r="O238" s="93">
        <v>121</v>
      </c>
      <c r="P238" s="203">
        <f>106460.34-12.67</f>
        <v>106447.67</v>
      </c>
      <c r="Q238" s="203">
        <v>19310.580000000002</v>
      </c>
      <c r="R238" s="265">
        <v>0</v>
      </c>
      <c r="S238" s="186">
        <v>0</v>
      </c>
      <c r="T238" s="203">
        <v>0</v>
      </c>
      <c r="U238" s="230">
        <f t="shared" si="24"/>
        <v>125758.25</v>
      </c>
      <c r="V238" s="26" t="s">
        <v>318</v>
      </c>
      <c r="W238" s="105">
        <v>1</v>
      </c>
      <c r="X238" s="186">
        <f>79835.51+26612.16</f>
        <v>106447.67</v>
      </c>
      <c r="Y238" s="187">
        <f>14482.89+4827.69</f>
        <v>19310.579999999998</v>
      </c>
    </row>
    <row r="239" spans="1:95" s="27" customFormat="1" ht="75" customHeight="1" x14ac:dyDescent="0.25">
      <c r="A239" s="146">
        <v>64</v>
      </c>
      <c r="B239" s="71" t="s">
        <v>152</v>
      </c>
      <c r="C239" s="141" t="s">
        <v>685</v>
      </c>
      <c r="D239" s="143" t="s">
        <v>442</v>
      </c>
      <c r="E239" s="163" t="s">
        <v>444</v>
      </c>
      <c r="F239" s="164" t="s">
        <v>443</v>
      </c>
      <c r="G239" s="165" t="s">
        <v>445</v>
      </c>
      <c r="H239" s="156">
        <v>43466</v>
      </c>
      <c r="I239" s="156">
        <v>43829</v>
      </c>
      <c r="J239" s="166" t="s">
        <v>115</v>
      </c>
      <c r="K239" s="157" t="s">
        <v>335</v>
      </c>
      <c r="L239" s="157" t="s">
        <v>477</v>
      </c>
      <c r="M239" s="157" t="s">
        <v>477</v>
      </c>
      <c r="N239" s="157" t="s">
        <v>116</v>
      </c>
      <c r="O239" s="160">
        <v>121</v>
      </c>
      <c r="P239" s="220">
        <v>390167.41</v>
      </c>
      <c r="Q239" s="220">
        <v>70779.840000000084</v>
      </c>
      <c r="R239" s="220">
        <v>0</v>
      </c>
      <c r="S239" s="220">
        <v>0</v>
      </c>
      <c r="T239" s="220">
        <v>0</v>
      </c>
      <c r="U239" s="255">
        <f t="shared" si="24"/>
        <v>460947.25000000006</v>
      </c>
      <c r="V239" s="159" t="s">
        <v>318</v>
      </c>
      <c r="W239" s="167">
        <v>1</v>
      </c>
      <c r="X239" s="220">
        <f>266604.24+76116.07+47447.1</f>
        <v>390167.41</v>
      </c>
      <c r="Y239" s="187">
        <f>48364.38+13808.13+8607.33</f>
        <v>70779.839999999997</v>
      </c>
      <c r="Z239" s="120"/>
    </row>
    <row r="240" spans="1:95" s="27" customFormat="1" ht="77.25" customHeight="1" x14ac:dyDescent="0.25">
      <c r="A240" s="153">
        <v>65</v>
      </c>
      <c r="B240" s="71" t="s">
        <v>152</v>
      </c>
      <c r="C240" s="71" t="s">
        <v>686</v>
      </c>
      <c r="D240" s="29" t="s">
        <v>446</v>
      </c>
      <c r="E240" s="82" t="s">
        <v>450</v>
      </c>
      <c r="F240" s="94" t="s">
        <v>456</v>
      </c>
      <c r="G240" s="59" t="s">
        <v>457</v>
      </c>
      <c r="H240" s="112">
        <v>43374</v>
      </c>
      <c r="I240" s="25">
        <v>44530</v>
      </c>
      <c r="J240" s="23" t="s">
        <v>115</v>
      </c>
      <c r="K240" s="23" t="s">
        <v>335</v>
      </c>
      <c r="L240" s="23" t="s">
        <v>477</v>
      </c>
      <c r="M240" s="23" t="s">
        <v>477</v>
      </c>
      <c r="N240" s="23" t="s">
        <v>116</v>
      </c>
      <c r="O240" s="23">
        <v>121</v>
      </c>
      <c r="P240" s="220">
        <v>1513748.41</v>
      </c>
      <c r="Q240" s="186">
        <v>0</v>
      </c>
      <c r="R240" s="186">
        <v>274607.39</v>
      </c>
      <c r="S240" s="186">
        <v>0</v>
      </c>
      <c r="T240" s="186">
        <v>0</v>
      </c>
      <c r="U240" s="230">
        <f t="shared" si="24"/>
        <v>1788355.7999999998</v>
      </c>
      <c r="V240" s="26" t="s">
        <v>117</v>
      </c>
      <c r="W240" s="105">
        <v>2</v>
      </c>
      <c r="X240" s="186">
        <f>204456.06+67467.07+57535.37+35959.61+125043.92+59404.5</f>
        <v>549866.53</v>
      </c>
      <c r="Y240" s="187">
        <v>0</v>
      </c>
    </row>
    <row r="241" spans="1:27" s="27" customFormat="1" ht="90.75" customHeight="1" x14ac:dyDescent="0.25">
      <c r="A241" s="146">
        <v>66</v>
      </c>
      <c r="B241" s="71" t="s">
        <v>152</v>
      </c>
      <c r="C241" s="71" t="s">
        <v>687</v>
      </c>
      <c r="D241" s="29" t="s">
        <v>447</v>
      </c>
      <c r="E241" s="82" t="s">
        <v>451</v>
      </c>
      <c r="F241" s="94" t="s">
        <v>301</v>
      </c>
      <c r="G241" s="59" t="s">
        <v>458</v>
      </c>
      <c r="H241" s="112">
        <v>42919</v>
      </c>
      <c r="I241" s="25">
        <v>44771</v>
      </c>
      <c r="J241" s="23" t="s">
        <v>115</v>
      </c>
      <c r="K241" s="23" t="s">
        <v>335</v>
      </c>
      <c r="L241" s="23" t="s">
        <v>477</v>
      </c>
      <c r="M241" s="23" t="s">
        <v>477</v>
      </c>
      <c r="N241" s="23" t="s">
        <v>116</v>
      </c>
      <c r="O241" s="23">
        <v>121</v>
      </c>
      <c r="P241" s="186">
        <v>4209763.6399999997</v>
      </c>
      <c r="Q241" s="186">
        <v>0</v>
      </c>
      <c r="R241" s="186">
        <v>757436.5</v>
      </c>
      <c r="S241" s="186">
        <v>0</v>
      </c>
      <c r="T241" s="186">
        <v>202658.45</v>
      </c>
      <c r="U241" s="230">
        <f t="shared" si="24"/>
        <v>5169858.59</v>
      </c>
      <c r="V241" s="43" t="s">
        <v>117</v>
      </c>
      <c r="W241" s="114">
        <v>3</v>
      </c>
      <c r="X241" s="201">
        <f>189050.27+104094.85+80637.33+232275.54+7135.01+6078.39+76482.89+6854.75+95541.46</f>
        <v>798150.49</v>
      </c>
      <c r="Y241" s="221">
        <v>0</v>
      </c>
    </row>
    <row r="242" spans="1:27" s="27" customFormat="1" ht="69" customHeight="1" x14ac:dyDescent="0.25">
      <c r="A242" s="153">
        <v>67</v>
      </c>
      <c r="B242" s="71" t="s">
        <v>152</v>
      </c>
      <c r="C242" s="71" t="s">
        <v>688</v>
      </c>
      <c r="D242" s="29" t="s">
        <v>448</v>
      </c>
      <c r="E242" s="82" t="s">
        <v>452</v>
      </c>
      <c r="F242" s="94" t="s">
        <v>454</v>
      </c>
      <c r="G242" s="59" t="s">
        <v>459</v>
      </c>
      <c r="H242" s="112">
        <v>43466</v>
      </c>
      <c r="I242" s="25">
        <v>43830</v>
      </c>
      <c r="J242" s="23" t="s">
        <v>115</v>
      </c>
      <c r="K242" s="23" t="s">
        <v>335</v>
      </c>
      <c r="L242" s="23" t="s">
        <v>477</v>
      </c>
      <c r="M242" s="23" t="s">
        <v>477</v>
      </c>
      <c r="N242" s="23" t="s">
        <v>116</v>
      </c>
      <c r="O242" s="23">
        <v>121</v>
      </c>
      <c r="P242" s="186">
        <v>844844</v>
      </c>
      <c r="Q242" s="186">
        <v>0</v>
      </c>
      <c r="R242" s="186">
        <v>153262.19</v>
      </c>
      <c r="S242" s="186">
        <v>0</v>
      </c>
      <c r="T242" s="186">
        <v>0</v>
      </c>
      <c r="U242" s="230">
        <f t="shared" si="24"/>
        <v>998106.19</v>
      </c>
      <c r="V242" s="26" t="s">
        <v>318</v>
      </c>
      <c r="W242" s="26">
        <v>1</v>
      </c>
      <c r="X242" s="186">
        <f>165891.49+149072.73+145360.3+152413.5+232105.98</f>
        <v>844844</v>
      </c>
      <c r="Y242" s="190">
        <f>30094.19+27043.11+26369.65+27649.16+42106.08</f>
        <v>153262.19</v>
      </c>
    </row>
    <row r="243" spans="1:27" s="27" customFormat="1" ht="112.5" customHeight="1" x14ac:dyDescent="0.25">
      <c r="A243" s="146">
        <v>68</v>
      </c>
      <c r="B243" s="71" t="s">
        <v>242</v>
      </c>
      <c r="C243" s="71" t="s">
        <v>689</v>
      </c>
      <c r="D243" s="29" t="s">
        <v>449</v>
      </c>
      <c r="E243" s="82" t="s">
        <v>453</v>
      </c>
      <c r="F243" s="94" t="s">
        <v>455</v>
      </c>
      <c r="G243" s="54" t="s">
        <v>460</v>
      </c>
      <c r="H243" s="112">
        <v>42278</v>
      </c>
      <c r="I243" s="25">
        <v>44561</v>
      </c>
      <c r="J243" s="23" t="s">
        <v>115</v>
      </c>
      <c r="K243" s="23" t="s">
        <v>335</v>
      </c>
      <c r="L243" s="23" t="s">
        <v>477</v>
      </c>
      <c r="M243" s="23" t="s">
        <v>477</v>
      </c>
      <c r="N243" s="23" t="s">
        <v>116</v>
      </c>
      <c r="O243" s="23">
        <v>121</v>
      </c>
      <c r="P243" s="186">
        <f>1086027.3-5.04</f>
        <v>1086022.26</v>
      </c>
      <c r="Q243" s="186">
        <v>0</v>
      </c>
      <c r="R243" s="186">
        <f>193449.15-0.9</f>
        <v>193448.25</v>
      </c>
      <c r="S243" s="186">
        <v>0</v>
      </c>
      <c r="T243" s="186">
        <v>155060.76999999999</v>
      </c>
      <c r="U243" s="230">
        <f t="shared" si="24"/>
        <v>1434531.28</v>
      </c>
      <c r="V243" s="26" t="s">
        <v>117</v>
      </c>
      <c r="W243" s="26">
        <v>2</v>
      </c>
      <c r="X243" s="186">
        <f>18465.3+13814.94+20871.67+72837.66</f>
        <v>125989.57</v>
      </c>
      <c r="Y243" s="190">
        <v>0</v>
      </c>
    </row>
    <row r="244" spans="1:27" s="27" customFormat="1" ht="112.5" customHeight="1" x14ac:dyDescent="0.25">
      <c r="A244" s="153">
        <v>69</v>
      </c>
      <c r="B244" s="71" t="s">
        <v>152</v>
      </c>
      <c r="C244" s="71" t="s">
        <v>690</v>
      </c>
      <c r="D244" s="29" t="s">
        <v>461</v>
      </c>
      <c r="E244" s="82" t="s">
        <v>466</v>
      </c>
      <c r="F244" s="83" t="s">
        <v>301</v>
      </c>
      <c r="G244" s="54" t="s">
        <v>472</v>
      </c>
      <c r="H244" s="113">
        <v>42370</v>
      </c>
      <c r="I244" s="25">
        <v>45291</v>
      </c>
      <c r="J244" s="23" t="s">
        <v>115</v>
      </c>
      <c r="K244" s="23" t="s">
        <v>335</v>
      </c>
      <c r="L244" s="23" t="s">
        <v>477</v>
      </c>
      <c r="M244" s="23" t="s">
        <v>477</v>
      </c>
      <c r="N244" s="23" t="s">
        <v>116</v>
      </c>
      <c r="O244" s="23">
        <v>121</v>
      </c>
      <c r="P244" s="186">
        <f>35278785.38+0.01+8441613.31</f>
        <v>43720398.700000003</v>
      </c>
      <c r="Q244" s="186">
        <v>0</v>
      </c>
      <c r="R244" s="186">
        <f>6347491.68000001+1518846.79</f>
        <v>7866338.47000001</v>
      </c>
      <c r="S244" s="186">
        <v>0</v>
      </c>
      <c r="T244" s="186">
        <f>2442330.34+3582796.47</f>
        <v>6025126.8100000005</v>
      </c>
      <c r="U244" s="230">
        <f t="shared" si="24"/>
        <v>57611863.980000019</v>
      </c>
      <c r="V244" s="26" t="s">
        <v>117</v>
      </c>
      <c r="W244" s="26">
        <v>3</v>
      </c>
      <c r="X244" s="186">
        <f>8713179.55+12418795.19+255730.02+2363250.23+2295521.42+608481.72+1496141.81+509636.6+49350.51+78143.36+977580.15+616058.55+631598.55</f>
        <v>31013467.660000004</v>
      </c>
      <c r="Y244" s="190">
        <v>0</v>
      </c>
    </row>
    <row r="245" spans="1:27" s="27" customFormat="1" ht="112.5" customHeight="1" x14ac:dyDescent="0.25">
      <c r="A245" s="146">
        <v>70</v>
      </c>
      <c r="B245" s="71" t="s">
        <v>152</v>
      </c>
      <c r="C245" s="71" t="s">
        <v>691</v>
      </c>
      <c r="D245" s="29" t="s">
        <v>462</v>
      </c>
      <c r="E245" s="82" t="s">
        <v>467</v>
      </c>
      <c r="F245" s="83" t="s">
        <v>471</v>
      </c>
      <c r="G245" s="59" t="s">
        <v>473</v>
      </c>
      <c r="H245" s="25">
        <v>43466</v>
      </c>
      <c r="I245" s="86">
        <v>43861</v>
      </c>
      <c r="J245" s="168" t="s">
        <v>115</v>
      </c>
      <c r="K245" s="94" t="s">
        <v>335</v>
      </c>
      <c r="L245" s="94" t="s">
        <v>477</v>
      </c>
      <c r="M245" s="23" t="s">
        <v>477</v>
      </c>
      <c r="N245" s="23" t="s">
        <v>116</v>
      </c>
      <c r="O245" s="23">
        <v>121</v>
      </c>
      <c r="P245" s="186">
        <f>200949.93-3556.26</f>
        <v>197393.66999999998</v>
      </c>
      <c r="Q245" s="186">
        <f>36454.08-645.13</f>
        <v>35808.950000000004</v>
      </c>
      <c r="R245" s="186">
        <v>0</v>
      </c>
      <c r="S245" s="186">
        <v>0</v>
      </c>
      <c r="T245" s="186">
        <v>0</v>
      </c>
      <c r="U245" s="230">
        <f t="shared" si="24"/>
        <v>233202.62</v>
      </c>
      <c r="V245" s="26" t="s">
        <v>318</v>
      </c>
      <c r="W245" s="26">
        <v>1</v>
      </c>
      <c r="X245" s="186">
        <f>54120.85+50676.01+52031.52+40565.29</f>
        <v>197393.67</v>
      </c>
      <c r="Y245" s="190">
        <f>9818+9193.08+9438.97+7358.9</f>
        <v>35808.950000000004</v>
      </c>
    </row>
    <row r="246" spans="1:27" s="27" customFormat="1" ht="112.5" customHeight="1" x14ac:dyDescent="0.25">
      <c r="A246" s="151">
        <v>71</v>
      </c>
      <c r="B246" s="71" t="s">
        <v>152</v>
      </c>
      <c r="C246" s="71" t="s">
        <v>692</v>
      </c>
      <c r="D246" s="29" t="s">
        <v>463</v>
      </c>
      <c r="E246" s="82" t="s">
        <v>470</v>
      </c>
      <c r="F246" s="94" t="s">
        <v>440</v>
      </c>
      <c r="G246" s="80" t="s">
        <v>474</v>
      </c>
      <c r="H246" s="86">
        <v>41926</v>
      </c>
      <c r="I246" s="86">
        <v>44620</v>
      </c>
      <c r="J246" s="84" t="s">
        <v>115</v>
      </c>
      <c r="K246" s="23" t="s">
        <v>335</v>
      </c>
      <c r="L246" s="23" t="s">
        <v>477</v>
      </c>
      <c r="M246" s="23" t="s">
        <v>477</v>
      </c>
      <c r="N246" s="23" t="s">
        <v>116</v>
      </c>
      <c r="O246" s="23">
        <v>121</v>
      </c>
      <c r="P246" s="186">
        <f>2083691.08-90649.19</f>
        <v>1993041.8900000001</v>
      </c>
      <c r="Q246" s="186">
        <v>0</v>
      </c>
      <c r="R246" s="186">
        <f>378000.08-16444.61</f>
        <v>361555.47000000003</v>
      </c>
      <c r="S246" s="186">
        <v>0</v>
      </c>
      <c r="T246" s="186">
        <f>125000+66000</f>
        <v>191000</v>
      </c>
      <c r="U246" s="230">
        <f t="shared" si="24"/>
        <v>2545597.3600000003</v>
      </c>
      <c r="V246" s="111" t="s">
        <v>117</v>
      </c>
      <c r="W246" s="111">
        <v>1</v>
      </c>
      <c r="X246" s="203">
        <f>38880.7+98169.79+81067.27+13361.83+155499.09+8918.54+101972</f>
        <v>497869.22</v>
      </c>
      <c r="Y246" s="204">
        <v>0</v>
      </c>
    </row>
    <row r="247" spans="1:27" s="27" customFormat="1" ht="112.5" customHeight="1" x14ac:dyDescent="0.25">
      <c r="A247" s="146">
        <v>72</v>
      </c>
      <c r="B247" s="71" t="s">
        <v>152</v>
      </c>
      <c r="C247" s="71" t="s">
        <v>693</v>
      </c>
      <c r="D247" s="29" t="s">
        <v>464</v>
      </c>
      <c r="E247" s="82" t="s">
        <v>468</v>
      </c>
      <c r="F247" s="83" t="s">
        <v>440</v>
      </c>
      <c r="G247" s="54" t="s">
        <v>475</v>
      </c>
      <c r="H247" s="98">
        <v>43466</v>
      </c>
      <c r="I247" s="25">
        <v>44592</v>
      </c>
      <c r="J247" s="84" t="s">
        <v>115</v>
      </c>
      <c r="K247" s="23" t="s">
        <v>335</v>
      </c>
      <c r="L247" s="23" t="s">
        <v>477</v>
      </c>
      <c r="M247" s="23" t="s">
        <v>477</v>
      </c>
      <c r="N247" s="23" t="s">
        <v>116</v>
      </c>
      <c r="O247" s="23">
        <v>121</v>
      </c>
      <c r="P247" s="186">
        <v>13325527.609999999</v>
      </c>
      <c r="Q247" s="186">
        <v>0</v>
      </c>
      <c r="R247" s="186">
        <v>2417369</v>
      </c>
      <c r="S247" s="186">
        <v>0</v>
      </c>
      <c r="T247" s="186">
        <v>209931.84</v>
      </c>
      <c r="U247" s="230">
        <f t="shared" si="24"/>
        <v>15952828.449999999</v>
      </c>
      <c r="V247" s="26" t="s">
        <v>117</v>
      </c>
      <c r="W247" s="26">
        <v>1</v>
      </c>
      <c r="X247" s="203">
        <f>612808.16+349183.08+702547.63+1046427.72+1034403.1</f>
        <v>3745369.69</v>
      </c>
      <c r="Y247" s="190">
        <v>0</v>
      </c>
    </row>
    <row r="248" spans="1:27" s="27" customFormat="1" ht="112.5" customHeight="1" x14ac:dyDescent="0.25">
      <c r="A248" s="151">
        <v>73</v>
      </c>
      <c r="B248" s="71" t="s">
        <v>129</v>
      </c>
      <c r="C248" s="71" t="s">
        <v>694</v>
      </c>
      <c r="D248" s="29" t="s">
        <v>465</v>
      </c>
      <c r="E248" s="82" t="s">
        <v>469</v>
      </c>
      <c r="F248" s="83" t="s">
        <v>440</v>
      </c>
      <c r="G248" s="59" t="s">
        <v>476</v>
      </c>
      <c r="H248" s="98">
        <v>43466</v>
      </c>
      <c r="I248" s="25">
        <v>44773</v>
      </c>
      <c r="J248" s="84" t="s">
        <v>115</v>
      </c>
      <c r="K248" s="23" t="s">
        <v>335</v>
      </c>
      <c r="L248" s="23" t="s">
        <v>477</v>
      </c>
      <c r="M248" s="94" t="s">
        <v>477</v>
      </c>
      <c r="N248" s="94" t="s">
        <v>116</v>
      </c>
      <c r="O248" s="94">
        <v>121</v>
      </c>
      <c r="P248" s="203">
        <v>3073825.99</v>
      </c>
      <c r="Q248" s="203">
        <v>0</v>
      </c>
      <c r="R248" s="203">
        <v>555689.74</v>
      </c>
      <c r="S248" s="203">
        <v>0</v>
      </c>
      <c r="T248" s="203">
        <v>176688</v>
      </c>
      <c r="U248" s="237">
        <f t="shared" si="24"/>
        <v>3806203.7300000004</v>
      </c>
      <c r="V248" s="26" t="s">
        <v>117</v>
      </c>
      <c r="W248" s="26">
        <v>1</v>
      </c>
      <c r="X248" s="203">
        <f>96985.8+51957.13+148422.49+155871.39+154312.26</f>
        <v>607549.07000000007</v>
      </c>
      <c r="Y248" s="190">
        <v>0</v>
      </c>
    </row>
    <row r="249" spans="1:27" s="27" customFormat="1" ht="112.5" customHeight="1" x14ac:dyDescent="0.25">
      <c r="A249" s="146">
        <v>74</v>
      </c>
      <c r="B249" s="71" t="s">
        <v>129</v>
      </c>
      <c r="C249" s="71" t="s">
        <v>695</v>
      </c>
      <c r="D249" s="29" t="s">
        <v>478</v>
      </c>
      <c r="E249" s="82" t="s">
        <v>491</v>
      </c>
      <c r="F249" s="83" t="s">
        <v>503</v>
      </c>
      <c r="G249" s="54" t="s">
        <v>511</v>
      </c>
      <c r="H249" s="42">
        <v>43497</v>
      </c>
      <c r="I249" s="42">
        <v>45291</v>
      </c>
      <c r="J249" s="84" t="s">
        <v>115</v>
      </c>
      <c r="K249" s="23" t="s">
        <v>335</v>
      </c>
      <c r="L249" s="23" t="s">
        <v>477</v>
      </c>
      <c r="M249" s="23" t="s">
        <v>477</v>
      </c>
      <c r="N249" s="23" t="s">
        <v>116</v>
      </c>
      <c r="O249" s="23">
        <v>121</v>
      </c>
      <c r="P249" s="186">
        <v>66169559.520000003</v>
      </c>
      <c r="Q249" s="186">
        <v>0</v>
      </c>
      <c r="R249" s="186">
        <v>11962208</v>
      </c>
      <c r="S249" s="186">
        <v>0</v>
      </c>
      <c r="T249" s="186">
        <v>0</v>
      </c>
      <c r="U249" s="235">
        <f t="shared" si="24"/>
        <v>78131767.520000011</v>
      </c>
      <c r="V249" s="43" t="s">
        <v>117</v>
      </c>
      <c r="W249" s="43">
        <v>1</v>
      </c>
      <c r="X249" s="201">
        <f>1407553.99+764329.57+50627.5</f>
        <v>2222511.06</v>
      </c>
      <c r="Y249" s="202">
        <v>0</v>
      </c>
    </row>
    <row r="250" spans="1:27" s="27" customFormat="1" ht="112.5" customHeight="1" x14ac:dyDescent="0.25">
      <c r="A250" s="153">
        <v>75</v>
      </c>
      <c r="B250" s="141" t="s">
        <v>152</v>
      </c>
      <c r="C250" s="141" t="s">
        <v>696</v>
      </c>
      <c r="D250" s="143" t="s">
        <v>479</v>
      </c>
      <c r="E250" s="163" t="s">
        <v>492</v>
      </c>
      <c r="F250" s="169" t="s">
        <v>504</v>
      </c>
      <c r="G250" s="170" t="s">
        <v>512</v>
      </c>
      <c r="H250" s="171">
        <v>43466</v>
      </c>
      <c r="I250" s="171">
        <v>43830</v>
      </c>
      <c r="J250" s="166" t="s">
        <v>115</v>
      </c>
      <c r="K250" s="157" t="s">
        <v>335</v>
      </c>
      <c r="L250" s="157" t="s">
        <v>477</v>
      </c>
      <c r="M250" s="157" t="s">
        <v>477</v>
      </c>
      <c r="N250" s="157" t="s">
        <v>116</v>
      </c>
      <c r="O250" s="157">
        <v>121</v>
      </c>
      <c r="P250" s="220">
        <f>454386.66-46454.77</f>
        <v>407931.88999999996</v>
      </c>
      <c r="Q250" s="220">
        <f>82429.78-8427.32</f>
        <v>74002.459999999992</v>
      </c>
      <c r="R250" s="220">
        <v>0</v>
      </c>
      <c r="S250" s="220">
        <v>0</v>
      </c>
      <c r="T250" s="220">
        <v>0</v>
      </c>
      <c r="U250" s="255">
        <f t="shared" si="24"/>
        <v>481934.35</v>
      </c>
      <c r="V250" s="159" t="s">
        <v>318</v>
      </c>
      <c r="W250" s="159">
        <v>2</v>
      </c>
      <c r="X250" s="220">
        <f>124521.07+67068.88+64989.99+50725.58+100626.37</f>
        <v>407931.89</v>
      </c>
      <c r="Y250" s="224">
        <f>46545.88+18254.51</f>
        <v>64800.39</v>
      </c>
      <c r="Z250" s="120"/>
    </row>
    <row r="251" spans="1:27" s="27" customFormat="1" ht="112.5" customHeight="1" x14ac:dyDescent="0.25">
      <c r="A251" s="146">
        <v>76</v>
      </c>
      <c r="B251" s="71" t="s">
        <v>152</v>
      </c>
      <c r="C251" s="71" t="s">
        <v>697</v>
      </c>
      <c r="D251" s="29" t="s">
        <v>480</v>
      </c>
      <c r="E251" s="82" t="s">
        <v>493</v>
      </c>
      <c r="F251" s="83" t="s">
        <v>505</v>
      </c>
      <c r="G251" s="59" t="s">
        <v>459</v>
      </c>
      <c r="H251" s="25">
        <v>43466</v>
      </c>
      <c r="I251" s="25">
        <v>43830</v>
      </c>
      <c r="J251" s="84" t="s">
        <v>115</v>
      </c>
      <c r="K251" s="23" t="s">
        <v>335</v>
      </c>
      <c r="L251" s="23" t="s">
        <v>477</v>
      </c>
      <c r="M251" s="23" t="s">
        <v>477</v>
      </c>
      <c r="N251" s="23" t="s">
        <v>116</v>
      </c>
      <c r="O251" s="23">
        <v>121</v>
      </c>
      <c r="P251" s="186">
        <f>452466.03-21274.42</f>
        <v>431191.61000000004</v>
      </c>
      <c r="Q251" s="186">
        <f>82081.35-3859.38</f>
        <v>78221.97</v>
      </c>
      <c r="R251" s="186">
        <v>0</v>
      </c>
      <c r="S251" s="186">
        <v>0</v>
      </c>
      <c r="T251" s="186">
        <v>0</v>
      </c>
      <c r="U251" s="230">
        <f t="shared" si="24"/>
        <v>509413.58000000007</v>
      </c>
      <c r="V251" s="26" t="s">
        <v>318</v>
      </c>
      <c r="W251" s="26">
        <v>2</v>
      </c>
      <c r="X251" s="186">
        <f>157524.68+67985.37+67269.01+67852.66+70559.89</f>
        <v>431191.61</v>
      </c>
      <c r="Y251" s="190">
        <f>28576.37+12333.15+12203.19+9202.07+12309.07+12800.19</f>
        <v>87424.040000000008</v>
      </c>
    </row>
    <row r="252" spans="1:27" s="27" customFormat="1" ht="112.5" customHeight="1" x14ac:dyDescent="0.25">
      <c r="A252" s="153">
        <v>77</v>
      </c>
      <c r="B252" s="71" t="s">
        <v>149</v>
      </c>
      <c r="C252" s="71" t="s">
        <v>698</v>
      </c>
      <c r="D252" s="29" t="s">
        <v>481</v>
      </c>
      <c r="E252" s="82" t="s">
        <v>494</v>
      </c>
      <c r="F252" s="83" t="s">
        <v>506</v>
      </c>
      <c r="G252" s="85" t="s">
        <v>513</v>
      </c>
      <c r="H252" s="86">
        <v>43586</v>
      </c>
      <c r="I252" s="86">
        <v>45291</v>
      </c>
      <c r="J252" s="84" t="s">
        <v>115</v>
      </c>
      <c r="K252" s="23" t="s">
        <v>335</v>
      </c>
      <c r="L252" s="23" t="s">
        <v>477</v>
      </c>
      <c r="M252" s="23" t="s">
        <v>477</v>
      </c>
      <c r="N252" s="23" t="s">
        <v>116</v>
      </c>
      <c r="O252" s="23">
        <v>122</v>
      </c>
      <c r="P252" s="186">
        <v>5216239.38</v>
      </c>
      <c r="Q252" s="186">
        <v>0</v>
      </c>
      <c r="R252" s="186">
        <v>946272.13</v>
      </c>
      <c r="S252" s="186">
        <v>0</v>
      </c>
      <c r="T252" s="186">
        <v>0</v>
      </c>
      <c r="U252" s="230">
        <f t="shared" si="24"/>
        <v>6162511.5099999998</v>
      </c>
      <c r="V252" s="26" t="s">
        <v>117</v>
      </c>
      <c r="W252" s="26">
        <v>1</v>
      </c>
      <c r="X252" s="186">
        <v>0</v>
      </c>
      <c r="Y252" s="190">
        <v>0</v>
      </c>
    </row>
    <row r="253" spans="1:27" s="27" customFormat="1" ht="112.5" customHeight="1" x14ac:dyDescent="0.25">
      <c r="A253" s="146">
        <v>78</v>
      </c>
      <c r="B253" s="141" t="s">
        <v>125</v>
      </c>
      <c r="C253" s="141" t="s">
        <v>699</v>
      </c>
      <c r="D253" s="143" t="s">
        <v>482</v>
      </c>
      <c r="E253" s="163" t="s">
        <v>495</v>
      </c>
      <c r="F253" s="169" t="s">
        <v>507</v>
      </c>
      <c r="G253" s="158" t="s">
        <v>514</v>
      </c>
      <c r="H253" s="156">
        <v>43101</v>
      </c>
      <c r="I253" s="156">
        <v>44377</v>
      </c>
      <c r="J253" s="166" t="s">
        <v>115</v>
      </c>
      <c r="K253" s="157" t="s">
        <v>335</v>
      </c>
      <c r="L253" s="157" t="s">
        <v>477</v>
      </c>
      <c r="M253" s="157" t="s">
        <v>477</v>
      </c>
      <c r="N253" s="157" t="s">
        <v>116</v>
      </c>
      <c r="O253" s="157">
        <v>123</v>
      </c>
      <c r="P253" s="220">
        <f>12948994.27-503741.07</f>
        <v>12445253.199999999</v>
      </c>
      <c r="Q253" s="220">
        <v>0</v>
      </c>
      <c r="R253" s="220">
        <v>2239912.0500000007</v>
      </c>
      <c r="S253" s="220">
        <v>0</v>
      </c>
      <c r="T253" s="220">
        <v>0</v>
      </c>
      <c r="U253" s="255">
        <f t="shared" si="24"/>
        <v>14685165.25</v>
      </c>
      <c r="V253" s="159" t="s">
        <v>117</v>
      </c>
      <c r="W253" s="159">
        <v>2</v>
      </c>
      <c r="X253" s="220">
        <f>120993.67+529554.86+62289.13</f>
        <v>712837.66</v>
      </c>
      <c r="Y253" s="190">
        <v>0</v>
      </c>
      <c r="Z253" s="120"/>
      <c r="AA253" s="121"/>
    </row>
    <row r="254" spans="1:27" s="27" customFormat="1" ht="112.5" customHeight="1" x14ac:dyDescent="0.25">
      <c r="A254" s="153">
        <v>79</v>
      </c>
      <c r="B254" s="141" t="s">
        <v>125</v>
      </c>
      <c r="C254" s="141" t="s">
        <v>700</v>
      </c>
      <c r="D254" s="143" t="s">
        <v>483</v>
      </c>
      <c r="E254" s="163" t="s">
        <v>496</v>
      </c>
      <c r="F254" s="169" t="s">
        <v>507</v>
      </c>
      <c r="G254" s="170" t="s">
        <v>515</v>
      </c>
      <c r="H254" s="171">
        <v>43160</v>
      </c>
      <c r="I254" s="171">
        <v>43830</v>
      </c>
      <c r="J254" s="166" t="s">
        <v>115</v>
      </c>
      <c r="K254" s="157" t="s">
        <v>335</v>
      </c>
      <c r="L254" s="157" t="s">
        <v>477</v>
      </c>
      <c r="M254" s="157" t="s">
        <v>477</v>
      </c>
      <c r="N254" s="157" t="s">
        <v>116</v>
      </c>
      <c r="O254" s="157">
        <v>123</v>
      </c>
      <c r="P254" s="220">
        <f>375586.95-232853.23</f>
        <v>142733.72</v>
      </c>
      <c r="Q254" s="220">
        <v>0</v>
      </c>
      <c r="R254" s="220">
        <f>67899.04-42095.47</f>
        <v>25803.569999999992</v>
      </c>
      <c r="S254" s="220">
        <v>0</v>
      </c>
      <c r="T254" s="220">
        <v>0</v>
      </c>
      <c r="U254" s="255">
        <f t="shared" si="24"/>
        <v>168537.28999999998</v>
      </c>
      <c r="V254" s="159" t="s">
        <v>318</v>
      </c>
      <c r="W254" s="159">
        <v>1</v>
      </c>
      <c r="X254" s="220">
        <f>138955.58+3778.14</f>
        <v>142733.72</v>
      </c>
      <c r="Y254" s="224">
        <v>0</v>
      </c>
      <c r="Z254" s="120"/>
    </row>
    <row r="255" spans="1:27" s="27" customFormat="1" ht="112.5" customHeight="1" x14ac:dyDescent="0.25">
      <c r="A255" s="146">
        <v>80</v>
      </c>
      <c r="B255" s="71" t="s">
        <v>152</v>
      </c>
      <c r="C255" s="71" t="s">
        <v>701</v>
      </c>
      <c r="D255" s="29" t="s">
        <v>484</v>
      </c>
      <c r="E255" s="82" t="s">
        <v>497</v>
      </c>
      <c r="F255" s="83" t="s">
        <v>301</v>
      </c>
      <c r="G255" s="59" t="s">
        <v>516</v>
      </c>
      <c r="H255" s="25">
        <v>42705</v>
      </c>
      <c r="I255" s="25">
        <v>45291</v>
      </c>
      <c r="J255" s="84" t="s">
        <v>115</v>
      </c>
      <c r="K255" s="23" t="s">
        <v>335</v>
      </c>
      <c r="L255" s="23" t="s">
        <v>477</v>
      </c>
      <c r="M255" s="23" t="s">
        <v>477</v>
      </c>
      <c r="N255" s="23" t="s">
        <v>116</v>
      </c>
      <c r="O255" s="23">
        <v>121</v>
      </c>
      <c r="P255" s="201">
        <f>2054972.33+3693065.56</f>
        <v>5748037.8900000006</v>
      </c>
      <c r="Q255" s="201">
        <v>0</v>
      </c>
      <c r="R255" s="201">
        <f>371348.38+667363.7</f>
        <v>1038712.08</v>
      </c>
      <c r="S255" s="201">
        <v>0</v>
      </c>
      <c r="T255" s="201">
        <f>50398.21+484492.15</f>
        <v>534890.36</v>
      </c>
      <c r="U255" s="230">
        <f t="shared" si="24"/>
        <v>7321640.330000001</v>
      </c>
      <c r="V255" s="26" t="s">
        <v>117</v>
      </c>
      <c r="W255" s="26">
        <v>3</v>
      </c>
      <c r="X255" s="186">
        <f>89251.68+92354.52+199466.1+120319.46+54947.43+7944.6+58276.64</f>
        <v>622560.43000000005</v>
      </c>
      <c r="Y255" s="190">
        <v>0</v>
      </c>
    </row>
    <row r="256" spans="1:27" s="27" customFormat="1" ht="112.5" customHeight="1" x14ac:dyDescent="0.25">
      <c r="A256" s="153">
        <v>81</v>
      </c>
      <c r="B256" s="141" t="s">
        <v>490</v>
      </c>
      <c r="C256" s="141" t="s">
        <v>702</v>
      </c>
      <c r="D256" s="143" t="s">
        <v>485</v>
      </c>
      <c r="E256" s="163" t="s">
        <v>498</v>
      </c>
      <c r="F256" s="169" t="s">
        <v>508</v>
      </c>
      <c r="G256" s="172" t="s">
        <v>517</v>
      </c>
      <c r="H256" s="173">
        <v>43344</v>
      </c>
      <c r="I256" s="173">
        <v>43921</v>
      </c>
      <c r="J256" s="166" t="s">
        <v>115</v>
      </c>
      <c r="K256" s="157" t="s">
        <v>335</v>
      </c>
      <c r="L256" s="157" t="s">
        <v>477</v>
      </c>
      <c r="M256" s="157" t="s">
        <v>477</v>
      </c>
      <c r="N256" s="157" t="s">
        <v>116</v>
      </c>
      <c r="O256" s="160">
        <v>121</v>
      </c>
      <c r="P256" s="220">
        <f>6519434.33-22295.14</f>
        <v>6497139.1900000004</v>
      </c>
      <c r="Q256" s="220">
        <v>0</v>
      </c>
      <c r="R256" s="220">
        <f>1182683.27-4044.54</f>
        <v>1178638.73</v>
      </c>
      <c r="S256" s="220">
        <v>0</v>
      </c>
      <c r="T256" s="220">
        <v>0</v>
      </c>
      <c r="U256" s="255">
        <f t="shared" si="24"/>
        <v>7675777.9199999999</v>
      </c>
      <c r="V256" s="159" t="s">
        <v>318</v>
      </c>
      <c r="W256" s="159">
        <v>2</v>
      </c>
      <c r="X256" s="220">
        <f>6333751.72+21660.14-21660.14+185047.61</f>
        <v>6518799.3300000001</v>
      </c>
      <c r="Y256" s="224">
        <v>0</v>
      </c>
      <c r="Z256" s="120"/>
    </row>
    <row r="257" spans="1:85" s="27" customFormat="1" ht="112.5" customHeight="1" x14ac:dyDescent="0.25">
      <c r="A257" s="146">
        <v>82</v>
      </c>
      <c r="B257" s="71" t="s">
        <v>490</v>
      </c>
      <c r="C257" s="71" t="s">
        <v>703</v>
      </c>
      <c r="D257" s="29" t="s">
        <v>486</v>
      </c>
      <c r="E257" s="82" t="s">
        <v>499</v>
      </c>
      <c r="F257" s="83" t="s">
        <v>508</v>
      </c>
      <c r="G257" s="59" t="s">
        <v>518</v>
      </c>
      <c r="H257" s="25">
        <v>43586</v>
      </c>
      <c r="I257" s="25">
        <v>44316</v>
      </c>
      <c r="J257" s="84" t="s">
        <v>115</v>
      </c>
      <c r="K257" s="23" t="s">
        <v>335</v>
      </c>
      <c r="L257" s="23" t="s">
        <v>477</v>
      </c>
      <c r="M257" s="23" t="s">
        <v>477</v>
      </c>
      <c r="N257" s="23" t="s">
        <v>116</v>
      </c>
      <c r="O257" s="93">
        <v>121</v>
      </c>
      <c r="P257" s="186">
        <v>135013.01999999999</v>
      </c>
      <c r="Q257" s="186">
        <v>0</v>
      </c>
      <c r="R257" s="186">
        <v>24492.560000000001</v>
      </c>
      <c r="S257" s="201">
        <v>0</v>
      </c>
      <c r="T257" s="201">
        <v>0</v>
      </c>
      <c r="U257" s="235">
        <f t="shared" si="24"/>
        <v>159505.57999999999</v>
      </c>
      <c r="V257" s="43" t="s">
        <v>117</v>
      </c>
      <c r="W257" s="43">
        <v>1</v>
      </c>
      <c r="X257" s="201">
        <v>0</v>
      </c>
      <c r="Y257" s="202">
        <v>0</v>
      </c>
    </row>
    <row r="258" spans="1:85" s="27" customFormat="1" ht="112.5" customHeight="1" x14ac:dyDescent="0.25">
      <c r="A258" s="153">
        <v>83</v>
      </c>
      <c r="B258" s="71" t="s">
        <v>152</v>
      </c>
      <c r="C258" s="71" t="s">
        <v>704</v>
      </c>
      <c r="D258" s="29" t="s">
        <v>487</v>
      </c>
      <c r="E258" s="82" t="s">
        <v>500</v>
      </c>
      <c r="F258" s="83" t="s">
        <v>301</v>
      </c>
      <c r="G258" s="54" t="s">
        <v>519</v>
      </c>
      <c r="H258" s="42">
        <v>43313</v>
      </c>
      <c r="I258" s="42">
        <v>45291</v>
      </c>
      <c r="J258" s="84" t="s">
        <v>115</v>
      </c>
      <c r="K258" s="23" t="s">
        <v>335</v>
      </c>
      <c r="L258" s="23" t="s">
        <v>477</v>
      </c>
      <c r="M258" s="23" t="s">
        <v>477</v>
      </c>
      <c r="N258" s="23" t="s">
        <v>116</v>
      </c>
      <c r="O258" s="93">
        <v>121</v>
      </c>
      <c r="P258" s="186">
        <v>43603894.57</v>
      </c>
      <c r="Q258" s="186">
        <v>0</v>
      </c>
      <c r="R258" s="186">
        <v>7910133.5599999996</v>
      </c>
      <c r="S258" s="186">
        <v>0</v>
      </c>
      <c r="T258" s="186">
        <v>4656540.13</v>
      </c>
      <c r="U258" s="230">
        <f t="shared" si="24"/>
        <v>56170568.260000005</v>
      </c>
      <c r="V258" s="26" t="s">
        <v>117</v>
      </c>
      <c r="W258" s="26">
        <v>1</v>
      </c>
      <c r="X258" s="186">
        <f>9467297.23+618330.88+623798.67+658538.13+589669.52</f>
        <v>11957634.430000002</v>
      </c>
      <c r="Y258" s="190">
        <v>0</v>
      </c>
    </row>
    <row r="259" spans="1:85" s="27" customFormat="1" ht="112.5" customHeight="1" x14ac:dyDescent="0.25">
      <c r="A259" s="146">
        <v>84</v>
      </c>
      <c r="B259" s="71" t="s">
        <v>242</v>
      </c>
      <c r="C259" s="71" t="s">
        <v>705</v>
      </c>
      <c r="D259" s="29" t="s">
        <v>488</v>
      </c>
      <c r="E259" s="82" t="s">
        <v>501</v>
      </c>
      <c r="F259" s="83" t="s">
        <v>509</v>
      </c>
      <c r="G259" s="59" t="s">
        <v>520</v>
      </c>
      <c r="H259" s="25">
        <v>43617</v>
      </c>
      <c r="I259" s="25">
        <v>44408</v>
      </c>
      <c r="J259" s="84" t="s">
        <v>115</v>
      </c>
      <c r="K259" s="23" t="s">
        <v>335</v>
      </c>
      <c r="L259" s="23" t="s">
        <v>477</v>
      </c>
      <c r="M259" s="23" t="s">
        <v>477</v>
      </c>
      <c r="N259" s="23" t="s">
        <v>116</v>
      </c>
      <c r="O259" s="93">
        <v>121</v>
      </c>
      <c r="P259" s="186">
        <f>3125050.82+0.01+0.02</f>
        <v>3125050.8499999996</v>
      </c>
      <c r="Q259" s="186">
        <v>0</v>
      </c>
      <c r="R259" s="186">
        <v>556651.26</v>
      </c>
      <c r="S259" s="186">
        <v>0</v>
      </c>
      <c r="T259" s="186">
        <v>0</v>
      </c>
      <c r="U259" s="230">
        <f>P259+Q259+R259+S259+T259</f>
        <v>3681702.1099999994</v>
      </c>
      <c r="V259" s="26" t="s">
        <v>117</v>
      </c>
      <c r="W259" s="26">
        <v>3</v>
      </c>
      <c r="X259" s="186">
        <f>7123.18+17650.07+62092.74+16981.21+74495.54+58118.6</f>
        <v>236461.34</v>
      </c>
      <c r="Y259" s="190">
        <v>0</v>
      </c>
    </row>
    <row r="260" spans="1:85" s="27" customFormat="1" ht="112.5" customHeight="1" x14ac:dyDescent="0.25">
      <c r="A260" s="153">
        <v>85</v>
      </c>
      <c r="B260" s="72" t="s">
        <v>242</v>
      </c>
      <c r="C260" s="72" t="s">
        <v>706</v>
      </c>
      <c r="D260" s="47" t="s">
        <v>489</v>
      </c>
      <c r="E260" s="89" t="s">
        <v>502</v>
      </c>
      <c r="F260" s="90" t="s">
        <v>510</v>
      </c>
      <c r="G260" s="54" t="s">
        <v>521</v>
      </c>
      <c r="H260" s="42">
        <v>43435</v>
      </c>
      <c r="I260" s="42">
        <v>44742</v>
      </c>
      <c r="J260" s="91" t="s">
        <v>115</v>
      </c>
      <c r="K260" s="40" t="s">
        <v>335</v>
      </c>
      <c r="L260" s="40" t="s">
        <v>477</v>
      </c>
      <c r="M260" s="40" t="s">
        <v>477</v>
      </c>
      <c r="N260" s="40" t="s">
        <v>116</v>
      </c>
      <c r="O260" s="60">
        <v>121</v>
      </c>
      <c r="P260" s="186">
        <v>4160298.27</v>
      </c>
      <c r="Q260" s="186">
        <v>0</v>
      </c>
      <c r="R260" s="186">
        <v>741055.23</v>
      </c>
      <c r="S260" s="186">
        <v>0</v>
      </c>
      <c r="T260" s="186">
        <v>0</v>
      </c>
      <c r="U260" s="230">
        <f t="shared" ref="U260:U269" si="26">P260+Q260+R260+S260+T260</f>
        <v>4901353.5</v>
      </c>
      <c r="V260" s="26" t="s">
        <v>117</v>
      </c>
      <c r="W260" s="26">
        <v>1</v>
      </c>
      <c r="X260" s="220">
        <f>745339.32+59519.29</f>
        <v>804858.61</v>
      </c>
      <c r="Y260" s="224">
        <v>0</v>
      </c>
      <c r="Z260" s="123"/>
      <c r="AA260" s="121"/>
    </row>
    <row r="261" spans="1:85" s="27" customFormat="1" ht="112.5" customHeight="1" x14ac:dyDescent="0.25">
      <c r="A261" s="146">
        <v>86</v>
      </c>
      <c r="B261" s="71" t="s">
        <v>152</v>
      </c>
      <c r="C261" s="72" t="s">
        <v>707</v>
      </c>
      <c r="D261" s="47" t="s">
        <v>522</v>
      </c>
      <c r="E261" s="22" t="s">
        <v>524</v>
      </c>
      <c r="F261" s="23" t="s">
        <v>176</v>
      </c>
      <c r="G261" s="59" t="s">
        <v>563</v>
      </c>
      <c r="H261" s="25">
        <v>43435</v>
      </c>
      <c r="I261" s="25">
        <v>43799</v>
      </c>
      <c r="J261" s="23" t="s">
        <v>115</v>
      </c>
      <c r="K261" s="23" t="s">
        <v>335</v>
      </c>
      <c r="L261" s="23" t="s">
        <v>477</v>
      </c>
      <c r="M261" s="23" t="s">
        <v>477</v>
      </c>
      <c r="N261" s="23" t="s">
        <v>116</v>
      </c>
      <c r="O261" s="23">
        <v>121</v>
      </c>
      <c r="P261" s="186">
        <v>911328.7</v>
      </c>
      <c r="Q261" s="186">
        <v>0</v>
      </c>
      <c r="R261" s="186">
        <v>165323.1</v>
      </c>
      <c r="S261" s="186">
        <v>0</v>
      </c>
      <c r="T261" s="186">
        <v>0</v>
      </c>
      <c r="U261" s="230">
        <f t="shared" si="26"/>
        <v>1076651.8</v>
      </c>
      <c r="V261" s="26" t="s">
        <v>318</v>
      </c>
      <c r="W261" s="26">
        <v>1</v>
      </c>
      <c r="X261" s="186">
        <v>911328.7</v>
      </c>
      <c r="Y261" s="190">
        <v>0</v>
      </c>
    </row>
    <row r="262" spans="1:85" s="27" customFormat="1" ht="112.5" customHeight="1" x14ac:dyDescent="0.25">
      <c r="A262" s="151">
        <v>87</v>
      </c>
      <c r="B262" s="71" t="s">
        <v>248</v>
      </c>
      <c r="C262" s="71" t="s">
        <v>708</v>
      </c>
      <c r="D262" s="88" t="s">
        <v>523</v>
      </c>
      <c r="E262" s="22" t="s">
        <v>525</v>
      </c>
      <c r="F262" s="87" t="s">
        <v>526</v>
      </c>
      <c r="G262" s="59" t="s">
        <v>527</v>
      </c>
      <c r="H262" s="25">
        <v>43101</v>
      </c>
      <c r="I262" s="25">
        <v>44530</v>
      </c>
      <c r="J262" s="23" t="s">
        <v>115</v>
      </c>
      <c r="K262" s="23" t="s">
        <v>335</v>
      </c>
      <c r="L262" s="23" t="s">
        <v>477</v>
      </c>
      <c r="M262" s="23" t="s">
        <v>477</v>
      </c>
      <c r="N262" s="23" t="s">
        <v>116</v>
      </c>
      <c r="O262" s="23">
        <v>121</v>
      </c>
      <c r="P262" s="186">
        <v>7572034.5099999998</v>
      </c>
      <c r="Q262" s="186">
        <v>0</v>
      </c>
      <c r="R262" s="186">
        <v>1348772.49</v>
      </c>
      <c r="S262" s="186">
        <v>0</v>
      </c>
      <c r="T262" s="186">
        <v>0</v>
      </c>
      <c r="U262" s="230">
        <f t="shared" si="26"/>
        <v>8920807</v>
      </c>
      <c r="V262" s="26" t="s">
        <v>117</v>
      </c>
      <c r="W262" s="26">
        <v>1</v>
      </c>
      <c r="X262" s="186">
        <f>2071285.26+997244.98+17283.39+146826.46+725665.47+374164.72+187.59</f>
        <v>4332657.87</v>
      </c>
      <c r="Y262" s="190">
        <v>0</v>
      </c>
    </row>
    <row r="263" spans="1:85" s="27" customFormat="1" ht="112.5" customHeight="1" x14ac:dyDescent="0.25">
      <c r="A263" s="146">
        <v>88</v>
      </c>
      <c r="B263" s="71" t="s">
        <v>530</v>
      </c>
      <c r="C263" s="71" t="s">
        <v>709</v>
      </c>
      <c r="D263" s="88" t="s">
        <v>529</v>
      </c>
      <c r="E263" s="22" t="s">
        <v>531</v>
      </c>
      <c r="F263" s="23" t="s">
        <v>506</v>
      </c>
      <c r="G263" s="59" t="s">
        <v>532</v>
      </c>
      <c r="H263" s="25">
        <v>42583</v>
      </c>
      <c r="I263" s="25">
        <v>44957</v>
      </c>
      <c r="J263" s="23" t="s">
        <v>115</v>
      </c>
      <c r="K263" s="23" t="s">
        <v>335</v>
      </c>
      <c r="L263" s="23" t="s">
        <v>477</v>
      </c>
      <c r="M263" s="23" t="s">
        <v>477</v>
      </c>
      <c r="N263" s="23" t="s">
        <v>116</v>
      </c>
      <c r="O263" s="23">
        <v>123</v>
      </c>
      <c r="P263" s="186">
        <v>5667290.9199999999</v>
      </c>
      <c r="Q263" s="186">
        <v>0</v>
      </c>
      <c r="R263" s="186">
        <v>1024539.27</v>
      </c>
      <c r="S263" s="186">
        <v>0</v>
      </c>
      <c r="T263" s="186">
        <v>0</v>
      </c>
      <c r="U263" s="230">
        <f t="shared" si="26"/>
        <v>6691830.1899999995</v>
      </c>
      <c r="V263" s="26" t="s">
        <v>329</v>
      </c>
      <c r="W263" s="26">
        <v>1</v>
      </c>
      <c r="X263" s="186">
        <f>30140.61+147769.76+82660.28</f>
        <v>260570.65</v>
      </c>
      <c r="Y263" s="190">
        <v>0</v>
      </c>
    </row>
    <row r="264" spans="1:85" s="27" customFormat="1" ht="112.5" customHeight="1" x14ac:dyDescent="0.25">
      <c r="A264" s="151">
        <v>89</v>
      </c>
      <c r="B264" s="72" t="s">
        <v>174</v>
      </c>
      <c r="C264" s="72" t="s">
        <v>710</v>
      </c>
      <c r="D264" s="88" t="s">
        <v>533</v>
      </c>
      <c r="E264" s="39" t="s">
        <v>534</v>
      </c>
      <c r="F264" s="40" t="s">
        <v>535</v>
      </c>
      <c r="G264" s="54" t="s">
        <v>564</v>
      </c>
      <c r="H264" s="42">
        <v>42856</v>
      </c>
      <c r="I264" s="108">
        <v>44530</v>
      </c>
      <c r="J264" s="40" t="s">
        <v>115</v>
      </c>
      <c r="K264" s="40" t="s">
        <v>335</v>
      </c>
      <c r="L264" s="40" t="s">
        <v>477</v>
      </c>
      <c r="M264" s="40" t="s">
        <v>477</v>
      </c>
      <c r="N264" s="40" t="s">
        <v>116</v>
      </c>
      <c r="O264" s="40">
        <v>121</v>
      </c>
      <c r="P264" s="201">
        <v>2971784.55</v>
      </c>
      <c r="Q264" s="201">
        <v>0</v>
      </c>
      <c r="R264" s="201">
        <v>537023.02</v>
      </c>
      <c r="S264" s="186">
        <v>0</v>
      </c>
      <c r="T264" s="186">
        <v>220.21</v>
      </c>
      <c r="U264" s="230">
        <f t="shared" si="26"/>
        <v>3509027.78</v>
      </c>
      <c r="V264" s="8" t="s">
        <v>329</v>
      </c>
      <c r="W264" s="26">
        <v>2</v>
      </c>
      <c r="X264" s="186">
        <f>20384.98+91791.15+93085.79+27336.66+120874.4</f>
        <v>353472.98</v>
      </c>
      <c r="Y264" s="190">
        <v>0</v>
      </c>
    </row>
    <row r="265" spans="1:85" s="28" customFormat="1" ht="112.5" customHeight="1" x14ac:dyDescent="0.25">
      <c r="A265" s="146">
        <v>90</v>
      </c>
      <c r="B265" s="71" t="s">
        <v>126</v>
      </c>
      <c r="C265" s="71" t="s">
        <v>711</v>
      </c>
      <c r="D265" s="88" t="s">
        <v>541</v>
      </c>
      <c r="E265" s="22" t="s">
        <v>536</v>
      </c>
      <c r="F265" s="23" t="s">
        <v>301</v>
      </c>
      <c r="G265" s="59" t="s">
        <v>537</v>
      </c>
      <c r="H265" s="25">
        <v>43556</v>
      </c>
      <c r="I265" s="25">
        <v>45291</v>
      </c>
      <c r="J265" s="23" t="s">
        <v>115</v>
      </c>
      <c r="K265" s="23" t="s">
        <v>335</v>
      </c>
      <c r="L265" s="23" t="s">
        <v>477</v>
      </c>
      <c r="M265" s="23" t="s">
        <v>477</v>
      </c>
      <c r="N265" s="23" t="s">
        <v>116</v>
      </c>
      <c r="O265" s="23">
        <v>121</v>
      </c>
      <c r="P265" s="186">
        <v>9544153.5700000003</v>
      </c>
      <c r="Q265" s="186">
        <v>0</v>
      </c>
      <c r="R265" s="186">
        <v>1725402.91</v>
      </c>
      <c r="S265" s="186">
        <v>0</v>
      </c>
      <c r="T265" s="186">
        <v>0</v>
      </c>
      <c r="U265" s="230">
        <f t="shared" si="26"/>
        <v>11269556.48</v>
      </c>
      <c r="V265" s="26" t="str">
        <f>V264</f>
        <v>in implementare</v>
      </c>
      <c r="W265" s="26">
        <v>0</v>
      </c>
      <c r="X265" s="186">
        <v>0</v>
      </c>
      <c r="Y265" s="190">
        <v>0</v>
      </c>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92"/>
    </row>
    <row r="266" spans="1:85" s="28" customFormat="1" ht="112.5" customHeight="1" x14ac:dyDescent="0.25">
      <c r="A266" s="151">
        <v>91</v>
      </c>
      <c r="B266" s="71" t="s">
        <v>138</v>
      </c>
      <c r="C266" s="71" t="s">
        <v>712</v>
      </c>
      <c r="D266" s="88" t="s">
        <v>542</v>
      </c>
      <c r="E266" s="22" t="s">
        <v>538</v>
      </c>
      <c r="F266" s="23" t="s">
        <v>539</v>
      </c>
      <c r="G266" s="59" t="s">
        <v>540</v>
      </c>
      <c r="H266" s="25">
        <v>43313</v>
      </c>
      <c r="I266" s="25">
        <v>44227</v>
      </c>
      <c r="J266" s="23" t="s">
        <v>115</v>
      </c>
      <c r="K266" s="23" t="s">
        <v>335</v>
      </c>
      <c r="L266" s="23" t="s">
        <v>477</v>
      </c>
      <c r="M266" s="93" t="s">
        <v>477</v>
      </c>
      <c r="N266" s="23" t="s">
        <v>116</v>
      </c>
      <c r="O266" s="23">
        <v>123</v>
      </c>
      <c r="P266" s="261">
        <f>3271229.68-12351.69</f>
        <v>3258877.99</v>
      </c>
      <c r="Q266" s="266">
        <v>0</v>
      </c>
      <c r="R266" s="267">
        <f>591376.59-2232.95</f>
        <v>589143.64</v>
      </c>
      <c r="S266" s="186">
        <v>0</v>
      </c>
      <c r="T266" s="186">
        <v>18121.32</v>
      </c>
      <c r="U266" s="230">
        <f t="shared" si="26"/>
        <v>3866142.95</v>
      </c>
      <c r="V266" s="26" t="str">
        <f>V265</f>
        <v>in implementare</v>
      </c>
      <c r="W266" s="26">
        <v>1</v>
      </c>
      <c r="X266" s="186">
        <f>923931.62+60679.18+12534.92</f>
        <v>997145.72000000009</v>
      </c>
      <c r="Y266" s="190">
        <v>0</v>
      </c>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92"/>
    </row>
    <row r="267" spans="1:85" s="96" customFormat="1" ht="112.5" customHeight="1" x14ac:dyDescent="0.25">
      <c r="A267" s="146">
        <v>92</v>
      </c>
      <c r="B267" s="72" t="s">
        <v>174</v>
      </c>
      <c r="C267" s="72" t="s">
        <v>713</v>
      </c>
      <c r="D267" s="88" t="s">
        <v>546</v>
      </c>
      <c r="E267" s="22" t="s">
        <v>543</v>
      </c>
      <c r="F267" s="40" t="s">
        <v>544</v>
      </c>
      <c r="G267" s="39" t="s">
        <v>545</v>
      </c>
      <c r="H267" s="42">
        <v>43524</v>
      </c>
      <c r="I267" s="42">
        <v>44439</v>
      </c>
      <c r="J267" s="40" t="s">
        <v>115</v>
      </c>
      <c r="K267" s="40" t="s">
        <v>335</v>
      </c>
      <c r="L267" s="40" t="s">
        <v>477</v>
      </c>
      <c r="M267" s="60" t="s">
        <v>477</v>
      </c>
      <c r="N267" s="40" t="s">
        <v>116</v>
      </c>
      <c r="O267" s="40">
        <f>O266</f>
        <v>123</v>
      </c>
      <c r="P267" s="261">
        <v>298494.96000000002</v>
      </c>
      <c r="Q267" s="201">
        <v>0</v>
      </c>
      <c r="R267" s="268">
        <v>54149.64</v>
      </c>
      <c r="S267" s="201">
        <v>0</v>
      </c>
      <c r="T267" s="201">
        <v>0</v>
      </c>
      <c r="U267" s="235">
        <f t="shared" si="26"/>
        <v>352644.60000000003</v>
      </c>
      <c r="V267" s="43" t="str">
        <f>V266</f>
        <v>in implementare</v>
      </c>
      <c r="W267" s="43">
        <v>1</v>
      </c>
      <c r="X267" s="186">
        <f>474.02+34952.34+1718.41+5137.09+261.89</f>
        <v>42543.75</v>
      </c>
      <c r="Y267" s="190">
        <v>0</v>
      </c>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95"/>
    </row>
    <row r="268" spans="1:85" s="28" customFormat="1" ht="112.5" customHeight="1" x14ac:dyDescent="0.25">
      <c r="A268" s="151">
        <v>93</v>
      </c>
      <c r="B268" s="72" t="s">
        <v>126</v>
      </c>
      <c r="C268" s="72" t="s">
        <v>714</v>
      </c>
      <c r="D268" s="88" t="s">
        <v>547</v>
      </c>
      <c r="E268" s="39" t="s">
        <v>549</v>
      </c>
      <c r="F268" s="40" t="s">
        <v>509</v>
      </c>
      <c r="G268" s="54" t="s">
        <v>565</v>
      </c>
      <c r="H268" s="42">
        <v>43678</v>
      </c>
      <c r="I268" s="42">
        <v>44957</v>
      </c>
      <c r="J268" s="40" t="s">
        <v>115</v>
      </c>
      <c r="K268" s="40" t="s">
        <v>335</v>
      </c>
      <c r="L268" s="40" t="s">
        <v>477</v>
      </c>
      <c r="M268" s="40" t="s">
        <v>477</v>
      </c>
      <c r="N268" s="40" t="s">
        <v>116</v>
      </c>
      <c r="O268" s="40">
        <v>121</v>
      </c>
      <c r="P268" s="269">
        <v>5570588.8700000001</v>
      </c>
      <c r="Q268" s="201">
        <v>0</v>
      </c>
      <c r="R268" s="268">
        <v>1007057.35</v>
      </c>
      <c r="S268" s="201">
        <v>0</v>
      </c>
      <c r="T268" s="201">
        <v>0</v>
      </c>
      <c r="U268" s="235">
        <f t="shared" si="26"/>
        <v>6577646.2199999997</v>
      </c>
      <c r="V268" s="43" t="s">
        <v>329</v>
      </c>
      <c r="W268" s="43">
        <v>2</v>
      </c>
      <c r="X268" s="186">
        <f>13784.1+7598.36+87218.43+52033.35</f>
        <v>160634.23999999999</v>
      </c>
      <c r="Y268" s="190">
        <v>0</v>
      </c>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92"/>
    </row>
    <row r="269" spans="1:85" s="27" customFormat="1" ht="112.5" customHeight="1" x14ac:dyDescent="0.25">
      <c r="A269" s="146">
        <v>94</v>
      </c>
      <c r="B269" s="71" t="s">
        <v>174</v>
      </c>
      <c r="C269" s="71" t="s">
        <v>715</v>
      </c>
      <c r="D269" s="88" t="s">
        <v>550</v>
      </c>
      <c r="E269" s="39" t="s">
        <v>551</v>
      </c>
      <c r="F269" s="40" t="s">
        <v>552</v>
      </c>
      <c r="G269" s="22" t="s">
        <v>553</v>
      </c>
      <c r="H269" s="25">
        <v>43101</v>
      </c>
      <c r="I269" s="25">
        <v>44530</v>
      </c>
      <c r="J269" s="23" t="s">
        <v>115</v>
      </c>
      <c r="K269" s="23" t="s">
        <v>335</v>
      </c>
      <c r="L269" s="23" t="s">
        <v>477</v>
      </c>
      <c r="M269" s="23" t="s">
        <v>477</v>
      </c>
      <c r="N269" s="23" t="s">
        <v>116</v>
      </c>
      <c r="O269" s="23">
        <f>O268</f>
        <v>121</v>
      </c>
      <c r="P269" s="186">
        <v>1290798.6499999999</v>
      </c>
      <c r="Q269" s="186">
        <v>0</v>
      </c>
      <c r="R269" s="186">
        <v>234162.33000000007</v>
      </c>
      <c r="S269" s="186">
        <v>0</v>
      </c>
      <c r="T269" s="186">
        <v>229883.06</v>
      </c>
      <c r="U269" s="230">
        <f t="shared" si="26"/>
        <v>1754844.04</v>
      </c>
      <c r="V269" s="26" t="s">
        <v>329</v>
      </c>
      <c r="W269" s="26">
        <v>1</v>
      </c>
      <c r="X269" s="201">
        <f>112760.99+267932.65+101106.9</f>
        <v>481800.54000000004</v>
      </c>
      <c r="Y269" s="190">
        <v>0</v>
      </c>
    </row>
    <row r="270" spans="1:85" s="27" customFormat="1" ht="112.5" customHeight="1" x14ac:dyDescent="0.25">
      <c r="A270" s="151">
        <v>95</v>
      </c>
      <c r="B270" s="71" t="s">
        <v>126</v>
      </c>
      <c r="C270" s="131" t="s">
        <v>716</v>
      </c>
      <c r="D270" s="88" t="s">
        <v>554</v>
      </c>
      <c r="E270" s="22" t="s">
        <v>556</v>
      </c>
      <c r="F270" s="23" t="s">
        <v>558</v>
      </c>
      <c r="G270" s="59" t="s">
        <v>560</v>
      </c>
      <c r="H270" s="25">
        <v>43784</v>
      </c>
      <c r="I270" s="25">
        <v>44695</v>
      </c>
      <c r="J270" s="23" t="s">
        <v>115</v>
      </c>
      <c r="K270" s="23" t="s">
        <v>335</v>
      </c>
      <c r="L270" s="23" t="s">
        <v>477</v>
      </c>
      <c r="M270" s="23" t="s">
        <v>477</v>
      </c>
      <c r="N270" s="23" t="s">
        <v>116</v>
      </c>
      <c r="O270" s="23">
        <f>O269</f>
        <v>121</v>
      </c>
      <c r="P270" s="186">
        <v>14067135.970000001</v>
      </c>
      <c r="Q270" s="186">
        <v>2543072.7999999998</v>
      </c>
      <c r="R270" s="186">
        <v>0</v>
      </c>
      <c r="S270" s="186">
        <v>338983.85</v>
      </c>
      <c r="T270" s="186">
        <v>0</v>
      </c>
      <c r="U270" s="230">
        <f t="shared" ref="U270" si="27">P270+Q270+R270+S270+T270</f>
        <v>16949192.620000001</v>
      </c>
      <c r="V270" s="26" t="s">
        <v>329</v>
      </c>
      <c r="W270" s="105">
        <v>2</v>
      </c>
      <c r="X270" s="197">
        <f>1694919.26+74553.27-35368.07-45151.98+847459.63</f>
        <v>2536412.11</v>
      </c>
      <c r="Y270" s="190">
        <f>13477.81+35368.07+45151.98</f>
        <v>93997.86</v>
      </c>
      <c r="Z270" s="3"/>
      <c r="AA270" s="121"/>
      <c r="AB270" s="121"/>
      <c r="AD270" s="121"/>
    </row>
    <row r="271" spans="1:85" s="27" customFormat="1" ht="112.5" customHeight="1" x14ac:dyDescent="0.25">
      <c r="A271" s="146">
        <v>96</v>
      </c>
      <c r="B271" s="71" t="s">
        <v>174</v>
      </c>
      <c r="C271" s="71" t="s">
        <v>717</v>
      </c>
      <c r="D271" s="88" t="s">
        <v>555</v>
      </c>
      <c r="E271" s="22" t="s">
        <v>557</v>
      </c>
      <c r="F271" s="23" t="s">
        <v>559</v>
      </c>
      <c r="G271" s="22" t="s">
        <v>566</v>
      </c>
      <c r="H271" s="25">
        <v>43591</v>
      </c>
      <c r="I271" s="25">
        <v>44460</v>
      </c>
      <c r="J271" s="23" t="s">
        <v>115</v>
      </c>
      <c r="K271" s="23" t="s">
        <v>335</v>
      </c>
      <c r="L271" s="23" t="s">
        <v>477</v>
      </c>
      <c r="M271" s="23" t="s">
        <v>477</v>
      </c>
      <c r="N271" s="23" t="s">
        <v>116</v>
      </c>
      <c r="O271" s="23">
        <v>122</v>
      </c>
      <c r="P271" s="186">
        <v>5892540.79</v>
      </c>
      <c r="Q271" s="186">
        <v>0</v>
      </c>
      <c r="R271" s="186">
        <v>1068959.21</v>
      </c>
      <c r="S271" s="186">
        <v>0</v>
      </c>
      <c r="T271" s="186">
        <v>0</v>
      </c>
      <c r="U271" s="230">
        <f t="shared" ref="U271:U273" si="28">P271+Q271+R271+S271+T271</f>
        <v>6961500</v>
      </c>
      <c r="V271" s="26" t="s">
        <v>329</v>
      </c>
      <c r="W271" s="26">
        <v>0</v>
      </c>
      <c r="X271" s="203">
        <v>235701.63</v>
      </c>
      <c r="Y271" s="190">
        <v>0</v>
      </c>
    </row>
    <row r="272" spans="1:85" s="27" customFormat="1" ht="112.5" customHeight="1" x14ac:dyDescent="0.25">
      <c r="A272" s="151">
        <v>97</v>
      </c>
      <c r="B272" s="71" t="s">
        <v>174</v>
      </c>
      <c r="C272" s="71" t="s">
        <v>718</v>
      </c>
      <c r="D272" s="88" t="s">
        <v>567</v>
      </c>
      <c r="E272" s="22" t="s">
        <v>569</v>
      </c>
      <c r="F272" s="23" t="s">
        <v>570</v>
      </c>
      <c r="G272" s="104" t="s">
        <v>571</v>
      </c>
      <c r="H272" s="25">
        <v>43739</v>
      </c>
      <c r="I272" s="25">
        <v>45291</v>
      </c>
      <c r="J272" s="84" t="s">
        <v>115</v>
      </c>
      <c r="K272" s="23" t="s">
        <v>335</v>
      </c>
      <c r="L272" s="23" t="s">
        <v>477</v>
      </c>
      <c r="M272" s="23" t="s">
        <v>477</v>
      </c>
      <c r="N272" s="23" t="s">
        <v>116</v>
      </c>
      <c r="O272" s="23">
        <v>121</v>
      </c>
      <c r="P272" s="186">
        <f>6483865.59-725134.51</f>
        <v>5758731.0800000001</v>
      </c>
      <c r="Q272" s="186">
        <v>0</v>
      </c>
      <c r="R272" s="186">
        <v>1044684.919999999</v>
      </c>
      <c r="S272" s="186">
        <v>0</v>
      </c>
      <c r="T272" s="270">
        <v>119112.00000000093</v>
      </c>
      <c r="U272" s="230">
        <f t="shared" si="28"/>
        <v>6922528</v>
      </c>
      <c r="V272" s="26" t="s">
        <v>329</v>
      </c>
      <c r="W272" s="26">
        <v>1</v>
      </c>
      <c r="X272" s="186">
        <v>0</v>
      </c>
      <c r="Y272" s="190">
        <v>0</v>
      </c>
    </row>
    <row r="273" spans="1:85" s="27" customFormat="1" ht="112.5" customHeight="1" x14ac:dyDescent="0.25">
      <c r="A273" s="146">
        <v>98</v>
      </c>
      <c r="B273" s="71" t="s">
        <v>174</v>
      </c>
      <c r="C273" s="71" t="s">
        <v>719</v>
      </c>
      <c r="D273" s="88" t="s">
        <v>568</v>
      </c>
      <c r="E273" s="22" t="s">
        <v>572</v>
      </c>
      <c r="F273" s="23" t="s">
        <v>570</v>
      </c>
      <c r="G273" s="104" t="s">
        <v>573</v>
      </c>
      <c r="H273" s="25">
        <v>43556</v>
      </c>
      <c r="I273" s="25" t="s">
        <v>750</v>
      </c>
      <c r="J273" s="84" t="s">
        <v>115</v>
      </c>
      <c r="K273" s="23" t="s">
        <v>335</v>
      </c>
      <c r="L273" s="23" t="s">
        <v>477</v>
      </c>
      <c r="M273" s="23" t="s">
        <v>477</v>
      </c>
      <c r="N273" s="23" t="s">
        <v>116</v>
      </c>
      <c r="O273" s="23">
        <f t="shared" ref="O273:O274" si="29">O272</f>
        <v>121</v>
      </c>
      <c r="P273" s="186">
        <f>55319.11-304.96</f>
        <v>55014.15</v>
      </c>
      <c r="Q273" s="186">
        <v>0</v>
      </c>
      <c r="R273" s="186">
        <f>10035.37-55.32</f>
        <v>9980.0500000000011</v>
      </c>
      <c r="S273" s="186">
        <v>0</v>
      </c>
      <c r="T273" s="186">
        <v>5547.72</v>
      </c>
      <c r="U273" s="230">
        <f t="shared" si="28"/>
        <v>70541.919999999998</v>
      </c>
      <c r="V273" s="26" t="s">
        <v>329</v>
      </c>
      <c r="W273" s="26">
        <v>1</v>
      </c>
      <c r="X273" s="186">
        <f>20479.54+17640.35</f>
        <v>38119.89</v>
      </c>
      <c r="Y273" s="190">
        <v>0</v>
      </c>
    </row>
    <row r="274" spans="1:85" s="27" customFormat="1" ht="112.5" customHeight="1" x14ac:dyDescent="0.25">
      <c r="A274" s="151">
        <v>99</v>
      </c>
      <c r="B274" s="71" t="s">
        <v>174</v>
      </c>
      <c r="C274" s="71" t="s">
        <v>720</v>
      </c>
      <c r="D274" s="88" t="s">
        <v>575</v>
      </c>
      <c r="E274" s="22" t="s">
        <v>572</v>
      </c>
      <c r="F274" s="23" t="s">
        <v>570</v>
      </c>
      <c r="G274" s="104" t="s">
        <v>573</v>
      </c>
      <c r="H274" s="25">
        <v>43556</v>
      </c>
      <c r="I274" s="25">
        <v>44286</v>
      </c>
      <c r="J274" s="84" t="s">
        <v>115</v>
      </c>
      <c r="K274" s="23" t="s">
        <v>335</v>
      </c>
      <c r="L274" s="23" t="s">
        <v>477</v>
      </c>
      <c r="M274" s="23" t="s">
        <v>477</v>
      </c>
      <c r="N274" s="23" t="s">
        <v>116</v>
      </c>
      <c r="O274" s="23">
        <f t="shared" si="29"/>
        <v>121</v>
      </c>
      <c r="P274" s="186">
        <v>44616.58</v>
      </c>
      <c r="Q274" s="186">
        <v>0</v>
      </c>
      <c r="R274" s="186">
        <v>8093.8399999999965</v>
      </c>
      <c r="S274" s="186">
        <v>0</v>
      </c>
      <c r="T274" s="186">
        <v>0</v>
      </c>
      <c r="U274" s="230">
        <f t="shared" ref="U274:U282" si="30">P274+Q274+R274+S274+T274</f>
        <v>52710.42</v>
      </c>
      <c r="V274" s="26" t="s">
        <v>329</v>
      </c>
      <c r="W274" s="26">
        <v>0</v>
      </c>
      <c r="X274" s="186">
        <v>5109.16</v>
      </c>
      <c r="Y274" s="190">
        <v>0</v>
      </c>
    </row>
    <row r="275" spans="1:85" s="27" customFormat="1" ht="112.5" customHeight="1" x14ac:dyDescent="0.25">
      <c r="A275" s="146">
        <v>100</v>
      </c>
      <c r="B275" s="72" t="s">
        <v>174</v>
      </c>
      <c r="C275" s="72" t="s">
        <v>721</v>
      </c>
      <c r="D275" s="47" t="s">
        <v>577</v>
      </c>
      <c r="E275" s="23" t="s">
        <v>578</v>
      </c>
      <c r="F275" s="23" t="s">
        <v>579</v>
      </c>
      <c r="G275" s="39" t="s">
        <v>580</v>
      </c>
      <c r="H275" s="42">
        <v>43891</v>
      </c>
      <c r="I275" s="42">
        <v>45016</v>
      </c>
      <c r="J275" s="40" t="s">
        <v>115</v>
      </c>
      <c r="K275" s="40" t="s">
        <v>335</v>
      </c>
      <c r="L275" s="40" t="s">
        <v>477</v>
      </c>
      <c r="M275" s="40" t="s">
        <v>477</v>
      </c>
      <c r="N275" s="40" t="s">
        <v>116</v>
      </c>
      <c r="O275" s="40">
        <v>121</v>
      </c>
      <c r="P275" s="201">
        <v>23848678.98</v>
      </c>
      <c r="Q275" s="201">
        <v>0</v>
      </c>
      <c r="R275" s="201">
        <v>4326362.09</v>
      </c>
      <c r="S275" s="201">
        <v>0</v>
      </c>
      <c r="T275" s="201">
        <v>5823256.4699999997</v>
      </c>
      <c r="U275" s="235">
        <f t="shared" si="30"/>
        <v>33998297.539999999</v>
      </c>
      <c r="V275" s="43" t="s">
        <v>329</v>
      </c>
      <c r="W275" s="43">
        <v>1</v>
      </c>
      <c r="X275" s="201">
        <v>0</v>
      </c>
      <c r="Y275" s="202">
        <v>0</v>
      </c>
    </row>
    <row r="276" spans="1:85" s="28" customFormat="1" ht="112.5" customHeight="1" x14ac:dyDescent="0.25">
      <c r="A276" s="151">
        <v>101</v>
      </c>
      <c r="B276" s="72" t="s">
        <v>174</v>
      </c>
      <c r="C276" s="72" t="s">
        <v>722</v>
      </c>
      <c r="D276" s="47" t="s">
        <v>581</v>
      </c>
      <c r="E276" s="23" t="s">
        <v>582</v>
      </c>
      <c r="F276" s="23" t="s">
        <v>440</v>
      </c>
      <c r="G276" s="39" t="s">
        <v>583</v>
      </c>
      <c r="H276" s="42">
        <v>43800</v>
      </c>
      <c r="I276" s="42">
        <v>45137</v>
      </c>
      <c r="J276" s="40" t="s">
        <v>115</v>
      </c>
      <c r="K276" s="40" t="s">
        <v>335</v>
      </c>
      <c r="L276" s="40" t="s">
        <v>477</v>
      </c>
      <c r="M276" s="40" t="s">
        <v>477</v>
      </c>
      <c r="N276" s="40" t="s">
        <v>116</v>
      </c>
      <c r="O276" s="40">
        <v>121</v>
      </c>
      <c r="P276" s="201">
        <v>2031868.94</v>
      </c>
      <c r="Q276" s="201">
        <v>0</v>
      </c>
      <c r="R276" s="201">
        <v>368599.06000000006</v>
      </c>
      <c r="S276" s="201">
        <v>0</v>
      </c>
      <c r="T276" s="201">
        <v>0</v>
      </c>
      <c r="U276" s="235">
        <f t="shared" si="30"/>
        <v>2400468</v>
      </c>
      <c r="V276" s="43" t="str">
        <f>V275</f>
        <v>in implementare</v>
      </c>
      <c r="W276" s="43">
        <v>0</v>
      </c>
      <c r="X276" s="201">
        <v>0</v>
      </c>
      <c r="Y276" s="202">
        <v>0</v>
      </c>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92"/>
    </row>
    <row r="277" spans="1:85" s="27" customFormat="1" ht="112.5" customHeight="1" x14ac:dyDescent="0.25">
      <c r="A277" s="146">
        <v>102</v>
      </c>
      <c r="B277" s="72" t="s">
        <v>584</v>
      </c>
      <c r="C277" s="72" t="s">
        <v>723</v>
      </c>
      <c r="D277" s="29" t="s">
        <v>585</v>
      </c>
      <c r="E277" s="22" t="s">
        <v>586</v>
      </c>
      <c r="F277" s="23" t="s">
        <v>587</v>
      </c>
      <c r="G277" s="117" t="s">
        <v>588</v>
      </c>
      <c r="H277" s="42">
        <v>43831</v>
      </c>
      <c r="I277" s="42">
        <v>44957</v>
      </c>
      <c r="J277" s="40" t="s">
        <v>115</v>
      </c>
      <c r="K277" s="40" t="s">
        <v>335</v>
      </c>
      <c r="L277" s="40" t="s">
        <v>477</v>
      </c>
      <c r="M277" s="40" t="s">
        <v>477</v>
      </c>
      <c r="N277" s="40" t="s">
        <v>116</v>
      </c>
      <c r="O277" s="40">
        <v>121</v>
      </c>
      <c r="P277" s="201">
        <v>9493125.25</v>
      </c>
      <c r="Q277" s="201">
        <v>0</v>
      </c>
      <c r="R277" s="201">
        <v>1722137.17</v>
      </c>
      <c r="S277" s="201">
        <v>0</v>
      </c>
      <c r="T277" s="201">
        <v>128554.19999999925</v>
      </c>
      <c r="U277" s="235">
        <f t="shared" si="30"/>
        <v>11343816.619999999</v>
      </c>
      <c r="V277" s="43" t="str">
        <f>V276</f>
        <v>in implementare</v>
      </c>
      <c r="W277" s="43">
        <v>0</v>
      </c>
      <c r="X277" s="201">
        <v>0</v>
      </c>
      <c r="Y277" s="202">
        <v>0</v>
      </c>
    </row>
    <row r="278" spans="1:85" s="28" customFormat="1" ht="112.5" customHeight="1" x14ac:dyDescent="0.25">
      <c r="A278" s="151">
        <v>103</v>
      </c>
      <c r="B278" s="72" t="s">
        <v>330</v>
      </c>
      <c r="C278" s="72" t="s">
        <v>724</v>
      </c>
      <c r="D278" s="29" t="s">
        <v>589</v>
      </c>
      <c r="E278" s="22" t="s">
        <v>590</v>
      </c>
      <c r="F278" s="23" t="s">
        <v>587</v>
      </c>
      <c r="G278" s="118" t="s">
        <v>591</v>
      </c>
      <c r="H278" s="108">
        <v>43620</v>
      </c>
      <c r="I278" s="108">
        <v>45107</v>
      </c>
      <c r="J278" s="40" t="s">
        <v>115</v>
      </c>
      <c r="K278" s="40" t="s">
        <v>335</v>
      </c>
      <c r="L278" s="40" t="s">
        <v>477</v>
      </c>
      <c r="M278" s="40" t="s">
        <v>477</v>
      </c>
      <c r="N278" s="40" t="str">
        <f>N277</f>
        <v>autoritate publică centrală</v>
      </c>
      <c r="O278" s="40">
        <v>121</v>
      </c>
      <c r="P278" s="201">
        <v>43175078.859999999</v>
      </c>
      <c r="Q278" s="201">
        <v>0</v>
      </c>
      <c r="R278" s="201">
        <v>7832342.5700000003</v>
      </c>
      <c r="S278" s="201">
        <v>0</v>
      </c>
      <c r="T278" s="201">
        <v>1426127.9299999997</v>
      </c>
      <c r="U278" s="235">
        <f t="shared" si="30"/>
        <v>52433549.359999999</v>
      </c>
      <c r="V278" s="43" t="str">
        <f>V277</f>
        <v>in implementare</v>
      </c>
      <c r="W278" s="43">
        <v>0</v>
      </c>
      <c r="X278" s="201">
        <v>0</v>
      </c>
      <c r="Y278" s="202">
        <v>0</v>
      </c>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92"/>
    </row>
    <row r="279" spans="1:85" s="27" customFormat="1" ht="112.5" customHeight="1" x14ac:dyDescent="0.25">
      <c r="A279" s="146">
        <v>104</v>
      </c>
      <c r="B279" s="72" t="s">
        <v>174</v>
      </c>
      <c r="C279" s="72" t="s">
        <v>725</v>
      </c>
      <c r="D279" s="29" t="s">
        <v>592</v>
      </c>
      <c r="E279" s="22" t="s">
        <v>593</v>
      </c>
      <c r="F279" s="23" t="s">
        <v>594</v>
      </c>
      <c r="G279" s="117" t="s">
        <v>595</v>
      </c>
      <c r="H279" s="42">
        <v>43829</v>
      </c>
      <c r="I279" s="108">
        <v>44837</v>
      </c>
      <c r="J279" s="40" t="s">
        <v>115</v>
      </c>
      <c r="K279" s="40" t="s">
        <v>335</v>
      </c>
      <c r="L279" s="40" t="s">
        <v>477</v>
      </c>
      <c r="M279" s="40" t="s">
        <v>477</v>
      </c>
      <c r="N279" s="40" t="str">
        <f>N278</f>
        <v>autoritate publică centrală</v>
      </c>
      <c r="O279" s="40">
        <v>121</v>
      </c>
      <c r="P279" s="201">
        <v>700190.98</v>
      </c>
      <c r="Q279" s="201">
        <v>0</v>
      </c>
      <c r="R279" s="201">
        <v>127020.86</v>
      </c>
      <c r="S279" s="201">
        <v>0</v>
      </c>
      <c r="T279" s="201">
        <v>0</v>
      </c>
      <c r="U279" s="235">
        <f t="shared" si="30"/>
        <v>827211.84</v>
      </c>
      <c r="V279" s="10" t="s">
        <v>329</v>
      </c>
      <c r="W279" s="43">
        <v>0</v>
      </c>
      <c r="X279" s="201">
        <v>0</v>
      </c>
      <c r="Y279" s="202">
        <v>0</v>
      </c>
    </row>
    <row r="280" spans="1:85" s="27" customFormat="1" ht="112.5" customHeight="1" x14ac:dyDescent="0.25">
      <c r="A280" s="151">
        <v>105</v>
      </c>
      <c r="B280" s="71" t="s">
        <v>174</v>
      </c>
      <c r="C280" s="71" t="s">
        <v>726</v>
      </c>
      <c r="D280" s="29" t="s">
        <v>596</v>
      </c>
      <c r="E280" s="22" t="s">
        <v>597</v>
      </c>
      <c r="F280" s="23" t="s">
        <v>598</v>
      </c>
      <c r="G280" s="22" t="s">
        <v>599</v>
      </c>
      <c r="H280" s="25">
        <v>44027</v>
      </c>
      <c r="I280" s="25">
        <v>44561</v>
      </c>
      <c r="J280" s="23" t="s">
        <v>115</v>
      </c>
      <c r="K280" s="23" t="s">
        <v>335</v>
      </c>
      <c r="L280" s="23" t="s">
        <v>477</v>
      </c>
      <c r="M280" s="23" t="s">
        <v>477</v>
      </c>
      <c r="N280" s="23" t="str">
        <f>N279</f>
        <v>autoritate publică centrală</v>
      </c>
      <c r="O280" s="23">
        <v>121</v>
      </c>
      <c r="P280" s="186">
        <v>1751067.32</v>
      </c>
      <c r="Q280" s="186">
        <v>0</v>
      </c>
      <c r="R280" s="186">
        <v>315932.68</v>
      </c>
      <c r="S280" s="186">
        <v>0</v>
      </c>
      <c r="T280" s="186">
        <v>0</v>
      </c>
      <c r="U280" s="230">
        <f t="shared" si="30"/>
        <v>2067000</v>
      </c>
      <c r="V280" s="26" t="s">
        <v>329</v>
      </c>
      <c r="W280" s="26">
        <v>1</v>
      </c>
      <c r="X280" s="186">
        <v>0</v>
      </c>
      <c r="Y280" s="190">
        <v>0</v>
      </c>
    </row>
    <row r="281" spans="1:85" s="27" customFormat="1" ht="112.5" customHeight="1" x14ac:dyDescent="0.25">
      <c r="A281" s="146">
        <v>106</v>
      </c>
      <c r="B281" s="71" t="s">
        <v>174</v>
      </c>
      <c r="C281" s="71" t="s">
        <v>727</v>
      </c>
      <c r="D281" s="29" t="s">
        <v>600</v>
      </c>
      <c r="E281" s="110" t="s">
        <v>602</v>
      </c>
      <c r="F281" s="87" t="s">
        <v>603</v>
      </c>
      <c r="G281" s="22" t="s">
        <v>606</v>
      </c>
      <c r="H281" s="25">
        <v>43556</v>
      </c>
      <c r="I281" s="25">
        <v>44561</v>
      </c>
      <c r="J281" s="40" t="s">
        <v>115</v>
      </c>
      <c r="K281" s="40" t="s">
        <v>335</v>
      </c>
      <c r="L281" s="40" t="s">
        <v>477</v>
      </c>
      <c r="M281" s="40" t="s">
        <v>477</v>
      </c>
      <c r="N281" s="40" t="str">
        <f>N280</f>
        <v>autoritate publică centrală</v>
      </c>
      <c r="O281" s="40">
        <v>121</v>
      </c>
      <c r="P281" s="186">
        <v>286109.06</v>
      </c>
      <c r="Q281" s="186">
        <v>0</v>
      </c>
      <c r="R281" s="186">
        <v>51902.720000000001</v>
      </c>
      <c r="S281" s="186">
        <v>0</v>
      </c>
      <c r="T281" s="186">
        <v>0</v>
      </c>
      <c r="U281" s="230">
        <f t="shared" si="30"/>
        <v>338011.78</v>
      </c>
      <c r="V281" s="26" t="s">
        <v>329</v>
      </c>
      <c r="W281" s="26">
        <v>0</v>
      </c>
      <c r="X281" s="186">
        <f>43312.69+128726.68+0.61</f>
        <v>172039.97999999998</v>
      </c>
      <c r="Y281" s="190">
        <v>0</v>
      </c>
    </row>
    <row r="282" spans="1:85" s="27" customFormat="1" ht="112.5" customHeight="1" x14ac:dyDescent="0.25">
      <c r="A282" s="151">
        <v>107</v>
      </c>
      <c r="B282" s="72" t="s">
        <v>174</v>
      </c>
      <c r="C282" s="72" t="s">
        <v>728</v>
      </c>
      <c r="D282" s="47" t="s">
        <v>601</v>
      </c>
      <c r="E282" s="106" t="s">
        <v>604</v>
      </c>
      <c r="F282" s="107" t="s">
        <v>605</v>
      </c>
      <c r="G282" s="39" t="s">
        <v>607</v>
      </c>
      <c r="H282" s="42">
        <v>43846</v>
      </c>
      <c r="I282" s="42">
        <v>44926</v>
      </c>
      <c r="J282" s="40" t="s">
        <v>115</v>
      </c>
      <c r="K282" s="40" t="s">
        <v>335</v>
      </c>
      <c r="L282" s="40" t="s">
        <v>477</v>
      </c>
      <c r="M282" s="40" t="s">
        <v>477</v>
      </c>
      <c r="N282" s="40" t="str">
        <f>N281</f>
        <v>autoritate publică centrală</v>
      </c>
      <c r="O282" s="40">
        <v>121</v>
      </c>
      <c r="P282" s="201">
        <v>26685351</v>
      </c>
      <c r="Q282" s="201">
        <v>0</v>
      </c>
      <c r="R282" s="201">
        <v>4814649</v>
      </c>
      <c r="S282" s="201">
        <v>0</v>
      </c>
      <c r="T282" s="201">
        <v>0</v>
      </c>
      <c r="U282" s="235">
        <f t="shared" si="30"/>
        <v>31500000</v>
      </c>
      <c r="V282" s="43" t="s">
        <v>329</v>
      </c>
      <c r="W282" s="43">
        <v>0</v>
      </c>
      <c r="X282" s="201">
        <v>0</v>
      </c>
      <c r="Y282" s="202">
        <v>0</v>
      </c>
    </row>
    <row r="283" spans="1:85" s="27" customFormat="1" ht="102" x14ac:dyDescent="0.25">
      <c r="A283" s="146">
        <v>108</v>
      </c>
      <c r="B283" s="62" t="s">
        <v>126</v>
      </c>
      <c r="C283" s="29" t="s">
        <v>745</v>
      </c>
      <c r="D283" s="62" t="s">
        <v>730</v>
      </c>
      <c r="E283" s="22" t="s">
        <v>731</v>
      </c>
      <c r="F283" s="23" t="s">
        <v>732</v>
      </c>
      <c r="G283" s="59" t="s">
        <v>733</v>
      </c>
      <c r="H283" s="25">
        <v>44046</v>
      </c>
      <c r="I283" s="25">
        <v>44592</v>
      </c>
      <c r="J283" s="23" t="s">
        <v>115</v>
      </c>
      <c r="K283" s="23" t="s">
        <v>335</v>
      </c>
      <c r="L283" s="63" t="s">
        <v>477</v>
      </c>
      <c r="M283" s="63" t="s">
        <v>477</v>
      </c>
      <c r="N283" s="23" t="s">
        <v>116</v>
      </c>
      <c r="O283" s="23">
        <v>121</v>
      </c>
      <c r="P283" s="201">
        <v>1646249.0399999998</v>
      </c>
      <c r="Q283" s="201">
        <v>0</v>
      </c>
      <c r="R283" s="201">
        <v>293190.96000000002</v>
      </c>
      <c r="S283" s="201">
        <v>0</v>
      </c>
      <c r="T283" s="201">
        <v>0</v>
      </c>
      <c r="U283" s="235">
        <f t="shared" ref="U283:U288" si="31">P283+Q283+R283+S283+T283</f>
        <v>1939439.9999999998</v>
      </c>
      <c r="V283" s="43" t="s">
        <v>117</v>
      </c>
      <c r="W283" s="43">
        <v>1</v>
      </c>
      <c r="X283" s="201">
        <v>0</v>
      </c>
      <c r="Y283" s="202">
        <v>0</v>
      </c>
    </row>
    <row r="284" spans="1:85" s="27" customFormat="1" ht="112.5" customHeight="1" x14ac:dyDescent="0.25">
      <c r="A284" s="151">
        <v>109</v>
      </c>
      <c r="B284" s="62" t="s">
        <v>126</v>
      </c>
      <c r="C284" s="29">
        <v>140620</v>
      </c>
      <c r="D284" s="29" t="s">
        <v>734</v>
      </c>
      <c r="E284" s="22" t="s">
        <v>735</v>
      </c>
      <c r="F284" s="23" t="s">
        <v>598</v>
      </c>
      <c r="G284" s="22" t="s">
        <v>736</v>
      </c>
      <c r="H284" s="25">
        <v>43846</v>
      </c>
      <c r="I284" s="25">
        <v>44925</v>
      </c>
      <c r="J284" s="23" t="s">
        <v>115</v>
      </c>
      <c r="K284" s="23" t="s">
        <v>335</v>
      </c>
      <c r="L284" s="63" t="s">
        <v>477</v>
      </c>
      <c r="M284" s="63" t="s">
        <v>477</v>
      </c>
      <c r="N284" s="23" t="s">
        <v>116</v>
      </c>
      <c r="O284" s="23">
        <v>121</v>
      </c>
      <c r="P284" s="201">
        <v>15703299.5</v>
      </c>
      <c r="Q284" s="201">
        <v>0</v>
      </c>
      <c r="R284" s="201">
        <v>2796700.5</v>
      </c>
      <c r="S284" s="201">
        <v>0</v>
      </c>
      <c r="T284" s="201">
        <v>0</v>
      </c>
      <c r="U284" s="235">
        <f t="shared" si="31"/>
        <v>18500000</v>
      </c>
      <c r="V284" s="43" t="s">
        <v>117</v>
      </c>
      <c r="W284" s="43">
        <v>0</v>
      </c>
      <c r="X284" s="201">
        <v>0</v>
      </c>
      <c r="Y284" s="202">
        <v>0</v>
      </c>
    </row>
    <row r="285" spans="1:85" s="27" customFormat="1" ht="112.5" customHeight="1" x14ac:dyDescent="0.25">
      <c r="A285" s="146">
        <v>110</v>
      </c>
      <c r="B285" s="71" t="s">
        <v>174</v>
      </c>
      <c r="C285" s="88">
        <v>140452</v>
      </c>
      <c r="D285" s="29" t="s">
        <v>737</v>
      </c>
      <c r="E285" s="22" t="s">
        <v>738</v>
      </c>
      <c r="F285" s="23" t="s">
        <v>739</v>
      </c>
      <c r="G285" s="22" t="s">
        <v>740</v>
      </c>
      <c r="H285" s="25">
        <v>44044</v>
      </c>
      <c r="I285" s="25">
        <v>44561</v>
      </c>
      <c r="J285" s="23" t="s">
        <v>115</v>
      </c>
      <c r="K285" s="23" t="s">
        <v>335</v>
      </c>
      <c r="L285" s="63" t="s">
        <v>477</v>
      </c>
      <c r="M285" s="63" t="s">
        <v>477</v>
      </c>
      <c r="N285" s="23" t="s">
        <v>116</v>
      </c>
      <c r="O285" s="23">
        <v>121</v>
      </c>
      <c r="P285" s="201">
        <v>1749855.72</v>
      </c>
      <c r="Q285" s="201">
        <v>308798.05</v>
      </c>
      <c r="R285" s="201">
        <v>0</v>
      </c>
      <c r="S285" s="201">
        <v>0</v>
      </c>
      <c r="T285" s="201">
        <v>0</v>
      </c>
      <c r="U285" s="235">
        <f t="shared" si="31"/>
        <v>2058653.77</v>
      </c>
      <c r="V285" s="43" t="s">
        <v>117</v>
      </c>
      <c r="W285" s="43">
        <v>0</v>
      </c>
      <c r="X285" s="225">
        <v>31938.16</v>
      </c>
      <c r="Y285" s="202">
        <v>5636.14</v>
      </c>
    </row>
    <row r="286" spans="1:85" s="27" customFormat="1" ht="112.5" customHeight="1" x14ac:dyDescent="0.25">
      <c r="A286" s="151">
        <v>111</v>
      </c>
      <c r="B286" s="71" t="s">
        <v>174</v>
      </c>
      <c r="C286" s="88">
        <v>140453</v>
      </c>
      <c r="D286" s="29" t="s">
        <v>741</v>
      </c>
      <c r="E286" s="22" t="s">
        <v>742</v>
      </c>
      <c r="F286" s="23" t="s">
        <v>743</v>
      </c>
      <c r="G286" s="22" t="s">
        <v>744</v>
      </c>
      <c r="H286" s="25">
        <v>44044</v>
      </c>
      <c r="I286" s="25">
        <v>44561</v>
      </c>
      <c r="J286" s="23" t="s">
        <v>115</v>
      </c>
      <c r="K286" s="23" t="s">
        <v>335</v>
      </c>
      <c r="L286" s="63" t="s">
        <v>477</v>
      </c>
      <c r="M286" s="63" t="s">
        <v>477</v>
      </c>
      <c r="N286" s="23" t="s">
        <v>116</v>
      </c>
      <c r="O286" s="23">
        <v>121</v>
      </c>
      <c r="P286" s="201">
        <v>1748471.86</v>
      </c>
      <c r="Q286" s="201">
        <v>308553.84999999998</v>
      </c>
      <c r="R286" s="201">
        <v>0</v>
      </c>
      <c r="S286" s="201">
        <v>0</v>
      </c>
      <c r="T286" s="201">
        <v>0</v>
      </c>
      <c r="U286" s="235">
        <f t="shared" si="31"/>
        <v>2057025.71</v>
      </c>
      <c r="V286" s="43" t="s">
        <v>117</v>
      </c>
      <c r="W286" s="43">
        <v>0</v>
      </c>
      <c r="X286" s="225">
        <v>133574.39999999999</v>
      </c>
      <c r="Y286" s="202">
        <v>23571.95</v>
      </c>
    </row>
    <row r="287" spans="1:85" s="27" customFormat="1" ht="112.5" customHeight="1" x14ac:dyDescent="0.25">
      <c r="A287" s="146">
        <v>112</v>
      </c>
      <c r="B287" s="71" t="s">
        <v>174</v>
      </c>
      <c r="C287" s="88">
        <v>140449</v>
      </c>
      <c r="D287" s="29" t="s">
        <v>746</v>
      </c>
      <c r="E287" s="22" t="s">
        <v>747</v>
      </c>
      <c r="F287" s="23" t="s">
        <v>748</v>
      </c>
      <c r="G287" s="22" t="s">
        <v>749</v>
      </c>
      <c r="H287" s="25">
        <v>44044</v>
      </c>
      <c r="I287" s="25">
        <v>44561</v>
      </c>
      <c r="J287" s="23" t="s">
        <v>115</v>
      </c>
      <c r="K287" s="23" t="s">
        <v>335</v>
      </c>
      <c r="L287" s="63" t="s">
        <v>477</v>
      </c>
      <c r="M287" s="63" t="s">
        <v>477</v>
      </c>
      <c r="N287" s="23" t="s">
        <v>116</v>
      </c>
      <c r="O287" s="23">
        <v>121</v>
      </c>
      <c r="P287" s="186">
        <v>1744887.22</v>
      </c>
      <c r="Q287" s="186">
        <v>307921.26</v>
      </c>
      <c r="R287" s="269">
        <v>0</v>
      </c>
      <c r="S287" s="201">
        <v>0</v>
      </c>
      <c r="T287" s="201">
        <v>0</v>
      </c>
      <c r="U287" s="235">
        <f t="shared" si="31"/>
        <v>2052808.48</v>
      </c>
      <c r="V287" s="43" t="s">
        <v>117</v>
      </c>
      <c r="W287" s="26">
        <v>0</v>
      </c>
      <c r="X287" s="186">
        <v>205280.85</v>
      </c>
      <c r="Y287" s="190">
        <v>0</v>
      </c>
    </row>
    <row r="288" spans="1:85" s="27" customFormat="1" ht="112.5" customHeight="1" thickBot="1" x14ac:dyDescent="0.3">
      <c r="A288" s="152">
        <v>113</v>
      </c>
      <c r="B288" s="72" t="s">
        <v>174</v>
      </c>
      <c r="C288" s="145">
        <v>140581</v>
      </c>
      <c r="D288" s="145" t="s">
        <v>754</v>
      </c>
      <c r="E288" s="39" t="s">
        <v>752</v>
      </c>
      <c r="F288" s="40" t="s">
        <v>753</v>
      </c>
      <c r="G288" s="54" t="s">
        <v>755</v>
      </c>
      <c r="H288" s="42">
        <v>44075</v>
      </c>
      <c r="I288" s="42">
        <v>44561</v>
      </c>
      <c r="J288" s="40" t="s">
        <v>115</v>
      </c>
      <c r="K288" s="40" t="s">
        <v>335</v>
      </c>
      <c r="L288" s="40" t="s">
        <v>477</v>
      </c>
      <c r="M288" s="40" t="s">
        <v>477</v>
      </c>
      <c r="N288" s="40" t="s">
        <v>116</v>
      </c>
      <c r="O288" s="40">
        <v>121</v>
      </c>
      <c r="P288" s="201">
        <v>1749183.01</v>
      </c>
      <c r="Q288" s="201">
        <v>308679.34999999998</v>
      </c>
      <c r="R288" s="269">
        <v>0</v>
      </c>
      <c r="S288" s="201">
        <v>0</v>
      </c>
      <c r="T288" s="201">
        <v>0</v>
      </c>
      <c r="U288" s="235">
        <f t="shared" si="31"/>
        <v>2057862.3599999999</v>
      </c>
      <c r="V288" s="43" t="s">
        <v>117</v>
      </c>
      <c r="W288" s="43">
        <v>0</v>
      </c>
      <c r="X288" s="201">
        <v>0</v>
      </c>
      <c r="Y288" s="202">
        <v>0</v>
      </c>
    </row>
    <row r="289" spans="1:95" s="55" customFormat="1" ht="26.25" customHeight="1" thickBot="1" x14ac:dyDescent="0.3">
      <c r="A289" s="349" t="s">
        <v>32</v>
      </c>
      <c r="B289" s="350"/>
      <c r="C289" s="350"/>
      <c r="D289" s="350"/>
      <c r="E289" s="350"/>
      <c r="F289" s="350"/>
      <c r="G289" s="350"/>
      <c r="H289" s="350"/>
      <c r="I289" s="350"/>
      <c r="J289" s="350"/>
      <c r="K289" s="350"/>
      <c r="L289" s="350"/>
      <c r="M289" s="350"/>
      <c r="N289" s="350"/>
      <c r="O289" s="350"/>
      <c r="P289" s="226">
        <f>SUM(P176:P288)</f>
        <v>1340540612.5099998</v>
      </c>
      <c r="Q289" s="226">
        <f t="shared" ref="Q289:Y289" si="32">SUM(Q176:Q288)</f>
        <v>7137516.2399999993</v>
      </c>
      <c r="R289" s="226">
        <f t="shared" si="32"/>
        <v>234232559.13999999</v>
      </c>
      <c r="S289" s="226">
        <f t="shared" si="32"/>
        <v>734026.62999999989</v>
      </c>
      <c r="T289" s="226">
        <f t="shared" si="32"/>
        <v>95623625.74000001</v>
      </c>
      <c r="U289" s="226">
        <f t="shared" si="32"/>
        <v>1678268340.259999</v>
      </c>
      <c r="V289" s="144"/>
      <c r="W289" s="144"/>
      <c r="X289" s="226">
        <f t="shared" si="32"/>
        <v>834497032.91999996</v>
      </c>
      <c r="Y289" s="226">
        <f t="shared" si="32"/>
        <v>2128096.0000000005</v>
      </c>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row>
    <row r="290" spans="1:95" ht="24.75" customHeight="1" thickBot="1" x14ac:dyDescent="0.3">
      <c r="A290" s="351" t="s">
        <v>420</v>
      </c>
      <c r="B290" s="352"/>
      <c r="C290" s="352"/>
      <c r="D290" s="352"/>
      <c r="E290" s="352"/>
      <c r="F290" s="352"/>
      <c r="G290" s="352"/>
      <c r="H290" s="352"/>
      <c r="I290" s="352"/>
      <c r="J290" s="352"/>
      <c r="K290" s="352"/>
      <c r="L290" s="352"/>
      <c r="M290" s="352"/>
      <c r="N290" s="352"/>
      <c r="O290" s="352"/>
      <c r="P290" s="226">
        <f>P17+P20+P23+P26+P30+P34+P38+P42+P54+P46+P76+P126+P161+P289+P157</f>
        <v>1432805455.7999997</v>
      </c>
      <c r="Q290" s="226">
        <f t="shared" ref="Q290:Y290" si="33">Q17+Q20+Q23+Q30+Q34+Q38+Q42+Q46+Q54+Q58+Q61+Q64+Q68+Q71+Q73+Q79+Q82+Q85+Q89+Q76+Q93+Q97+Q101+Q106+Q111+Q115+Q119+Q123+Q126+Q130+Q134+Q138+Q141+Q146+Q150+Q154+Q157+Q161+Q166+Q170+Q174+Q289</f>
        <v>11063710.369999999</v>
      </c>
      <c r="R290" s="226">
        <f>R17+R20+R23+R30+R34+R38+R42+R46+R54+R58+R61+R64+R68+R71+R73+R79+R82+R85+R89+R76+R93+R97+R101+R106+R111+R115+R119+R123+R126+R130+R134+R138+R141+R146+R150+R154+R157+R161+R166+R170+R174+R289</f>
        <v>246979290.50999999</v>
      </c>
      <c r="S290" s="226">
        <f t="shared" si="33"/>
        <v>898152.11999999988</v>
      </c>
      <c r="T290" s="226">
        <f t="shared" si="33"/>
        <v>98434177.950000003</v>
      </c>
      <c r="U290" s="226">
        <f t="shared" si="33"/>
        <v>1790180786.749999</v>
      </c>
      <c r="V290" s="144"/>
      <c r="W290" s="144"/>
      <c r="X290" s="227">
        <f t="shared" si="33"/>
        <v>921093555.86000001</v>
      </c>
      <c r="Y290" s="226">
        <f t="shared" si="33"/>
        <v>6054290.1300000008</v>
      </c>
    </row>
    <row r="291" spans="1:95" x14ac:dyDescent="0.25">
      <c r="Q291" s="228"/>
      <c r="R291" s="228"/>
      <c r="S291" s="228"/>
    </row>
    <row r="292" spans="1:95" x14ac:dyDescent="0.25">
      <c r="A292" s="1" t="s">
        <v>758</v>
      </c>
      <c r="Q292" s="228"/>
      <c r="R292" s="228"/>
      <c r="S292" s="228"/>
    </row>
    <row r="294" spans="1:95" x14ac:dyDescent="0.25">
      <c r="Z294" s="121"/>
    </row>
    <row r="295" spans="1:95" s="55" customFormat="1" ht="63.75" customHeight="1" x14ac:dyDescent="0.25">
      <c r="A295" s="345" t="s">
        <v>324</v>
      </c>
      <c r="B295" s="345"/>
      <c r="C295" s="345"/>
      <c r="D295" s="345"/>
      <c r="E295" s="345"/>
      <c r="F295" s="345"/>
      <c r="G295" s="345"/>
      <c r="H295" s="345"/>
      <c r="I295" s="345"/>
      <c r="J295" s="345"/>
      <c r="K295" s="345"/>
      <c r="L295" s="345"/>
      <c r="M295" s="345"/>
      <c r="N295" s="345"/>
      <c r="O295" s="345"/>
      <c r="P295" s="345"/>
      <c r="Q295" s="345"/>
      <c r="R295" s="345"/>
      <c r="S295" s="345"/>
      <c r="T295" s="345"/>
      <c r="U295" s="345"/>
      <c r="V295" s="345"/>
      <c r="W295" s="345"/>
      <c r="X295" s="345"/>
      <c r="Y295" s="345"/>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27"/>
    </row>
    <row r="298" spans="1:95" x14ac:dyDescent="0.25">
      <c r="P298" s="271"/>
    </row>
  </sheetData>
  <mergeCells count="143">
    <mergeCell ref="C9:C11"/>
    <mergeCell ref="D9:D11"/>
    <mergeCell ref="A295:Y295"/>
    <mergeCell ref="A175:Y175"/>
    <mergeCell ref="A289:O289"/>
    <mergeCell ref="A162:Y162"/>
    <mergeCell ref="A166:O166"/>
    <mergeCell ref="A167:Y167"/>
    <mergeCell ref="A170:O170"/>
    <mergeCell ref="A154:O154"/>
    <mergeCell ref="A155:Y155"/>
    <mergeCell ref="A157:O157"/>
    <mergeCell ref="A158:Y158"/>
    <mergeCell ref="A161:O161"/>
    <mergeCell ref="A290:O290"/>
    <mergeCell ref="A142:Y142"/>
    <mergeCell ref="A146:O146"/>
    <mergeCell ref="A147:Y147"/>
    <mergeCell ref="A150:O150"/>
    <mergeCell ref="A151:Y151"/>
    <mergeCell ref="A134:O134"/>
    <mergeCell ref="A135:Y135"/>
    <mergeCell ref="A138:O138"/>
    <mergeCell ref="A139:Y139"/>
    <mergeCell ref="A141:O141"/>
    <mergeCell ref="A124:Y124"/>
    <mergeCell ref="A126:O126"/>
    <mergeCell ref="A127:Y127"/>
    <mergeCell ref="A130:O130"/>
    <mergeCell ref="A131:Y131"/>
    <mergeCell ref="A115:O115"/>
    <mergeCell ref="A116:Y116"/>
    <mergeCell ref="A119:O119"/>
    <mergeCell ref="A120:Y120"/>
    <mergeCell ref="A123:O123"/>
    <mergeCell ref="A102:Y102"/>
    <mergeCell ref="A106:O106"/>
    <mergeCell ref="A107:Y107"/>
    <mergeCell ref="A111:O111"/>
    <mergeCell ref="A112:Y112"/>
    <mergeCell ref="A93:O93"/>
    <mergeCell ref="A94:Y94"/>
    <mergeCell ref="A97:O97"/>
    <mergeCell ref="A98:Y98"/>
    <mergeCell ref="A101:O101"/>
    <mergeCell ref="A83:Y83"/>
    <mergeCell ref="A85:O85"/>
    <mergeCell ref="A86:Y86"/>
    <mergeCell ref="A89:O89"/>
    <mergeCell ref="A90:Y90"/>
    <mergeCell ref="A76:O76"/>
    <mergeCell ref="A77:Y77"/>
    <mergeCell ref="A79:O79"/>
    <mergeCell ref="A80:Y80"/>
    <mergeCell ref="A82:O82"/>
    <mergeCell ref="A39:Y39"/>
    <mergeCell ref="A42:O42"/>
    <mergeCell ref="A43:Y43"/>
    <mergeCell ref="A46:O46"/>
    <mergeCell ref="A72:Y72"/>
    <mergeCell ref="A73:O73"/>
    <mergeCell ref="A69:Y69"/>
    <mergeCell ref="A71:O71"/>
    <mergeCell ref="A74:Y74"/>
    <mergeCell ref="A61:O61"/>
    <mergeCell ref="A62:Y62"/>
    <mergeCell ref="A64:O64"/>
    <mergeCell ref="A65:Y65"/>
    <mergeCell ref="A68:O68"/>
    <mergeCell ref="A6:Y6"/>
    <mergeCell ref="P9:R9"/>
    <mergeCell ref="U9:U11"/>
    <mergeCell ref="V9:V11"/>
    <mergeCell ref="W9:W11"/>
    <mergeCell ref="P10:Q10"/>
    <mergeCell ref="R10:R11"/>
    <mergeCell ref="T10:T11"/>
    <mergeCell ref="A8:U8"/>
    <mergeCell ref="A9:A11"/>
    <mergeCell ref="E9:E11"/>
    <mergeCell ref="F9:F11"/>
    <mergeCell ref="K9:K11"/>
    <mergeCell ref="L9:L11"/>
    <mergeCell ref="M9:M11"/>
    <mergeCell ref="N9:N11"/>
    <mergeCell ref="A7:Y7"/>
    <mergeCell ref="O9:O11"/>
    <mergeCell ref="B9:B11"/>
    <mergeCell ref="G9:G11"/>
    <mergeCell ref="H9:H11"/>
    <mergeCell ref="I9:I11"/>
    <mergeCell ref="J9:J11"/>
    <mergeCell ref="X9:Y9"/>
    <mergeCell ref="X10:X11"/>
    <mergeCell ref="Y10:Y11"/>
    <mergeCell ref="S10:S11"/>
    <mergeCell ref="A174:O174"/>
    <mergeCell ref="A15:Y15"/>
    <mergeCell ref="A17:O17"/>
    <mergeCell ref="A18:Y18"/>
    <mergeCell ref="A20:O20"/>
    <mergeCell ref="A171:Y171"/>
    <mergeCell ref="A21:Y21"/>
    <mergeCell ref="A23:O23"/>
    <mergeCell ref="A24:Y24"/>
    <mergeCell ref="A26:O26"/>
    <mergeCell ref="A27:Y27"/>
    <mergeCell ref="A30:O30"/>
    <mergeCell ref="A31:Y31"/>
    <mergeCell ref="A34:O34"/>
    <mergeCell ref="A35:Y35"/>
    <mergeCell ref="A47:Y47"/>
    <mergeCell ref="A54:O54"/>
    <mergeCell ref="A55:Y55"/>
    <mergeCell ref="A58:O58"/>
    <mergeCell ref="A59:Y59"/>
    <mergeCell ref="A38:O38"/>
    <mergeCell ref="A12:A14"/>
    <mergeCell ref="B12:B14"/>
    <mergeCell ref="E12:E14"/>
    <mergeCell ref="F12:F14"/>
    <mergeCell ref="G12:G14"/>
    <mergeCell ref="H12:H14"/>
    <mergeCell ref="I12:I14"/>
    <mergeCell ref="J12:J14"/>
    <mergeCell ref="K12:K14"/>
    <mergeCell ref="C12:C14"/>
    <mergeCell ref="D12:D14"/>
    <mergeCell ref="L12:L14"/>
    <mergeCell ref="M12:M14"/>
    <mergeCell ref="N12:N14"/>
    <mergeCell ref="O12:O14"/>
    <mergeCell ref="P12:R12"/>
    <mergeCell ref="U12:U14"/>
    <mergeCell ref="V12:V14"/>
    <mergeCell ref="W12:W14"/>
    <mergeCell ref="X12:Y12"/>
    <mergeCell ref="P13:Q13"/>
    <mergeCell ref="R13:R14"/>
    <mergeCell ref="S13:S14"/>
    <mergeCell ref="T13:T14"/>
    <mergeCell ref="X13:X14"/>
    <mergeCell ref="Y13:Y14"/>
  </mergeCells>
  <pageMargins left="0.23622047244094491" right="0.23622047244094491" top="0.15748031496062992" bottom="0.15748031496062992" header="0.11811023622047245"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Viorela Coman</cp:lastModifiedBy>
  <cp:lastPrinted>2019-12-05T12:00:26Z</cp:lastPrinted>
  <dcterms:created xsi:type="dcterms:W3CDTF">2016-07-18T10:59:34Z</dcterms:created>
  <dcterms:modified xsi:type="dcterms:W3CDTF">2021-01-22T10:14:14Z</dcterms:modified>
</cp:coreProperties>
</file>