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44.xml" ContentType="application/vnd.openxmlformats-officedocument.spreadsheetml.revisionLog+xml"/>
  <Override PartName="/xl/revisions/revisionLog269.xml" ContentType="application/vnd.openxmlformats-officedocument.spreadsheetml.revisionLog+xml"/>
  <Override PartName="/xl/revisions/revisionLog311.xml" ContentType="application/vnd.openxmlformats-officedocument.spreadsheetml.revisionLog+xml"/>
  <Override PartName="/xl/revisions/revisionLog378.xml" ContentType="application/vnd.openxmlformats-officedocument.spreadsheetml.revisionLog+xml"/>
  <Override PartName="/xl/revisions/revisionLog213.xml" ContentType="application/vnd.openxmlformats-officedocument.spreadsheetml.revisionLog+xml"/>
  <Override PartName="/xl/revisions/revisionLog420.xml" ContentType="application/vnd.openxmlformats-officedocument.spreadsheetml.revisionLog+xml"/>
  <Override PartName="/xl/revisions/revisionLog399.xml" ContentType="application/vnd.openxmlformats-officedocument.spreadsheetml.revisionLog+xml"/>
  <Override PartName="/xl/revisions/revisionLog234.xml" ContentType="application/vnd.openxmlformats-officedocument.spreadsheetml.revisionLog+xml"/>
  <Override PartName="/xl/revisions/revisionLog16.xml" ContentType="application/vnd.openxmlformats-officedocument.spreadsheetml.revisionLog+xml"/>
  <Override PartName="/xl/revisions/revisionLog280.xml" ContentType="application/vnd.openxmlformats-officedocument.spreadsheetml.revisionLog+xml"/>
  <Override PartName="/xl/revisions/revisionLog322.xml" ContentType="application/vnd.openxmlformats-officedocument.spreadsheetml.revisionLog+xml"/>
  <Override PartName="/xl/revisions/revisionLog343.xml" ContentType="application/vnd.openxmlformats-officedocument.spreadsheetml.revisionLog+xml"/>
  <Override PartName="/xl/revisions/revisionLog259.xml" ContentType="application/vnd.openxmlformats-officedocument.spreadsheetml.revisionLog+xml"/>
  <Override PartName="/xl/revisions/revisionLog301.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347.xml" ContentType="application/vnd.openxmlformats-officedocument.spreadsheetml.revisionLog+xml"/>
  <Override PartName="/xl/revisions/revisionLog368.xml" ContentType="application/vnd.openxmlformats-officedocument.spreadsheetml.revisionLog+xml"/>
  <Override PartName="/xl/revisions/revisionLog224.xml" ContentType="application/vnd.openxmlformats-officedocument.spreadsheetml.revisionLog+xml"/>
  <Override PartName="/xl/revisions/revisionLog389.xml" ContentType="application/vnd.openxmlformats-officedocument.spreadsheetml.revisionLog+xml"/>
  <Override PartName="/xl/revisions/revisionLog410.xml" ContentType="application/vnd.openxmlformats-officedocument.spreadsheetml.revisionLog+xml"/>
  <Override PartName="/xl/revisions/revisionLog6.xml" ContentType="application/vnd.openxmlformats-officedocument.spreadsheetml.revisionLog+xml"/>
  <Override PartName="/xl/revisions/revisionLog333.xml" ContentType="application/vnd.openxmlformats-officedocument.spreadsheetml.revisionLog+xml"/>
  <Override PartName="/xl/revisions/revisionLog235.xml" ContentType="application/vnd.openxmlformats-officedocument.spreadsheetml.revisionLog+xml"/>
  <Override PartName="/xl/revisions/revisionLog249.xml" ContentType="application/vnd.openxmlformats-officedocument.spreadsheetml.revisionLog+xml"/>
  <Override PartName="/xl/revisions/revisionLog291.xml" ContentType="application/vnd.openxmlformats-officedocument.spreadsheetml.revisionLog+xml"/>
  <Override PartName="/xl/revisions/revisionLog270.xml" ContentType="application/vnd.openxmlformats-officedocument.spreadsheetml.revisionLog+xml"/>
  <Override PartName="/xl/revisions/revisionLog312.xml" ContentType="application/vnd.openxmlformats-officedocument.spreadsheetml.revisionLog+xml"/>
  <Override PartName="/xl/revisions/revisionLog31.xml" ContentType="application/vnd.openxmlformats-officedocument.spreadsheetml.revisionLog+xml"/>
  <Override PartName="/xl/revisions/revisionLog358.xml" ContentType="application/vnd.openxmlformats-officedocument.spreadsheetml.revisionLog+xml"/>
  <Override PartName="/xl/revisions/revisionLog421.xml" ContentType="application/vnd.openxmlformats-officedocument.spreadsheetml.revisionLog+xml"/>
  <Override PartName="/xl/revisions/revisionLog400.xml" ContentType="application/vnd.openxmlformats-officedocument.spreadsheetml.revisionLog+xml"/>
  <Override PartName="/xl/revisions/revisionLog214.xml" ContentType="application/vnd.openxmlformats-officedocument.spreadsheetml.revisionLog+xml"/>
  <Override PartName="/xl/revisions/revisionLog379.xml" ContentType="application/vnd.openxmlformats-officedocument.spreadsheetml.revisionLog+xml"/>
  <Override PartName="/xl/revisions/revisionLog17.xml" ContentType="application/vnd.openxmlformats-officedocument.spreadsheetml.revisionLog+xml"/>
  <Override PartName="/xl/revisions/revisionLog302.xml" ContentType="application/vnd.openxmlformats-officedocument.spreadsheetml.revisionLog+xml"/>
  <Override PartName="/xl/revisions/revisionLog260.xml" ContentType="application/vnd.openxmlformats-officedocument.spreadsheetml.revisionLog+xml"/>
  <Override PartName="/xl/revisions/revisionLog281.xml" ContentType="application/vnd.openxmlformats-officedocument.spreadsheetml.revisionLog+xml"/>
  <Override PartName="/xl/revisions/revisionLog225.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344.xml" ContentType="application/vnd.openxmlformats-officedocument.spreadsheetml.revisionLog+xml"/>
  <Override PartName="/xl/revisions/revisionLog323.xml" ContentType="application/vnd.openxmlformats-officedocument.spreadsheetml.revisionLog+xml"/>
  <Override PartName="/xl/revisions/revisionLog348.xml" ContentType="application/vnd.openxmlformats-officedocument.spreadsheetml.revisionLog+xml"/>
  <Override PartName="/xl/revisions/revisionLog390.xml" ContentType="application/vnd.openxmlformats-officedocument.spreadsheetml.revisionLog+xml"/>
  <Override PartName="/xl/revisions/revisionLog369.xml" ContentType="application/vnd.openxmlformats-officedocument.spreadsheetml.revisionLog+xml"/>
  <Override PartName="/xl/revisions/revisionLog411.xml" ContentType="application/vnd.openxmlformats-officedocument.spreadsheetml.revisionLog+xml"/>
  <Override PartName="/xl/revisions/revisionLog7.xml" ContentType="application/vnd.openxmlformats-officedocument.spreadsheetml.revisionLog+xml"/>
  <Override PartName="/xl/revisions/revisionLog271.xml" ContentType="application/vnd.openxmlformats-officedocument.spreadsheetml.revisionLog+xml"/>
  <Override PartName="/xl/revisions/revisionLog215.xml" ContentType="application/vnd.openxmlformats-officedocument.spreadsheetml.revisionLog+xml"/>
  <Override PartName="/xl/revisions/revisionLog236.xml" ContentType="application/vnd.openxmlformats-officedocument.spreadsheetml.revisionLog+xml"/>
  <Override PartName="/xl/revisions/revisionLog250.xml" ContentType="application/vnd.openxmlformats-officedocument.spreadsheetml.revisionLog+xml"/>
  <Override PartName="/xl/revisions/revisionLog292.xml" ContentType="application/vnd.openxmlformats-officedocument.spreadsheetml.revisionLog+xml"/>
  <Override PartName="/xl/revisions/revisionLog32.xml" ContentType="application/vnd.openxmlformats-officedocument.spreadsheetml.revisionLog+xml"/>
  <Override PartName="/xl/revisions/revisionLog313.xml" ContentType="application/vnd.openxmlformats-officedocument.spreadsheetml.revisionLog+xml"/>
  <Override PartName="/xl/revisions/revisionLog334.xml" ContentType="application/vnd.openxmlformats-officedocument.spreadsheetml.revisionLog+xml"/>
  <Override PartName="/xl/revisions/revisionLog422.xml" ContentType="application/vnd.openxmlformats-officedocument.spreadsheetml.revisionLog+xml"/>
  <Override PartName="/xl/revisions/revisionLog359.xml" ContentType="application/vnd.openxmlformats-officedocument.spreadsheetml.revisionLog+xml"/>
  <Override PartName="/xl/revisions/revisionLog380.xml" ContentType="application/vnd.openxmlformats-officedocument.spreadsheetml.revisionLog+xml"/>
  <Override PartName="/xl/revisions/revisionLog401.xml" ContentType="application/vnd.openxmlformats-officedocument.spreadsheetml.revisionLog+xml"/>
  <Override PartName="/xl/revisions/revisionLog18.xml" ContentType="application/vnd.openxmlformats-officedocument.spreadsheetml.revisionLog+xml"/>
  <Override PartName="/xl/revisions/revisionLog226.xml" ContentType="application/vnd.openxmlformats-officedocument.spreadsheetml.revisionLog+xml"/>
  <Override PartName="/xl/revisions/revisionLog282.xml" ContentType="application/vnd.openxmlformats-officedocument.spreadsheetml.revisionLog+xml"/>
  <Override PartName="/xl/revisions/revisionLog261.xml" ContentType="application/vnd.openxmlformats-officedocument.spreadsheetml.revisionLog+xml"/>
  <Override PartName="/xl/revisions/revisionLog22.xml" ContentType="application/vnd.openxmlformats-officedocument.spreadsheetml.revisionLog+xml"/>
  <Override PartName="/xl/revisions/revisionLog43.xml" ContentType="application/vnd.openxmlformats-officedocument.spreadsheetml.revisionLog+xml"/>
  <Override PartName="/xl/revisions/revisionLog324.xml" ContentType="application/vnd.openxmlformats-officedocument.spreadsheetml.revisionLog+xml"/>
  <Override PartName="/xl/revisions/revisionLog303.xml" ContentType="application/vnd.openxmlformats-officedocument.spreadsheetml.revisionLog+xml"/>
  <Override PartName="/xl/revisions/revisionLog370.xml" ContentType="application/vnd.openxmlformats-officedocument.spreadsheetml.revisionLog+xml"/>
  <Override PartName="/xl/revisions/revisionLog412.xml" ContentType="application/vnd.openxmlformats-officedocument.spreadsheetml.revisionLog+xml"/>
  <Override PartName="/xl/revisions/revisionLog335.xml" ContentType="application/vnd.openxmlformats-officedocument.spreadsheetml.revisionLog+xml"/>
  <Override PartName="/xl/revisions/revisionLog349.xml" ContentType="application/vnd.openxmlformats-officedocument.spreadsheetml.revisionLog+xml"/>
  <Override PartName="/xl/revisions/revisionLog391.xml" ContentType="application/vnd.openxmlformats-officedocument.spreadsheetml.revisionLog+xml"/>
  <Override PartName="/xl/revisions/revisionLog216.xml" ContentType="application/vnd.openxmlformats-officedocument.spreadsheetml.revisionLog+xml"/>
  <Override PartName="/xl/revisions/revisionLog237.xml" ContentType="application/vnd.openxmlformats-officedocument.spreadsheetml.revisionLog+xml"/>
  <Override PartName="/xl/revisions/revisionLog251.xml" ContentType="application/vnd.openxmlformats-officedocument.spreadsheetml.revisionLog+xml"/>
  <Override PartName="/xl/revisions/revisionLog8.xml" ContentType="application/vnd.openxmlformats-officedocument.spreadsheetml.revisionLog+xml"/>
  <Override PartName="/xl/revisions/revisionLog293.xml" ContentType="application/vnd.openxmlformats-officedocument.spreadsheetml.revisionLog+xml"/>
  <Override PartName="/xl/revisions/revisionLog314.xml" ContentType="application/vnd.openxmlformats-officedocument.spreadsheetml.revisionLog+xml"/>
  <Override PartName="/xl/revisions/revisionLog272.xml" ContentType="application/vnd.openxmlformats-officedocument.spreadsheetml.revisionLog+xml"/>
  <Override PartName="/xl/revisions/revisionLog33.xml" ContentType="application/vnd.openxmlformats-officedocument.spreadsheetml.revisionLog+xml"/>
  <Override PartName="/xl/revisions/revisionLog402.xml" ContentType="application/vnd.openxmlformats-officedocument.spreadsheetml.revisionLog+xml"/>
  <Override PartName="/xl/revisions/revisionLog325.xml" ContentType="application/vnd.openxmlformats-officedocument.spreadsheetml.revisionLog+xml"/>
  <Override PartName="/xl/revisions/revisionLog381.xml" ContentType="application/vnd.openxmlformats-officedocument.spreadsheetml.revisionLog+xml"/>
  <Override PartName="/xl/revisions/revisionLog360.xml" ContentType="application/vnd.openxmlformats-officedocument.spreadsheetml.revisionLog+xml"/>
  <Override PartName="/xl/revisions/revisionLog423.xml" ContentType="application/vnd.openxmlformats-officedocument.spreadsheetml.revisionLog+xml"/>
  <Override PartName="/xl/revisions/revisionLog19.xml" ContentType="application/vnd.openxmlformats-officedocument.spreadsheetml.revisionLog+xml"/>
  <Override PartName="/xl/revisions/revisionLog304.xml" ContentType="application/vnd.openxmlformats-officedocument.spreadsheetml.revisionLog+xml"/>
  <Override PartName="/xl/revisions/revisionLog262.xml" ContentType="application/vnd.openxmlformats-officedocument.spreadsheetml.revisionLog+xml"/>
  <Override PartName="/xl/revisions/revisionLog283.xml" ContentType="application/vnd.openxmlformats-officedocument.spreadsheetml.revisionLog+xml"/>
  <Override PartName="/xl/revisions/revisionLog227.xml" ContentType="application/vnd.openxmlformats-officedocument.spreadsheetml.revisionLog+xml"/>
  <Override PartName="/xl/revisions/revisionLog23.xml" ContentType="application/vnd.openxmlformats-officedocument.spreadsheetml.revisionLog+xml"/>
  <Override PartName="/xl/revisions/revisionLog44.xml" ContentType="application/vnd.openxmlformats-officedocument.spreadsheetml.revisionLog+xml"/>
  <Override PartName="/xl/revisions/revisionLog350.xml" ContentType="application/vnd.openxmlformats-officedocument.spreadsheetml.revisionLog+xml"/>
  <Override PartName="/xl/revisions/revisionLog371.xml" ContentType="application/vnd.openxmlformats-officedocument.spreadsheetml.revisionLog+xml"/>
  <Override PartName="/xl/revisions/revisionLog315.xml" ContentType="application/vnd.openxmlformats-officedocument.spreadsheetml.revisionLog+xml"/>
  <Override PartName="/xl/revisions/revisionLog336.xml" ContentType="application/vnd.openxmlformats-officedocument.spreadsheetml.revisionLog+xml"/>
  <Override PartName="/xl/revisions/revisionLog392.xml" ContentType="application/vnd.openxmlformats-officedocument.spreadsheetml.revisionLog+xml"/>
  <Override PartName="/xl/revisions/revisionLog413.xml" ContentType="application/vnd.openxmlformats-officedocument.spreadsheetml.revisionLog+xml"/>
  <Override PartName="/xl/revisions/revisionLog9.xml" ContentType="application/vnd.openxmlformats-officedocument.spreadsheetml.revisionLog+xml"/>
  <Override PartName="/xl/revisions/revisionLog273.xml" ContentType="application/vnd.openxmlformats-officedocument.spreadsheetml.revisionLog+xml"/>
  <Override PartName="/xl/revisions/revisionLog217.xml" ContentType="application/vnd.openxmlformats-officedocument.spreadsheetml.revisionLog+xml"/>
  <Override PartName="/xl/revisions/revisionLog238.xml" ContentType="application/vnd.openxmlformats-officedocument.spreadsheetml.revisionLog+xml"/>
  <Override PartName="/xl/revisions/revisionLog252.xml" ContentType="application/vnd.openxmlformats-officedocument.spreadsheetml.revisionLog+xml"/>
  <Override PartName="/xl/revisions/revisionLog294.xml" ContentType="application/vnd.openxmlformats-officedocument.spreadsheetml.revisionLog+xml"/>
  <Override PartName="/xl/revisions/revisionLog34.xml" ContentType="application/vnd.openxmlformats-officedocument.spreadsheetml.revisionLog+xml"/>
  <Override PartName="/xl/revisions/revisionLog326.xml" ContentType="application/vnd.openxmlformats-officedocument.spreadsheetml.revisionLog+xml"/>
  <Override PartName="/xl/revisions/revisionLog305.xml" ContentType="application/vnd.openxmlformats-officedocument.spreadsheetml.revisionLog+xml"/>
  <Override PartName="/xl/revisions/revisionLog361.xml" ContentType="application/vnd.openxmlformats-officedocument.spreadsheetml.revisionLog+xml"/>
  <Override PartName="/xl/revisions/revisionLog403.xml" ContentType="application/vnd.openxmlformats-officedocument.spreadsheetml.revisionLog+xml"/>
  <Override PartName="/xl/revisions/revisionLog382.xml" ContentType="application/vnd.openxmlformats-officedocument.spreadsheetml.revisionLog+xml"/>
  <Override PartName="/xl/revisions/revisionLog424.xml" ContentType="application/vnd.openxmlformats-officedocument.spreadsheetml.revisionLog+xml"/>
  <Override PartName="/xl/revisions/revisionLog228.xml" ContentType="application/vnd.openxmlformats-officedocument.spreadsheetml.revisionLog+xml"/>
  <Override PartName="/xl/revisions/revisionLog284.xml" ContentType="application/vnd.openxmlformats-officedocument.spreadsheetml.revisionLog+xml"/>
  <Override PartName="/xl/revisions/revisionLog263.xml" ContentType="application/vnd.openxmlformats-officedocument.spreadsheetml.revisionLog+xml"/>
  <Override PartName="/xl/revisions/revisionLog10.xml" ContentType="application/vnd.openxmlformats-officedocument.spreadsheetml.revisionLog+xml"/>
  <Override PartName="/xl/revisions/revisionLog24.xml" ContentType="application/vnd.openxmlformats-officedocument.spreadsheetml.revisionLog+xml"/>
  <Override PartName="/xl/revisions/revisionLog45.xml" ContentType="application/vnd.openxmlformats-officedocument.spreadsheetml.revisionLog+xml"/>
  <Override PartName="/xl/revisions/revisionLog316.xml" ContentType="application/vnd.openxmlformats-officedocument.spreadsheetml.revisionLog+xml"/>
  <Override PartName="/xl/revisions/revisionLog351.xml" ContentType="application/vnd.openxmlformats-officedocument.spreadsheetml.revisionLog+xml"/>
  <Override PartName="/xl/revisions/revisionLog295.xml" ContentType="application/vnd.openxmlformats-officedocument.spreadsheetml.revisionLog+xml"/>
  <Override PartName="/xl/revisions/revisionLog414.xml" ContentType="application/vnd.openxmlformats-officedocument.spreadsheetml.revisionLog+xml"/>
  <Override PartName="/xl/revisions/revisionLog337.xml" ContentType="application/vnd.openxmlformats-officedocument.spreadsheetml.revisionLog+xml"/>
  <Override PartName="/xl/revisions/revisionLog393.xml" ContentType="application/vnd.openxmlformats-officedocument.spreadsheetml.revisionLog+xml"/>
  <Override PartName="/xl/revisions/revisionLog372.xml" ContentType="application/vnd.openxmlformats-officedocument.spreadsheetml.revisionLog+xml"/>
  <Override PartName="/xl/revisions/revisionLog274.xml" ContentType="application/vnd.openxmlformats-officedocument.spreadsheetml.revisionLog+xml"/>
  <Override PartName="/xl/revisions/revisionLog239.xml" ContentType="application/vnd.openxmlformats-officedocument.spreadsheetml.revisionLog+xml"/>
  <Override PartName="/xl/revisions/revisionLog253.xml" ContentType="application/vnd.openxmlformats-officedocument.spreadsheetml.revisionLog+xml"/>
  <Override PartName="/xl/revisions/revisionLog425.xml" ContentType="application/vnd.openxmlformats-officedocument.spreadsheetml.revisionLog+xml"/>
  <Override PartName="/xl/revisions/revisionLog218.xml" ContentType="application/vnd.openxmlformats-officedocument.spreadsheetml.revisionLog+xml"/>
  <Override PartName="/xl/revisions/revisionLog35.xml" ContentType="application/vnd.openxmlformats-officedocument.spreadsheetml.revisionLog+xml"/>
  <Override PartName="/xl/revisions/revisionLog306.xml" ContentType="application/vnd.openxmlformats-officedocument.spreadsheetml.revisionLog+xml"/>
  <Override PartName="/xl/revisions/revisionLog285.xml" ContentType="application/vnd.openxmlformats-officedocument.spreadsheetml.revisionLog+xml"/>
  <Override PartName="/xl/revisions/revisionLog383.xml" ContentType="application/vnd.openxmlformats-officedocument.spreadsheetml.revisionLog+xml"/>
  <Override PartName="/xl/revisions/revisionLog362.xml" ContentType="application/vnd.openxmlformats-officedocument.spreadsheetml.revisionLog+xml"/>
  <Override PartName="/xl/revisions/revisionLog404.xml" ContentType="application/vnd.openxmlformats-officedocument.spreadsheetml.revisionLog+xml"/>
  <Override PartName="/xl/revisions/revisionLog327.xml" ContentType="application/vnd.openxmlformats-officedocument.spreadsheetml.revisionLog+xml"/>
  <Override PartName="/xl/revisions/revisionLog229.xml" ContentType="application/vnd.openxmlformats-officedocument.spreadsheetml.revisionLog+xml"/>
  <Override PartName="/xl/revisions/revisionLog25.xml" ContentType="application/vnd.openxmlformats-officedocument.spreadsheetml.revisionLog+xml"/>
  <Override PartName="/xl/revisions/revisionLog264.xml" ContentType="application/vnd.openxmlformats-officedocument.spreadsheetml.revisionLog+xml"/>
  <Override PartName="/xl/revisions/revisionLog415.xml" ContentType="application/vnd.openxmlformats-officedocument.spreadsheetml.revisionLog+xml"/>
  <Override PartName="/xl/revisions/revisionLog11.xml" ContentType="application/vnd.openxmlformats-officedocument.spreadsheetml.revisionLog+xml"/>
  <Override PartName="/xl/revisions/revisionLog46.xml" ContentType="application/vnd.openxmlformats-officedocument.spreadsheetml.revisionLog+xml"/>
  <Override PartName="/xl/revisions/revisionLog275.xml" ContentType="application/vnd.openxmlformats-officedocument.spreadsheetml.revisionLog+xml"/>
  <Override PartName="/xl/revisions/revisionLog352.xml" ContentType="application/vnd.openxmlformats-officedocument.spreadsheetml.revisionLog+xml"/>
  <Override PartName="/xl/revisions/revisionLog317.xml" ContentType="application/vnd.openxmlformats-officedocument.spreadsheetml.revisionLog+xml"/>
  <Override PartName="/xl/revisions/revisionLog373.xml" ContentType="application/vnd.openxmlformats-officedocument.spreadsheetml.revisionLog+xml"/>
  <Override PartName="/xl/revisions/revisionLog394.xml" ContentType="application/vnd.openxmlformats-officedocument.spreadsheetml.revisionLog+xml"/>
  <Override PartName="/xl/revisions/revisionLog338.xml" ContentType="application/vnd.openxmlformats-officedocument.spreadsheetml.revisionLog+xml"/>
  <Override PartName="/xl/revisions/revisionLog296.xml" ContentType="application/vnd.openxmlformats-officedocument.spreadsheetml.revisionLog+xml"/>
  <Override PartName="/xl/revisions/revisionLog254.xml" ContentType="application/vnd.openxmlformats-officedocument.spreadsheetml.revisionLog+xml"/>
  <Override PartName="/xl/revisions/revisionLog219.xml" ContentType="application/vnd.openxmlformats-officedocument.spreadsheetml.revisionLog+xml"/>
  <Override PartName="/xl/revisions/revisionLog405.xml" ContentType="application/vnd.openxmlformats-officedocument.spreadsheetml.revisionLog+xml"/>
  <Override PartName="/xl/revisions/revisionLog240.xml" ContentType="application/vnd.openxmlformats-officedocument.spreadsheetml.revisionLog+xml"/>
  <Override PartName="/xl/revisions/revisionLog1.xml" ContentType="application/vnd.openxmlformats-officedocument.spreadsheetml.revisionLog+xml"/>
  <Override PartName="/xl/revisions/revisionLog36.xml" ContentType="application/vnd.openxmlformats-officedocument.spreadsheetml.revisionLog+xml"/>
  <Override PartName="/xl/revisions/revisionLog265.xml" ContentType="application/vnd.openxmlformats-officedocument.spreadsheetml.revisionLog+xml"/>
  <Override PartName="/xl/revisions/revisionLog384.xml" ContentType="application/vnd.openxmlformats-officedocument.spreadsheetml.revisionLog+xml"/>
  <Override PartName="/xl/revisions/revisionLog307.xml" ContentType="application/vnd.openxmlformats-officedocument.spreadsheetml.revisionLog+xml"/>
  <Override PartName="/xl/revisions/revisionLog286.xml" ContentType="application/vnd.openxmlformats-officedocument.spreadsheetml.revisionLog+xml"/>
  <Override PartName="/xl/revisions/revisionLog328.xml" ContentType="application/vnd.openxmlformats-officedocument.spreadsheetml.revisionLog+xml"/>
  <Override PartName="/xl/revisions/revisionLog363.xml" ContentType="application/vnd.openxmlformats-officedocument.spreadsheetml.revisionLog+xml"/>
  <Override PartName="/xl/revisions/revisionLog416.xml" ContentType="application/vnd.openxmlformats-officedocument.spreadsheetml.revisionLog+xml"/>
  <Override PartName="/xl/revisions/revisionLog209.xml" ContentType="application/vnd.openxmlformats-officedocument.spreadsheetml.revisionLog+xml"/>
  <Override PartName="/xl/revisions/revisionLog230.xml" ContentType="application/vnd.openxmlformats-officedocument.spreadsheetml.revisionLog+xml"/>
  <Override PartName="/xl/revisions/revisionLog395.xml" ContentType="application/vnd.openxmlformats-officedocument.spreadsheetml.revisionLog+xml"/>
  <Override PartName="/xl/revisions/revisionLog26.xml" ContentType="application/vnd.openxmlformats-officedocument.spreadsheetml.revisionLog+xml"/>
  <Override PartName="/xl/revisions/revisionLog255.xml" ContentType="application/vnd.openxmlformats-officedocument.spreadsheetml.revisionLog+xml"/>
  <Override PartName="/xl/revisions/revisionLog12.xml" ContentType="application/vnd.openxmlformats-officedocument.spreadsheetml.revisionLog+xml"/>
  <Override PartName="/xl/revisions/revisionLog47.xml" ContentType="application/vnd.openxmlformats-officedocument.spreadsheetml.revisionLog+xml"/>
  <Override PartName="/xl/revisions/revisionLog297.xml" ContentType="application/vnd.openxmlformats-officedocument.spreadsheetml.revisionLog+xml"/>
  <Override PartName="/xl/revisions/revisionLog374.xml" ContentType="application/vnd.openxmlformats-officedocument.spreadsheetml.revisionLog+xml"/>
  <Override PartName="/xl/revisions/revisionLog353.xml" ContentType="application/vnd.openxmlformats-officedocument.spreadsheetml.revisionLog+xml"/>
  <Override PartName="/xl/revisions/revisionLog339.xml" ContentType="application/vnd.openxmlformats-officedocument.spreadsheetml.revisionLog+xml"/>
  <Override PartName="/xl/revisions/revisionLog318.xml" ContentType="application/vnd.openxmlformats-officedocument.spreadsheetml.revisionLog+xml"/>
  <Override PartName="/xl/revisions/revisionLog276.xml" ContentType="application/vnd.openxmlformats-officedocument.spreadsheetml.revisionLog+xml"/>
  <Override PartName="/xl/revisions/revisionLog385.xml" ContentType="application/vnd.openxmlformats-officedocument.spreadsheetml.revisionLog+xml"/>
  <Override PartName="/xl/revisions/revisionLog406.xml" ContentType="application/vnd.openxmlformats-officedocument.spreadsheetml.revisionLog+xml"/>
  <Override PartName="/xl/revisions/revisionLog220.xml" ContentType="application/vnd.openxmlformats-officedocument.spreadsheetml.revisionLog+xml"/>
  <Override PartName="/xl/revisions/revisionLog241.xml" ContentType="application/vnd.openxmlformats-officedocument.spreadsheetml.revisionLog+xml"/>
  <Override PartName="/xl/revisions/revisionLog245.xml" ContentType="application/vnd.openxmlformats-officedocument.spreadsheetml.revisionLog+xml"/>
  <Override PartName="/xl/revisions/revisionLog2.xml" ContentType="application/vnd.openxmlformats-officedocument.spreadsheetml.revisionLog+xml"/>
  <Override PartName="/xl/revisions/revisionLog37.xml" ContentType="application/vnd.openxmlformats-officedocument.spreadsheetml.revisionLog+xml"/>
  <Override PartName="/xl/revisions/revisionLog266.xml" ContentType="application/vnd.openxmlformats-officedocument.spreadsheetml.revisionLog+xml"/>
  <Override PartName="/xl/revisions/revisionLog364.xml" ContentType="application/vnd.openxmlformats-officedocument.spreadsheetml.revisionLog+xml"/>
  <Override PartName="/xl/revisions/revisionLog329.xml" ContentType="application/vnd.openxmlformats-officedocument.spreadsheetml.revisionLog+xml"/>
  <Override PartName="/xl/revisions/revisionLog308.xml" ContentType="application/vnd.openxmlformats-officedocument.spreadsheetml.revisionLog+xml"/>
  <Override PartName="/xl/revisions/revisionLog287.xml" ContentType="application/vnd.openxmlformats-officedocument.spreadsheetml.revisionLog+xml"/>
  <Override PartName="/xl/revisions/revisionLog375.xml" ContentType="application/vnd.openxmlformats-officedocument.spreadsheetml.revisionLog+xml"/>
  <Override PartName="/xl/revisions/revisionLog210.xml" ContentType="application/vnd.openxmlformats-officedocument.spreadsheetml.revisionLog+xml"/>
  <Override PartName="/xl/revisions/revisionLog231.xml" ContentType="application/vnd.openxmlformats-officedocument.spreadsheetml.revisionLog+xml"/>
  <Override PartName="/xl/revisions/revisionLog396.xml" ContentType="application/vnd.openxmlformats-officedocument.spreadsheetml.revisionLog+xml"/>
  <Override PartName="/xl/revisions/revisionLog417.xml" ContentType="application/vnd.openxmlformats-officedocument.spreadsheetml.revisionLog+xml"/>
  <Override PartName="/xl/revisions/revisionLog13.xml" ContentType="application/vnd.openxmlformats-officedocument.spreadsheetml.revisionLog+xml"/>
  <Override PartName="/xl/revisions/revisionLog27.xml" ContentType="application/vnd.openxmlformats-officedocument.spreadsheetml.revisionLog+xml"/>
  <Override PartName="/xl/revisions/revisionLog48.xml" ContentType="application/vnd.openxmlformats-officedocument.spreadsheetml.revisionLog+xml"/>
  <Override PartName="/xl/revisions/revisionLog277.xml" ContentType="application/vnd.openxmlformats-officedocument.spreadsheetml.revisionLog+xml"/>
  <Override PartName="/xl/revisions/revisionLog319.xml" ContentType="application/vnd.openxmlformats-officedocument.spreadsheetml.revisionLog+xml"/>
  <Override PartName="/xl/revisions/revisionLog298.xml" ContentType="application/vnd.openxmlformats-officedocument.spreadsheetml.revisionLog+xml"/>
  <Override PartName="/xl/revisions/revisionLog354.xml" ContentType="application/vnd.openxmlformats-officedocument.spreadsheetml.revisionLog+xml"/>
  <Override PartName="/xl/revisions/revisionLog340.xml" ContentType="application/vnd.openxmlformats-officedocument.spreadsheetml.revisionLog+xml"/>
  <Override PartName="/xl/revisions/revisionLog256.xml" ContentType="application/vnd.openxmlformats-officedocument.spreadsheetml.revisionLog+xml"/>
  <Override PartName="/xl/revisions/revisionLog365.xml" ContentType="application/vnd.openxmlformats-officedocument.spreadsheetml.revisionLog+xml"/>
  <Override PartName="/xl/revisions/revisionLog407.xml" ContentType="application/vnd.openxmlformats-officedocument.spreadsheetml.revisionLog+xml"/>
  <Override PartName="/xl/revisions/revisionLog221.xml" ContentType="application/vnd.openxmlformats-officedocument.spreadsheetml.revisionLog+xml"/>
  <Override PartName="/xl/revisions/revisionLog242.xml" ContentType="application/vnd.openxmlformats-officedocument.spreadsheetml.revisionLog+xml"/>
  <Override PartName="/xl/revisions/revisionLog386.xml" ContentType="application/vnd.openxmlformats-officedocument.spreadsheetml.revisionLog+xml"/>
  <Override PartName="/xl/revisions/revisionLog3.xml" ContentType="application/vnd.openxmlformats-officedocument.spreadsheetml.revisionLog+xml"/>
  <Override PartName="/xl/revisions/revisionLog38.xml" ContentType="application/vnd.openxmlformats-officedocument.spreadsheetml.revisionLog+xml"/>
  <Override PartName="/xl/revisions/revisionLog246.xml" ContentType="application/vnd.openxmlformats-officedocument.spreadsheetml.revisionLog+xml"/>
  <Override PartName="/xl/revisions/revisionLog267.xml" ContentType="application/vnd.openxmlformats-officedocument.spreadsheetml.revisionLog+xml"/>
  <Override PartName="/xl/revisions/revisionLog288.xml" ContentType="application/vnd.openxmlformats-officedocument.spreadsheetml.revisionLog+xml"/>
  <Override PartName="/xl/revisions/revisionLog309.xml" ContentType="application/vnd.openxmlformats-officedocument.spreadsheetml.revisionLog+xml"/>
  <Override PartName="/xl/revisions/revisionLog330.xml" ContentType="application/vnd.openxmlformats-officedocument.spreadsheetml.revisionLog+xml"/>
  <Override PartName="/xl/revisions/revisionLog418.xml" ContentType="application/vnd.openxmlformats-officedocument.spreadsheetml.revisionLog+xml"/>
  <Override PartName="/xl/revisions/revisionLog397.xml" ContentType="application/vnd.openxmlformats-officedocument.spreadsheetml.revisionLog+xml"/>
  <Override PartName="/xl/revisions/revisionLog211.xml" ContentType="application/vnd.openxmlformats-officedocument.spreadsheetml.revisionLog+xml"/>
  <Override PartName="/xl/revisions/revisionLog232.xml" ContentType="application/vnd.openxmlformats-officedocument.spreadsheetml.revisionLog+xml"/>
  <Override PartName="/xl/revisions/revisionLog355.xml" ContentType="application/vnd.openxmlformats-officedocument.spreadsheetml.revisionLog+xml"/>
  <Override PartName="/xl/revisions/revisionLog376.xml" ContentType="application/vnd.openxmlformats-officedocument.spreadsheetml.revisionLog+xml"/>
  <Override PartName="/xl/revisions/revisionLog14.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299.xml" ContentType="application/vnd.openxmlformats-officedocument.spreadsheetml.revisionLog+xml"/>
  <Override PartName="/xl/revisions/revisionLog257.xml" ContentType="application/vnd.openxmlformats-officedocument.spreadsheetml.revisionLog+xml"/>
  <Override PartName="/xl/revisions/revisionLog278.xml" ContentType="application/vnd.openxmlformats-officedocument.spreadsheetml.revisionLog+xml"/>
  <Override PartName="/xl/revisions/revisionLog320.xml" ContentType="application/vnd.openxmlformats-officedocument.spreadsheetml.revisionLog+xml"/>
  <Override PartName="/xl/revisions/revisionLog341.xml" ContentType="application/vnd.openxmlformats-officedocument.spreadsheetml.revisionLog+xml"/>
  <Override PartName="/xl/revisions/revisionLog408.xml" ContentType="application/vnd.openxmlformats-officedocument.spreadsheetml.revisionLog+xml"/>
  <Override PartName="/xl/revisions/revisionLog387.xml" ContentType="application/vnd.openxmlformats-officedocument.spreadsheetml.revisionLog+xml"/>
  <Override PartName="/xl/revisions/revisionLog366.xml" ContentType="application/vnd.openxmlformats-officedocument.spreadsheetml.revisionLog+xml"/>
  <Override PartName="/xl/revisions/revisionLog222.xml" ContentType="application/vnd.openxmlformats-officedocument.spreadsheetml.revisionLog+xml"/>
  <Override PartName="/xl/revisions/revisionLog243.xml" ContentType="application/vnd.openxmlformats-officedocument.spreadsheetml.revisionLog+xml"/>
  <Override PartName="/xl/revisions/revisionLog345.xml" ContentType="application/vnd.openxmlformats-officedocument.spreadsheetml.revisionLog+xml"/>
  <Override PartName="/xl/revisions/revisionLog4.xml" ContentType="application/vnd.openxmlformats-officedocument.spreadsheetml.revisionLog+xml"/>
  <Override PartName="/xl/revisions/revisionLog39.xml" ContentType="application/vnd.openxmlformats-officedocument.spreadsheetml.revisionLog+xml"/>
  <Override PartName="/xl/revisions/revisionLog247.xml" ContentType="application/vnd.openxmlformats-officedocument.spreadsheetml.revisionLog+xml"/>
  <Override PartName="/xl/revisions/revisionLog268.xml" ContentType="application/vnd.openxmlformats-officedocument.spreadsheetml.revisionLog+xml"/>
  <Override PartName="/xl/revisions/revisionLog289.xml" ContentType="application/vnd.openxmlformats-officedocument.spreadsheetml.revisionLog+xml"/>
  <Override PartName="/xl/revisions/revisionLog50.xml" ContentType="application/vnd.openxmlformats-officedocument.spreadsheetml.revisionLog+xml"/>
  <Override PartName="/xl/revisions/revisionLog331.xml" ContentType="application/vnd.openxmlformats-officedocument.spreadsheetml.revisionLog+xml"/>
  <Override PartName="/xl/revisions/revisionLog310.xml" ContentType="application/vnd.openxmlformats-officedocument.spreadsheetml.revisionLog+xml"/>
  <Override PartName="/xl/revisions/revisionLog419.xml" ContentType="application/vnd.openxmlformats-officedocument.spreadsheetml.revisionLog+xml"/>
  <Override PartName="/xl/revisions/revisionLog398.xml" ContentType="application/vnd.openxmlformats-officedocument.spreadsheetml.revisionLog+xml"/>
  <Override PartName="/xl/revisions/revisionLog377.xml" ContentType="application/vnd.openxmlformats-officedocument.spreadsheetml.revisionLog+xml"/>
  <Override PartName="/xl/revisions/revisionLog356.xml" ContentType="application/vnd.openxmlformats-officedocument.spreadsheetml.revisionLog+xml"/>
  <Override PartName="/xl/revisions/revisionLog212.xml" ContentType="application/vnd.openxmlformats-officedocument.spreadsheetml.revisionLog+xml"/>
  <Override PartName="/xl/revisions/revisionLog233.xml" ContentType="application/vnd.openxmlformats-officedocument.spreadsheetml.revisionLog+xml"/>
  <Override PartName="/xl/revisions/revisionLog29.xml" ContentType="application/vnd.openxmlformats-officedocument.spreadsheetml.revisionLog+xml"/>
  <Override PartName="/xl/revisions/revisionLog15.xml" ContentType="application/vnd.openxmlformats-officedocument.spreadsheetml.revisionLog+xml"/>
  <Override PartName="/xl/revisions/revisionLog258.xml" ContentType="application/vnd.openxmlformats-officedocument.spreadsheetml.revisionLog+xml"/>
  <Override PartName="/xl/revisions/revisionLog279.xml" ContentType="application/vnd.openxmlformats-officedocument.spreadsheetml.revisionLog+xml"/>
  <Override PartName="/xl/revisions/revisionLog342.xml" ContentType="application/vnd.openxmlformats-officedocument.spreadsheetml.revisionLog+xml"/>
  <Override PartName="/xl/revisions/revisionLog321.xml" ContentType="application/vnd.openxmlformats-officedocument.spreadsheetml.revisionLog+xml"/>
  <Override PartName="/xl/revisions/revisionLog300.xml" ContentType="application/vnd.openxmlformats-officedocument.spreadsheetml.revisionLog+xml"/>
  <Override PartName="/xl/revisions/revisionLog40.xml" ContentType="application/vnd.openxmlformats-officedocument.spreadsheetml.revisionLog+xml"/>
  <Override PartName="/xl/revisions/revisionLog409.xml" ContentType="application/vnd.openxmlformats-officedocument.spreadsheetml.revisionLog+xml"/>
  <Override PartName="/xl/revisions/revisionLog388.xml" ContentType="application/vnd.openxmlformats-officedocument.spreadsheetml.revisionLog+xml"/>
  <Override PartName="/xl/revisions/revisionLog367.xml" ContentType="application/vnd.openxmlformats-officedocument.spreadsheetml.revisionLog+xml"/>
  <Override PartName="/xl/revisions/revisionLog346.xml" ContentType="application/vnd.openxmlformats-officedocument.spreadsheetml.revisionLog+xml"/>
  <Override PartName="/xl/revisions/revisionLog223.xml" ContentType="application/vnd.openxmlformats-officedocument.spreadsheetml.revisionLog+xml"/>
  <Override PartName="/xl/revisions/revisionLog248.xml" ContentType="application/vnd.openxmlformats-officedocument.spreadsheetml.revisionLog+xml"/>
  <Override PartName="/xl/revisions/revisionLog5.xml" ContentType="application/vnd.openxmlformats-officedocument.spreadsheetml.revisionLog+xml"/>
  <Override PartName="/xl/revisions/revisionLog290.xml" ContentType="application/vnd.openxmlformats-officedocument.spreadsheetml.revisionLog+xml"/>
  <Override PartName="/xl/revisions/revisionLog332.xml" ContentType="application/vnd.openxmlformats-officedocument.spreadsheetml.revisionLog+xml"/>
  <Override PartName="/xl/revisions/revisionLog30.xml" ContentType="application/vnd.openxmlformats-officedocument.spreadsheetml.revisionLog+xml"/>
  <Override PartName="/xl/revisions/revisionLog35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D:\Downloads\"/>
    </mc:Choice>
  </mc:AlternateContent>
  <xr:revisionPtr revIDLastSave="0" documentId="13_ncr:81_{65A1EA1D-BBC7-4D99-8D7F-0E358153DF52}" xr6:coauthVersionLast="43" xr6:coauthVersionMax="43"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Sheet1!$A$1:$AK$403</definedName>
    <definedName name="_Hlk1048507" localSheetId="0">Sheet1!$I$394</definedName>
    <definedName name="_Hlk511228962">Sheet1!#REF!</definedName>
    <definedName name="_Hlk511229340">Sheet1!#REF!</definedName>
    <definedName name="_Hlk516490095" localSheetId="0">Sheet1!$I$357</definedName>
    <definedName name="_Hlk526934001" localSheetId="0">Sheet1!$G$97</definedName>
    <definedName name="_xlnm.Print_Area" localSheetId="0">Sheet1!$A$1:$AK$437</definedName>
    <definedName name="Z_0585DD1B_89D4_4278_953B_FA6D57DCCE82_.wvu.FilterData" localSheetId="0" hidden="1">Sheet1!$A$4:$AK$437</definedName>
    <definedName name="Z_0781B6C2_B440_4971_9809_BD16245A70FD_.wvu.FilterData" localSheetId="0" hidden="1">Sheet1!$A$1:$AK$403</definedName>
    <definedName name="Z_0781B6C2_B440_4971_9809_BD16245A70FD_.wvu.PrintArea" localSheetId="0" hidden="1">Sheet1!$A$1:$AK$437</definedName>
    <definedName name="Z_0A043D96_6DF8_4E40_9D1E_818A39BAFD81_.wvu.FilterData" localSheetId="0" hidden="1">Sheet1!$A$4:$AK$437</definedName>
    <definedName name="Z_0D4E932E_8E85_4001_9304_AAB4DBAD8A65_.wvu.FilterData" localSheetId="0" hidden="1">Sheet1!$A$4:$DE$373</definedName>
    <definedName name="Z_122B486E_8EE5_41FD_B958_74B116FA5D23_.wvu.FilterData" localSheetId="0" hidden="1">Sheet1!$A$1:$DE$373</definedName>
    <definedName name="Z_1278E668_633E_4AB5_BA11_904BA4B2301D_.wvu.FilterData" localSheetId="0" hidden="1">Sheet1!$A$1:$DE$373</definedName>
    <definedName name="Z_13FEC0EB_A6AC_4EB9_BE0B_BA91B5951E65_.wvu.FilterData" localSheetId="0" hidden="1">Sheet1!$A$4:$DE$403</definedName>
    <definedName name="Z_15F03B40_FCDD_463A_AE42_63F6121ACBED_.wvu.FilterData" localSheetId="0" hidden="1">Sheet1!$C$1:$C$437</definedName>
    <definedName name="Z_17F4A6A1_469E_46FB_A3A0_041FC3712E3B_.wvu.FilterData" localSheetId="0" hidden="1">Sheet1!$A$4:$AK$437</definedName>
    <definedName name="Z_19FC3531_0DA5_4817_A3AD_017115B33D3C_.wvu.FilterData" localSheetId="0" hidden="1">Sheet1!#REF!</definedName>
    <definedName name="Z_1AA32817_7AF7_4644_968C_56F1D5DDD6B5_.wvu.FilterData" localSheetId="0" hidden="1">Sheet1!$A$1:$DE$404</definedName>
    <definedName name="Z_22D79F88_81A2_49FE_923A_13405540BBB2_.wvu.FilterData" localSheetId="0" hidden="1">Sheet1!$A$4:$DE$373</definedName>
    <definedName name="Z_2355B1FA_E7E3_44CD_A529_24812589AA28_.wvu.FilterData" localSheetId="0" hidden="1">Sheet1!$A$4:$AK$437</definedName>
    <definedName name="Z_250231BB_5F02_4B46_B1CA_B904A9B40BA2_.wvu.FilterData" localSheetId="0" hidden="1">Sheet1!$A$3:$AK$403</definedName>
    <definedName name="Z_25084D9D_9C92_4823_A653_D1AEC60737AD_.wvu.FilterData" localSheetId="0" hidden="1">Sheet1!$A$4:$DE$373</definedName>
    <definedName name="Z_2547C3D7_22F7_4CAF_8E48_C8F3425DB942_.wvu.FilterData" localSheetId="0" hidden="1">Sheet1!$A$4:$AK$437</definedName>
    <definedName name="Z_280C391A_EEDA_43A4_BCD2_EE017A1C1AE2_.wvu.FilterData" localSheetId="0" hidden="1">Sheet1!$A$4:$DE$403</definedName>
    <definedName name="Z_297CB86E_F816_4839_BE0B_A075145D0E50_.wvu.FilterData" localSheetId="0" hidden="1">Sheet1!$A$1:$DE$373</definedName>
    <definedName name="Z_2A26C971_CCE6_49C7_89EC_0B2699E5DD98_.wvu.FilterData" localSheetId="0" hidden="1">Sheet1!$A$4:$AK$437</definedName>
    <definedName name="Z_2A657C48_B241_4C19_9A74_98ECFC665F2A_.wvu.FilterData" localSheetId="0" hidden="1">Sheet1!$A$5:$DE$403</definedName>
    <definedName name="Z_2C296388_EDB5_4F1F_B0F4_90EC07CCD947_.wvu.FilterData" localSheetId="0" hidden="1">Sheet1!$A$1:$DE$404</definedName>
    <definedName name="Z_2C296388_EDB5_4F1F_B0F4_90EC07CCD947_.wvu.PrintArea" localSheetId="0" hidden="1">Sheet1!$A$1:$AK$437</definedName>
    <definedName name="Z_2E491347_3C24_4F24_80DE_5DC574AA2438_.wvu.FilterData" localSheetId="0" hidden="1">Sheet1!$A$4:$AK$437</definedName>
    <definedName name="Z_305BEEB9_C99E_4E52_A4AB_56EA1595A366_.wvu.FilterData" localSheetId="0" hidden="1">Sheet1!$A$4:$AK$437</definedName>
    <definedName name="Z_31567BC0_5366_4F93_AE32_123F006BC234_.wvu.FilterData" localSheetId="0" hidden="1">Sheet1!$A$4:$DE$403</definedName>
    <definedName name="Z_324E461A_DC75_4814_87BA_41F170D0ED0B_.wvu.FilterData" localSheetId="0" hidden="1">Sheet1!$A$4:$AK$437</definedName>
    <definedName name="Z_340EDCDE_FAE5_4319_AEAD_F8264DCA5D27_.wvu.FilterData" localSheetId="0" hidden="1">Sheet1!$A$5:$DE$403</definedName>
    <definedName name="Z_34BB42D3_88F0_437E_91ED_3E3C369B9525_.wvu.FilterData" localSheetId="0" hidden="1">Sheet1!$A$4:$AK$437</definedName>
    <definedName name="Z_3656F679_79F6_439C_98F9_E05AFC52CE40_.wvu.FilterData" localSheetId="0" hidden="1">Sheet1!$A$4:$DE$403</definedName>
    <definedName name="Z_36624B2D_80F9_4F79_AC4A_B3547C36F23F_.wvu.FilterData" localSheetId="0" hidden="1">Sheet1!$A$1:$AK$403</definedName>
    <definedName name="Z_36624B2D_80F9_4F79_AC4A_B3547C36F23F_.wvu.PrintArea" localSheetId="0" hidden="1">Sheet1!$A$1:$AK$437</definedName>
    <definedName name="Z_377DA8E3_6D61_4CAB_8EDD_2C41FF81A19E_.wvu.FilterData" localSheetId="0" hidden="1">Sheet1!$A$4:$AK$437</definedName>
    <definedName name="Z_38C68E87_361F_434A_8BE4_BA2AF4CB3868_.wvu.FilterData" localSheetId="0" hidden="1">Sheet1!$A$4:$AK$437</definedName>
    <definedName name="Z_3A00607E_664E_4ED3_AB65_1F25AC8DBC86_.wvu.FilterData" localSheetId="0" hidden="1">Sheet1!$C$1:$C$440</definedName>
    <definedName name="Z_3A3E83F9_303A_4CDE_BDDB_A2D752554829_.wvu.FilterData" localSheetId="0" hidden="1">Sheet1!$A$4:$AK$437</definedName>
    <definedName name="Z_3AFE79CE_CE75_447D_8C73_1AE63A224CBA_.wvu.FilterData" localSheetId="0" hidden="1">Sheet1!$A$4:$AK$437</definedName>
    <definedName name="Z_3AFE79CE_CE75_447D_8C73_1AE63A224CBA_.wvu.PrintArea" localSheetId="0" hidden="1">Sheet1!$A$1:$AK$437</definedName>
    <definedName name="Z_3E15816F_2EBF_42BD_89BB_84C7827E4C28_.wvu.FilterData" localSheetId="0" hidden="1">Sheet1!$A$4:$AK$437</definedName>
    <definedName name="Z_3E7AD119_0031_4735_857B_FBC0C47AB231_.wvu.FilterData" localSheetId="0" hidden="1">Sheet1!$A$4:$AK$437</definedName>
    <definedName name="Z_3F70E84F_60E2_4042_91AA_EFB3B23DDDDF_.wvu.FilterData" localSheetId="0" hidden="1">Sheet1!$A$1:$DE$373</definedName>
    <definedName name="Z_4179C3D9_D1C3_46CD_B643_627525757C5E_.wvu.FilterData" localSheetId="0" hidden="1">Sheet1!$A$1:$AK$284</definedName>
    <definedName name="Z_417D6CD8_690F_495B_A03E_2A89D52B6CE8_.wvu.FilterData" localSheetId="0" hidden="1">Sheet1!$A$4:$AK$437</definedName>
    <definedName name="Z_41AA4E5D_9625_4478_B720_2BD6AE34E699_.wvu.FilterData" localSheetId="0" hidden="1">Sheet1!$A$4:$AK$437</definedName>
    <definedName name="Z_471339A8_E0FA_4CA1_8194_04936068CF02_.wvu.FilterData" localSheetId="0" hidden="1">Sheet1!$A$1:$AK$403</definedName>
    <definedName name="Z_497C7126_2491_461C_AFC3_03C2E163F15C_.wvu.FilterData" localSheetId="0" hidden="1">Sheet1!$A$4:$DE$373</definedName>
    <definedName name="Z_4AAB8139_F2B6_43E5_8C9F_E607BD4F44E4_.wvu.FilterData" localSheetId="0" hidden="1">Sheet1!$A$1:$AK$373</definedName>
    <definedName name="Z_4B7976D2_7781_4E51_BDF6_6AB2114A11DF_.wvu.FilterData" localSheetId="0" hidden="1">Sheet1!$A$4:$DE$403</definedName>
    <definedName name="Z_4BA8C48D_4728_4875_A249_068862BEA31A_.wvu.FilterData" localSheetId="0" hidden="1">Sheet1!$A$1:$DE$404</definedName>
    <definedName name="Z_4C2A0B30_0070_415E_A110_A9BCC2779710_.wvu.FilterData" localSheetId="0" hidden="1">Sheet1!$C$1:$C$437</definedName>
    <definedName name="Z_4FDB167B_D56E_45D4_B120_847D0871AA6B_.wvu.FilterData" localSheetId="0" hidden="1">Sheet1!$A$4:$AK$437</definedName>
    <definedName name="Z_529F67B3_DE0D_4FDC_BFEA_8F16107265EB_.wvu.FilterData" localSheetId="0" hidden="1">Sheet1!$A$4:$AK$437</definedName>
    <definedName name="Z_53ED3D47_B2C0_43A1_9A1E_F030D529F74C_.wvu.FilterData" localSheetId="0" hidden="1">Sheet1!$A$4:$AK$437</definedName>
    <definedName name="Z_53ED3D47_B2C0_43A1_9A1E_F030D529F74C_.wvu.PrintArea" localSheetId="0" hidden="1">Sheet1!$A$1:$AK$437</definedName>
    <definedName name="Z_5789AB6A_B04B_4240_920E_89274E9F5C82_.wvu.FilterData" localSheetId="0" hidden="1">Sheet1!$A$4:$DE$288</definedName>
    <definedName name="Z_59EBF1CB_AF85_469A_B1D0_E57CB0203158_.wvu.FilterData" localSheetId="0" hidden="1">Sheet1!$C$1:$C$437</definedName>
    <definedName name="Z_5A66C3D0_FC57_4AA7_B0C6_C5E9A7DE2A79_.wvu.FilterData" localSheetId="0" hidden="1">Sheet1!$A$4:$AK$437</definedName>
    <definedName name="Z_5AAA4DFE_88B1_4674_95ED_5FCD7A50BC22_.wvu.FilterData" localSheetId="0" hidden="1">Sheet1!$A$1:$AK$403</definedName>
    <definedName name="Z_5AAA4DFE_88B1_4674_95ED_5FCD7A50BC22_.wvu.PrintArea" localSheetId="0" hidden="1">Sheet1!$A$1:$AK$437</definedName>
    <definedName name="Z_5E661ABE_E06E_455E_A661_DDD1907219D0_.wvu.FilterData" localSheetId="0" hidden="1">Sheet1!$A$1:$AK$373</definedName>
    <definedName name="Z_6408B19F_539D_4190_A77D_CCE77E163803_.wvu.FilterData" localSheetId="0" hidden="1">Sheet1!$A$1:$DE$373</definedName>
    <definedName name="Z_65B035E3_87FA_46C5_996E_864F2C8D0EBC_.wvu.Cols" localSheetId="0" hidden="1">Sheet1!$H:$N</definedName>
    <definedName name="Z_65B035E3_87FA_46C5_996E_864F2C8D0EBC_.wvu.FilterData" localSheetId="0" hidden="1">Sheet1!$A$4:$DE$403</definedName>
    <definedName name="Z_65B035E3_87FA_46C5_996E_864F2C8D0EBC_.wvu.PrintArea" localSheetId="0" hidden="1">Sheet1!$A$1:$AK$437</definedName>
    <definedName name="Z_65C35D6D_934F_4431_BA92_90255FC17BA4_.wvu.FilterData" localSheetId="0" hidden="1">Sheet1!$A$1:$AK$403</definedName>
    <definedName name="Z_65C35D6D_934F_4431_BA92_90255FC17BA4_.wvu.PrintArea" localSheetId="0" hidden="1">Sheet1!$A$1:$AK$437</definedName>
    <definedName name="Z_6B2EC822_DCDB_4711_A946_1038FC40FACE_.wvu.FilterData" localSheetId="0" hidden="1">Sheet1!$A$1:$DE$373</definedName>
    <definedName name="Z_6C96816B_17C2_4EA9_846E_8E6B5AD26B6D_.wvu.FilterData" localSheetId="0" hidden="1">Sheet1!#REF!</definedName>
    <definedName name="Z_6CE52079_5576_45A5_9A9F_9CA970D849EF_.wvu.FilterData" localSheetId="0" hidden="1">Sheet1!$A$4:$AK$437</definedName>
    <definedName name="Z_747340EB_2B31_46D2_ACDE_4FA91E2B50F6_.wvu.FilterData" localSheetId="0" hidden="1">Sheet1!$A$1:$DE$404</definedName>
    <definedName name="Z_747340EB_2B31_46D2_ACDE_4FA91E2B50F6_.wvu.PrintArea" localSheetId="0" hidden="1">Sheet1!$A$1:$AK$437</definedName>
    <definedName name="Z_7A12EF56_0E17_493A_8E1E_6DFC6553C116_.wvu.FilterData" localSheetId="0" hidden="1">Sheet1!$A$4:$DE$373</definedName>
    <definedName name="Z_7C1B4D6D_D666_48DD_AB17_E00791B6F0B6_.wvu.FilterData" localSheetId="0" hidden="1">Sheet1!$A$4:$DE$403</definedName>
    <definedName name="Z_7C1B4D6D_D666_48DD_AB17_E00791B6F0B6_.wvu.PrintArea" localSheetId="0" hidden="1">Sheet1!$A$1:$AK$437</definedName>
    <definedName name="Z_7C389A6C_C379_45EF_8779_FEC15F27C7E7_.wvu.FilterData" localSheetId="0" hidden="1">Sheet1!$C$1:$C$437</definedName>
    <definedName name="Z_7D2F4374_D571_49E4_B659_129D2AFDC43C_.wvu.FilterData" localSheetId="0" hidden="1">Sheet1!$A$4:$AK$437</definedName>
    <definedName name="Z_83085181_C77C_4D05_8C8A_9B8FFC5A1DD7_.wvu.FilterData" localSheetId="0" hidden="1">Sheet1!$A$4:$AK$437</definedName>
    <definedName name="Z_831F7439_6937_483F_B601_184FEF5CECFD_.wvu.FilterData" localSheetId="0" hidden="1">Sheet1!$A$4:$AK$437</definedName>
    <definedName name="Z_84FB199A_D56E_4FDD_AC4A_70CE86CD87BC_.wvu.FilterData" localSheetId="0" hidden="1">Sheet1!$C$1:$C$437</definedName>
    <definedName name="Z_84FB199A_D56E_4FDD_AC4A_70CE86CD87BC_.wvu.PrintArea" localSheetId="0" hidden="1">Sheet1!$A$1:$AK$437</definedName>
    <definedName name="Z_87F9ACD0_3200_450C_B310_DAAD5FC85307_.wvu.FilterData" localSheetId="0" hidden="1">Sheet1!$A$4:$AK$437</definedName>
    <definedName name="Z_89EE8E7D_C811_4C16_975A_830983580DAD_.wvu.FilterData" localSheetId="0" hidden="1">Sheet1!$A$4:$DE$403</definedName>
    <definedName name="Z_89F20599_320E_4C2A_9159_8E9F2F24F61C_.wvu.FilterData" localSheetId="0" hidden="1">Sheet1!$A$4:$AK$437</definedName>
    <definedName name="Z_8AA945B4_D724_4D85_9940_66A1F18CFF54_.wvu.FilterData" localSheetId="0" hidden="1">Sheet1!$A$1:$AK$403</definedName>
    <definedName name="Z_8EDB8BF9_8BBB_4EEE_B4F0_C5928D0746DD_.wvu.FilterData" localSheetId="0" hidden="1">Sheet1!$A$1:$DE$404</definedName>
    <definedName name="Z_901F9774_8BE7_424D_87C2_1026F3FA2E93_.wvu.FilterData" localSheetId="0" hidden="1">Sheet1!$C$1:$C$440</definedName>
    <definedName name="Z_901F9774_8BE7_424D_87C2_1026F3FA2E93_.wvu.PrintArea" localSheetId="0" hidden="1">Sheet1!$A$1:$AK$437</definedName>
    <definedName name="Z_902D3CAF_0577_4A3F_A86A_C01FD8CA4695_.wvu.FilterData" localSheetId="0" hidden="1">Sheet1!$A$4:$AK$437</definedName>
    <definedName name="Z_9048650B_365B_48D5_8FC2_A911C6E66865_.wvu.FilterData" localSheetId="0" hidden="1">Sheet1!$A$1:$AK$403</definedName>
    <definedName name="Z_905D93EA_5662_45AB_8995_A9908B3E5D52_.wvu.FilterData" localSheetId="0" hidden="1">Sheet1!$C$1:$C$440</definedName>
    <definedName name="Z_905D93EA_5662_45AB_8995_A9908B3E5D52_.wvu.PrintArea" localSheetId="0" hidden="1">Sheet1!$A$1:$AK$437</definedName>
    <definedName name="Z_90D527B8_FE15_48EB_8A8E_6DB0EBF25D81_.wvu.FilterData" localSheetId="0" hidden="1">Sheet1!$A$1:$AK$403</definedName>
    <definedName name="Z_91199DA1_59E7_4345_8CB7_A1085C901326_.wvu.FilterData" localSheetId="0" hidden="1">Sheet1!$A$4:$AK$437</definedName>
    <definedName name="Z_91251A9B_6CF6_49E6_857D_BA6C728D7C53_.wvu.FilterData" localSheetId="0" hidden="1">Sheet1!$A$1:$DE$373</definedName>
    <definedName name="Z_923E7374_9C36_4380_9E0A_313EA2F408F0_.wvu.FilterData" localSheetId="0" hidden="1">Sheet1!$A$4:$AK$437</definedName>
    <definedName name="Z_9552AAE6_9279_4387_9199_64D0E8A50A87_.wvu.FilterData" localSheetId="0" hidden="1">Sheet1!$A$4:$DE$403</definedName>
    <definedName name="Z_97F6C5A1_2596_4037_A854_1D6AE8A1071E_.wvu.FilterData" localSheetId="0" hidden="1">Sheet1!$A$4:$AK$437</definedName>
    <definedName name="Z_98856761_4C70_4981_B8AD_C4287D704600_.wvu.FilterData" localSheetId="0" hidden="1">Sheet1!$A$1:$DE$404</definedName>
    <definedName name="Z_9980B309_0131_4577_BF29_212714399FDF_.wvu.FilterData" localSheetId="0" hidden="1">Sheet1!$A$1:$AK$72</definedName>
    <definedName name="Z_9980B309_0131_4577_BF29_212714399FDF_.wvu.PrintArea" localSheetId="0" hidden="1">Sheet1!$A$1:$AK$437</definedName>
    <definedName name="Z_9DE067B2_E801_456D_B5D0_CD5646CA5948_.wvu.FilterData" localSheetId="0" hidden="1">Sheet1!$A$1:$DE$373</definedName>
    <definedName name="Z_9EA5E3FA_46F1_4729_828C_4A08518018C1_.wvu.FilterData" localSheetId="0" hidden="1">Sheet1!$A$1:$AK$373</definedName>
    <definedName name="Z_9EA5E3FA_46F1_4729_828C_4A08518018C1_.wvu.PrintArea" localSheetId="0" hidden="1">Sheet1!$A$1:$AK$437</definedName>
    <definedName name="Z_9F268523_731B_48FE_86AA_1A6382332A83_.wvu.FilterData" localSheetId="0" hidden="1">Sheet1!$A$4:$AK$437</definedName>
    <definedName name="Z_A093D1FA_1747_4946_A02E_7D721604BB07_.wvu.FilterData" localSheetId="0" hidden="1">Sheet1!$B$1:$B$437</definedName>
    <definedName name="Z_A3134A53_5204_4FFF_BA84_3528D3179C0C_.wvu.FilterData" localSheetId="0" hidden="1">Sheet1!$A$3:$AK$284</definedName>
    <definedName name="Z_A5B1481C_EF26_486A_984F_85CDDC2FD94F_.wvu.FilterData" localSheetId="0" hidden="1">Sheet1!$A$4:$DE$403</definedName>
    <definedName name="Z_A5B1481C_EF26_486A_984F_85CDDC2FD94F_.wvu.PrintArea" localSheetId="0" hidden="1">Sheet1!$A$1:$AK$437</definedName>
    <definedName name="Z_A5EFE636_E984_4BB3_BEFD_877FE7A4960F_.wvu.FilterData" localSheetId="0" hidden="1">Sheet1!$A$4:$AK$437</definedName>
    <definedName name="Z_A87F3E0E_3A8E_4B82_8170_33752259B7DB_.wvu.FilterData" localSheetId="0" hidden="1">Sheet1!$A$4:$AK$437</definedName>
    <definedName name="Z_A87F3E0E_3A8E_4B82_8170_33752259B7DB_.wvu.PrintArea" localSheetId="0" hidden="1">Sheet1!$A$1:$AK$437</definedName>
    <definedName name="Z_A9B3B58E_F12B_4916_890B_7D88AA745B81_.wvu.FilterData" localSheetId="0" hidden="1">Sheet1!$A$1:$DE$404</definedName>
    <definedName name="Z_AD1D8E66_18A9_4CB7_BBE4_02F7E757257F_.wvu.FilterData" localSheetId="0" hidden="1">Sheet1!$A$1:$DE$404</definedName>
    <definedName name="Z_AE58BCBC_9F06_4E6C_A28B_2F5626DD7C1B_.wvu.FilterData" localSheetId="0" hidden="1">Sheet1!$A$4:$AK$437</definedName>
    <definedName name="Z_AE8F3F1B_FDCB_45A5_9CC8_53B4E3A0445E_.wvu.FilterData" localSheetId="0" hidden="1">Sheet1!$A$1:$DE$373</definedName>
    <definedName name="Z_AECBC9F6_D9DE_4043_9C2F_160F7ECDAD3D_.wvu.FilterData" localSheetId="0" hidden="1">Sheet1!$A$4:$AK$437</definedName>
    <definedName name="Z_B31B819C_CFEB_4B80_9AED_AC603C39BE78_.wvu.FilterData" localSheetId="0" hidden="1">Sheet1!$A$4:$DE$403</definedName>
    <definedName name="Z_B407928D_3938_4D05_B2B2_40B4F21D0436_.wvu.FilterData" localSheetId="0" hidden="1">Sheet1!$A$4:$DE$4</definedName>
    <definedName name="Z_B5BED753_4D8C_498E_8AE1_A08F7C0956F7_.wvu.FilterData" localSheetId="0" hidden="1">Sheet1!$A$5:$DE$403</definedName>
    <definedName name="Z_BB5C630D_1317_4843_984F_E431986514A4_.wvu.FilterData" localSheetId="0" hidden="1">Sheet1!$A$4:$AK$437</definedName>
    <definedName name="Z_BBF2EF6C_D4AD_46E1_803F_582F4D45F852_.wvu.FilterData" localSheetId="0" hidden="1">Sheet1!$A$1:$DE$404</definedName>
    <definedName name="Z_BDA3804A_96FA_4D9F_AFED_695788A754E9_.wvu.FilterData" localSheetId="0" hidden="1">Sheet1!$A$4:$DE$288</definedName>
    <definedName name="Z_C3502361_AD2C_4705_878B_D12169ED60B1_.wvu.FilterData" localSheetId="0" hidden="1">Sheet1!$A$4:$AK$437</definedName>
    <definedName name="Z_C3502361_AD2C_4705_878B_D12169ED60B1_.wvu.PrintArea" localSheetId="0" hidden="1">Sheet1!$A$1:$AK$437</definedName>
    <definedName name="Z_C408A2F1_296F_4EAD_B15B_336D73846FDD_.wvu.FilterData" localSheetId="0" hidden="1">Sheet1!$A$1:$AK$403</definedName>
    <definedName name="Z_C408A2F1_296F_4EAD_B15B_336D73846FDD_.wvu.PrintArea" localSheetId="0" hidden="1">Sheet1!$A$1:$AK$437</definedName>
    <definedName name="Z_C4E44235_F714_4BCE_B2B0_F4813D3BDF91_.wvu.FilterData" localSheetId="0" hidden="1">Sheet1!$A$4:$AK$437</definedName>
    <definedName name="Z_C71F80D5_B6C1_4ED9_B18D_D719D69F5A47_.wvu.FilterData" localSheetId="0" hidden="1">Sheet1!$A$4:$AK$437</definedName>
    <definedName name="Z_C90ECED7_D145_417E_BB55_4FC7FD4BF46C_.wvu.FilterData" localSheetId="0" hidden="1">Sheet1!$A$1:$DE$373</definedName>
    <definedName name="Z_CAB79FAE_AA32_4D62_A794_A6DB6513D801_.wvu.FilterData" localSheetId="0" hidden="1">Sheet1!$A$4:$AK$437</definedName>
    <definedName name="Z_CC51448C_22F6_4583_82CD_2835AD1A82D7_.wvu.FilterData" localSheetId="0" hidden="1">Sheet1!$A$1:$AK$284</definedName>
    <definedName name="Z_CEFAC6F5_4048_4FB5_8E88_A602B5B48691_.wvu.FilterData" localSheetId="0" hidden="1">Sheet1!$A$1:$AK$72</definedName>
    <definedName name="Z_D1981FDB_7063_4FCF_8DD5_A549E616E6FF_.wvu.FilterData" localSheetId="0" hidden="1">Sheet1!$A$5:$DE$403</definedName>
    <definedName name="Z_D365E121_F95E_415A_8CA0_9EA7ECCC60F5_.wvu.FilterData" localSheetId="0" hidden="1">Sheet1!$A$4:$AK$437</definedName>
    <definedName name="Z_D56F5ED6_74F2_4AA3_9A98_EE5750FE63AF_.wvu.FilterData" localSheetId="0" hidden="1">Sheet1!$A$4:$DE$403</definedName>
    <definedName name="Z_D802EE0F_98B9_4410_B31B_4ACC0EC9C9BC_.wvu.FilterData" localSheetId="0" hidden="1">Sheet1!$A$4:$AK$437</definedName>
    <definedName name="Z_DAD27C7B_8B8A_46CB_98B5_59B1D1EFC319_.wvu.FilterData" localSheetId="0" hidden="1">Sheet1!$A$5:$DE$403</definedName>
    <definedName name="Z_DB41C7D7_14F0_4834_A7BD_0F1115A89C8E_.wvu.FilterData" localSheetId="0" hidden="1">Sheet1!$A$4:$DE$403</definedName>
    <definedName name="Z_DB43929D_F4B7_43FF_975F_960476D189E8_.wvu.FilterData" localSheetId="0" hidden="1">Sheet1!$A$4:$AK$437</definedName>
    <definedName name="Z_DB51BB9F_5710_40B0_80E7_39B059BFD11D_.wvu.FilterData" localSheetId="0" hidden="1">Sheet1!$A$1:$DE$403</definedName>
    <definedName name="Z_DB51BB9F_5710_40B0_80E7_39B059BFD11D_.wvu.PrintArea" localSheetId="0" hidden="1">Sheet1!$A$1:$AK$437</definedName>
    <definedName name="Z_DD93CA86_AFD6_4C47_828D_70472BFCD288_.wvu.FilterData" localSheetId="0" hidden="1">Sheet1!$A$4:$AK$437</definedName>
    <definedName name="Z_DE09B69C_7EEF_4060_8E06_F7DEC4B96D7E_.wvu.FilterData" localSheetId="0" hidden="1">Sheet1!$A$4:$AK$437</definedName>
    <definedName name="Z_E53ADB69_E454_408C_8AAF_7FDA9FEDF6D0_.wvu.FilterData" localSheetId="0" hidden="1">Sheet1!$A$5:$DE$403</definedName>
    <definedName name="Z_E64C6006_DE37_44CA_8083_01C511E323D9_.wvu.FilterData" localSheetId="0" hidden="1">Sheet1!$A$3:$AK$284</definedName>
    <definedName name="Z_E6D68675_DE9B_48C6_9283_10B33E8B3FC5_.wvu.FilterData" localSheetId="0" hidden="1">Sheet1!$A$1:$AK$403</definedName>
    <definedName name="Z_E6D68675_DE9B_48C6_9283_10B33E8B3FC5_.wvu.PrintArea" localSheetId="0" hidden="1">Sheet1!$A$1:$AK$437</definedName>
    <definedName name="Z_E875C76B_3648_4C9A_A6B2_C3654837AAAC_.wvu.FilterData" localSheetId="0" hidden="1">Sheet1!$A$5:$DE$403</definedName>
    <definedName name="Z_EA64E7D7_BA48_4965_B650_778AE412FE0C_.wvu.FilterData" localSheetId="0" hidden="1">Sheet1!$A$1:$DE$404</definedName>
    <definedName name="Z_EA64E7D7_BA48_4965_B650_778AE412FE0C_.wvu.PrintArea" localSheetId="0" hidden="1">Sheet1!$A$1:$AK$437</definedName>
    <definedName name="Z_EB0F2E6A_FA33_479E_9A47_8E3494FBB4DE_.wvu.FilterData" localSheetId="0" hidden="1">Sheet1!$A$4:$AK$437</definedName>
    <definedName name="Z_EB0F2E6A_FA33_479E_9A47_8E3494FBB4DE_.wvu.PrintArea" localSheetId="0" hidden="1">Sheet1!$A$1:$AK$437</definedName>
    <definedName name="Z_EEA37434_2D22_478B_B49F_C3E8CD4AC2E1_.wvu.FilterData" localSheetId="0" hidden="1">Sheet1!$A$4:$DE$403</definedName>
    <definedName name="Z_EEA37434_2D22_478B_B49F_C3E8CD4AC2E1_.wvu.PrintArea" localSheetId="0" hidden="1">Sheet1!$A$1:$AK$437</definedName>
    <definedName name="Z_EF10298D_3F59_43F1_9A86_8C1CCA3B5D93_.wvu.FilterData" localSheetId="0" hidden="1">Sheet1!$A$4:$AK$437</definedName>
    <definedName name="Z_EF10298D_3F59_43F1_9A86_8C1CCA3B5D93_.wvu.PrintArea" localSheetId="0" hidden="1">Sheet1!$A$1:$AK$437</definedName>
    <definedName name="Z_EFE45138_A2B3_46EB_8A69_D9745D73FBF5_.wvu.FilterData" localSheetId="0" hidden="1">Sheet1!$A$4:$AK$437</definedName>
    <definedName name="Z_F52D90D4_508D_43B6_8295_6D179E5F0FEB_.wvu.FilterData" localSheetId="0" hidden="1">Sheet1!$A$4:$AK$437</definedName>
    <definedName name="Z_F952A18B_3430_4F65_89F2_B7C17998F981_.wvu.FilterData" localSheetId="0" hidden="1">Sheet1!$A$4:$AK$437</definedName>
    <definedName name="Z_FE50EAC0_52A5_4C33_B973_65E93D03D3EA_.wvu.FilterData" localSheetId="0" hidden="1">Sheet1!$A$1:$AK$403</definedName>
    <definedName name="Z_FE50EAC0_52A5_4C33_B973_65E93D03D3EA_.wvu.PrintArea" localSheetId="0" hidden="1">Sheet1!$A$1:$AK$437</definedName>
    <definedName name="Z_FFC44E67_8559_4D31_893D_BF5BA4229E04_.wvu.FilterData" localSheetId="0" hidden="1">Sheet1!$A$1:$AK$373</definedName>
  </definedNames>
  <calcPr calcId="181029"/>
  <customWorkbookViews>
    <customWorkbookView name="otilia.chirita - Personal View" guid="{0781B6C2-B440-4971-9809-BD16245A70FD}" mergeInterval="0" personalView="1" maximized="1" xWindow="1912" yWindow="-8" windowWidth="1936" windowHeight="1056" tabRatio="154" activeSheetId="1"/>
    <customWorkbookView name="daniela.voicu - Personal View" guid="{EA64E7D7-BA48-4965-B650-778AE412FE0C}" mergeInterval="0" personalView="1" maximized="1" xWindow="-8" yWindow="-8" windowWidth="1936" windowHeight="1056" tabRatio="154" activeSheetId="1"/>
    <customWorkbookView name="mariana.moraru - Personal View" guid="{65C35D6D-934F-4431-BA92-90255FC17BA4}" mergeInterval="0" personalView="1" maximized="1" xWindow="-8" yWindow="-8" windowWidth="1936" windowHeight="1056" tabRatio="154" activeSheetId="1"/>
    <customWorkbookView name="georgiana.dobre - Personal View" guid="{C408A2F1-296F-4EAD-B15B-336D73846FDD}" mergeInterval="0" personalView="1" maximized="1" xWindow="1912" yWindow="-8" windowWidth="1936" windowHeight="1056" tabRatio="154" activeSheetId="1"/>
    <customWorkbookView name="vlad.pereteanu - Personal View" guid="{5AAA4DFE-88B1-4674-95ED-5FCD7A50BC22}" mergeInterval="0" personalView="1" maximized="1" xWindow="1912" yWindow="-8" windowWidth="1936" windowHeight="1056" tabRatio="154" activeSheetId="1"/>
    <customWorkbookView name="raluca.georgescu - Personal View" guid="{901F9774-8BE7-424D-87C2-1026F3FA2E9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ihaela.vasilescu - Personal View" guid="{84FB199A-D56E-4FDD-AC4A-70CE86CD87BC}" mergeInterval="0" personalView="1" xWindow="1956" yWindow="9" windowWidth="1839" windowHeight="966" tabRatio="154" activeSheetId="1"/>
    <customWorkbookView name="ana.ionescu - Personal View" guid="{9980B309-0131-4577-BF29-212714399FDF}" mergeInterval="0" personalView="1" maximized="1" xWindow="1912"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luminita.jipa - Personal View" guid="{A87F3E0E-3A8E-4B82-8170-33752259B7DB}" mergeInterval="0" personalView="1" maximized="1" xWindow="-8" yWindow="-8" windowWidth="1936" windowHeight="1056" activeSheetId="1"/>
    <customWorkbookView name="mihaela.nicolae - Personal View" guid="{EF10298D-3F59-43F1-9A86-8C1CCA3B5D93}" mergeInterval="0" personalView="1" maximized="1" xWindow="1912"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1912" yWindow="-8" windowWidth="1936" windowHeight="1056" tabRatio="154" activeSheetId="1"/>
    <customWorkbookView name="ovidiu.dumitrache - Personal View" guid="{FE50EAC0-52A5-4C33-B973-65E93D03D3EA}" mergeInterval="0" personalView="1" maximized="1" xWindow="-8" yWindow="-8" windowWidth="1936" windowHeight="1056" tabRatio="154" activeSheetId="1"/>
    <customWorkbookView name="elisabeta.trifan - Personal View" guid="{36624B2D-80F9-4F79-AC4A-B3547C36F23F}" mergeInterval="0" personalView="1" maximized="1" xWindow="-8" yWindow="-8" windowWidth="1936" windowHeight="1056" tabRatio="154" activeSheetId="1"/>
    <customWorkbookView name="corina.pelmus - Personal View" guid="{EB0F2E6A-FA33-479E-9A47-8E3494FBB4DE}" mergeInterval="0" personalView="1" minimized="1" windowWidth="0" windowHeight="0" tabRatio="154" activeSheetId="1"/>
    <customWorkbookView name="maria.petre - Personal View" guid="{7C1B4D6D-D666-48DD-AB17-E00791B6F0B6}"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iorel.zlotariu - Personal View" guid="{E6D68675-DE9B-48C6-9283-10B33E8B3FC5}"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403" i="1" l="1"/>
  <c r="AE42" i="1" l="1"/>
  <c r="AG42" i="1" s="1"/>
  <c r="AB402" i="1" l="1"/>
  <c r="Y402" i="1"/>
  <c r="V402" i="1"/>
  <c r="S402" i="1"/>
  <c r="S401" i="1"/>
  <c r="AB401" i="1"/>
  <c r="V401" i="1"/>
  <c r="AB400" i="1"/>
  <c r="Y400" i="1"/>
  <c r="V400" i="1"/>
  <c r="S400" i="1"/>
  <c r="AE402" i="1" l="1"/>
  <c r="AE400" i="1"/>
  <c r="AB174" i="1"/>
  <c r="Y174" i="1"/>
  <c r="V174" i="1"/>
  <c r="S174" i="1"/>
  <c r="M400" i="1" l="1"/>
  <c r="AG400" i="1"/>
  <c r="M402" i="1"/>
  <c r="AG402" i="1"/>
  <c r="AE174" i="1"/>
  <c r="AB384" i="1"/>
  <c r="M174" i="1" l="1"/>
  <c r="AG174" i="1"/>
  <c r="AK165" i="1"/>
  <c r="AJ165" i="1"/>
  <c r="AB165" i="1"/>
  <c r="Y165" i="1"/>
  <c r="V165" i="1"/>
  <c r="S165" i="1"/>
  <c r="AK164" i="1"/>
  <c r="AJ164" i="1"/>
  <c r="AB164" i="1"/>
  <c r="Y164" i="1"/>
  <c r="V164" i="1"/>
  <c r="S164" i="1"/>
  <c r="AK29" i="1"/>
  <c r="AJ29" i="1"/>
  <c r="AB29" i="1"/>
  <c r="Y29" i="1"/>
  <c r="V29" i="1"/>
  <c r="S29" i="1"/>
  <c r="AK163" i="1"/>
  <c r="AJ163" i="1"/>
  <c r="AB163" i="1"/>
  <c r="Y163" i="1"/>
  <c r="V163" i="1"/>
  <c r="S163" i="1"/>
  <c r="AK87" i="1"/>
  <c r="AJ87" i="1"/>
  <c r="AB87" i="1"/>
  <c r="Y87" i="1"/>
  <c r="V87" i="1"/>
  <c r="S87" i="1"/>
  <c r="AE165" i="1" l="1"/>
  <c r="AG165" i="1" s="1"/>
  <c r="AE164" i="1"/>
  <c r="M164" i="1" s="1"/>
  <c r="AE163" i="1"/>
  <c r="AG163" i="1" s="1"/>
  <c r="AE29" i="1"/>
  <c r="AG29" i="1" s="1"/>
  <c r="AE87" i="1"/>
  <c r="AG87" i="1" s="1"/>
  <c r="AB399" i="1"/>
  <c r="Y399" i="1"/>
  <c r="V399" i="1"/>
  <c r="S399" i="1"/>
  <c r="M165" i="1" l="1"/>
  <c r="AG164" i="1"/>
  <c r="M29" i="1"/>
  <c r="M87" i="1"/>
  <c r="M163" i="1"/>
  <c r="AE399" i="1"/>
  <c r="AG399" i="1" s="1"/>
  <c r="Y401" i="1"/>
  <c r="AE401" i="1" s="1"/>
  <c r="AG401" i="1" s="1"/>
  <c r="M399" i="1" l="1"/>
  <c r="M401" i="1"/>
  <c r="S277" i="1" l="1"/>
  <c r="L42" i="1" l="1"/>
  <c r="AB398" i="1"/>
  <c r="Y398" i="1"/>
  <c r="V398" i="1"/>
  <c r="S398" i="1"/>
  <c r="AB396" i="1"/>
  <c r="Y396" i="1"/>
  <c r="V396" i="1"/>
  <c r="S396" i="1"/>
  <c r="AB172" i="1"/>
  <c r="Y172" i="1"/>
  <c r="V172" i="1"/>
  <c r="S172" i="1"/>
  <c r="AE172" i="1" l="1"/>
  <c r="AG172" i="1" s="1"/>
  <c r="AE396" i="1"/>
  <c r="M396" i="1" s="1"/>
  <c r="AE398" i="1"/>
  <c r="AG398" i="1" s="1"/>
  <c r="AG396" i="1" l="1"/>
  <c r="M172" i="1"/>
  <c r="M398" i="1"/>
  <c r="AB137" i="1"/>
  <c r="Y137" i="1"/>
  <c r="V137" i="1"/>
  <c r="S137" i="1"/>
  <c r="AE137" i="1" l="1"/>
  <c r="AG137" i="1" s="1"/>
  <c r="S31" i="1"/>
  <c r="S32" i="1"/>
  <c r="V31" i="1"/>
  <c r="V32" i="1"/>
  <c r="Y31" i="1"/>
  <c r="Y32" i="1"/>
  <c r="M137" i="1" l="1"/>
  <c r="AE32" i="1"/>
  <c r="M32" i="1" s="1"/>
  <c r="Z403" i="1"/>
  <c r="AA403" i="1"/>
  <c r="AF403" i="1"/>
  <c r="AB397" i="1" l="1"/>
  <c r="Y397" i="1" l="1"/>
  <c r="V397" i="1"/>
  <c r="S397" i="1"/>
  <c r="AE397" i="1" l="1"/>
  <c r="AG397" i="1" s="1"/>
  <c r="P34" i="1"/>
  <c r="M397" i="1" l="1"/>
  <c r="AE67" i="1"/>
  <c r="AB66" i="1"/>
  <c r="Y66" i="1"/>
  <c r="V66" i="1"/>
  <c r="S66" i="1"/>
  <c r="AE66" i="1" l="1"/>
  <c r="AG66" i="1" s="1"/>
  <c r="AB147" i="1"/>
  <c r="Y147" i="1"/>
  <c r="V147" i="1"/>
  <c r="S147" i="1"/>
  <c r="M66" i="1" l="1"/>
  <c r="AE147" i="1"/>
  <c r="AG147" i="1" s="1"/>
  <c r="M147" i="1" l="1"/>
  <c r="Y34" i="1"/>
  <c r="V34" i="1"/>
  <c r="S34" i="1"/>
  <c r="AH34" i="1"/>
  <c r="N34" i="1"/>
  <c r="I34" i="1"/>
  <c r="AE34" i="1" l="1"/>
  <c r="M34" i="1" s="1"/>
  <c r="O34" i="1"/>
  <c r="AG34" i="1" l="1"/>
  <c r="AB159" i="1"/>
  <c r="Y159" i="1"/>
  <c r="V159" i="1"/>
  <c r="S159" i="1"/>
  <c r="AE159" i="1" l="1"/>
  <c r="AG159" i="1" s="1"/>
  <c r="AB75" i="1"/>
  <c r="Y75" i="1"/>
  <c r="V75" i="1"/>
  <c r="S75" i="1"/>
  <c r="M159" i="1" l="1"/>
  <c r="AE75" i="1"/>
  <c r="M75" i="1" l="1"/>
  <c r="AG75" i="1"/>
  <c r="AB60" i="1"/>
  <c r="Y60" i="1"/>
  <c r="V60" i="1"/>
  <c r="S60" i="1"/>
  <c r="AE60" i="1" l="1"/>
  <c r="M60" i="1" s="1"/>
  <c r="S117" i="1"/>
  <c r="V117" i="1"/>
  <c r="Y117" i="1"/>
  <c r="AB117" i="1"/>
  <c r="AG60" i="1" l="1"/>
  <c r="AE117" i="1"/>
  <c r="AG117" i="1" s="1"/>
  <c r="AG129" i="1"/>
  <c r="AG67" i="1"/>
  <c r="M117" i="1" l="1"/>
  <c r="AJ263" i="1"/>
  <c r="AJ275" i="1"/>
  <c r="AK362" i="1"/>
  <c r="AJ362" i="1"/>
  <c r="AK371" i="1"/>
  <c r="AJ371" i="1"/>
  <c r="AK275" i="1"/>
  <c r="AJ292" i="1"/>
  <c r="AJ388" i="1"/>
  <c r="AJ295" i="1"/>
  <c r="AJ309" i="1" l="1"/>
  <c r="AJ369" i="1"/>
  <c r="AJ278" i="1"/>
  <c r="AJ336" i="1"/>
  <c r="AJ248" i="1"/>
  <c r="AJ231" i="1"/>
  <c r="AJ226" i="1"/>
  <c r="AJ225" i="1"/>
  <c r="AJ222" i="1"/>
  <c r="AJ218" i="1"/>
  <c r="AJ213" i="1" l="1"/>
  <c r="AJ7" i="1" l="1"/>
  <c r="AK148" i="1" l="1"/>
  <c r="AJ148" i="1"/>
  <c r="AK69" i="1"/>
  <c r="AJ69" i="1"/>
  <c r="AK10" i="1"/>
  <c r="AJ10" i="1"/>
  <c r="AK7" i="1"/>
  <c r="AK35" i="1"/>
  <c r="AJ35" i="1"/>
  <c r="AJ144" i="1"/>
  <c r="AK144" i="1"/>
  <c r="AK111" i="1"/>
  <c r="AJ111" i="1"/>
  <c r="AK6" i="1"/>
  <c r="AJ6" i="1"/>
  <c r="AK91" i="1"/>
  <c r="AJ91" i="1"/>
  <c r="AK78" i="1"/>
  <c r="AJ78" i="1"/>
  <c r="AK191" i="1"/>
  <c r="AJ191" i="1"/>
  <c r="AK65" i="1"/>
  <c r="AJ65" i="1"/>
  <c r="AK73" i="1"/>
  <c r="AJ73" i="1"/>
  <c r="AK138" i="1"/>
  <c r="AJ138" i="1"/>
  <c r="AK30" i="1"/>
  <c r="AJ30" i="1"/>
  <c r="AK312" i="1"/>
  <c r="AK335" i="1"/>
  <c r="AJ335" i="1"/>
  <c r="AJ312" i="1"/>
  <c r="AJ156" i="1" l="1"/>
  <c r="AJ95" i="1"/>
  <c r="AJ187" i="1"/>
  <c r="AK168" i="1"/>
  <c r="AJ168" i="1"/>
  <c r="AK107" i="1"/>
  <c r="AJ107" i="1"/>
  <c r="AK62" i="1"/>
  <c r="AJ62" i="1"/>
  <c r="AK152" i="1"/>
  <c r="AJ152" i="1"/>
  <c r="AK84" i="1"/>
  <c r="AJ84" i="1"/>
  <c r="AJ256" i="1"/>
  <c r="Y58" i="1" l="1"/>
  <c r="V58" i="1"/>
  <c r="S58" i="1"/>
  <c r="AE58" i="1" l="1"/>
  <c r="AG58" i="1" s="1"/>
  <c r="AK357" i="1"/>
  <c r="AJ357" i="1"/>
  <c r="AK293" i="1"/>
  <c r="AJ293" i="1"/>
  <c r="AJ271" i="1"/>
  <c r="AK261" i="1"/>
  <c r="AJ261" i="1"/>
  <c r="AK301" i="1"/>
  <c r="AJ301" i="1"/>
  <c r="AK375" i="1"/>
  <c r="AJ375" i="1"/>
  <c r="AK370" i="1"/>
  <c r="AJ370" i="1"/>
  <c r="AK345" i="1"/>
  <c r="AJ345" i="1"/>
  <c r="AJ304" i="1"/>
  <c r="AK300" i="1"/>
  <c r="AJ300" i="1"/>
  <c r="AK306" i="1"/>
  <c r="AJ306" i="1"/>
  <c r="AK273" i="1"/>
  <c r="AJ273" i="1"/>
  <c r="AK264" i="1"/>
  <c r="AJ264" i="1"/>
  <c r="AK321" i="1"/>
  <c r="AJ321" i="1"/>
  <c r="AK356" i="1"/>
  <c r="AJ356" i="1"/>
  <c r="AJ308" i="1"/>
  <c r="AK331" i="1"/>
  <c r="AJ331" i="1"/>
  <c r="AK341" i="1"/>
  <c r="AJ341" i="1"/>
  <c r="AK294" i="1"/>
  <c r="AJ294" i="1"/>
  <c r="AJ346" i="1"/>
  <c r="AK288" i="1"/>
  <c r="AJ288" i="1"/>
  <c r="AK282" i="1"/>
  <c r="AJ282" i="1"/>
  <c r="AK269" i="1"/>
  <c r="AJ269" i="1"/>
  <c r="AK263" i="1"/>
  <c r="AK262" i="1"/>
  <c r="AJ262" i="1"/>
  <c r="AK315" i="1"/>
  <c r="AJ315" i="1"/>
  <c r="AK338" i="1"/>
  <c r="AJ338" i="1"/>
  <c r="AK377" i="1"/>
  <c r="AJ377" i="1"/>
  <c r="AK342" i="1"/>
  <c r="AJ342" i="1"/>
  <c r="AK327" i="1"/>
  <c r="AJ327" i="1"/>
  <c r="AK324" i="1"/>
  <c r="AJ324" i="1"/>
  <c r="AK366" i="1"/>
  <c r="AJ366" i="1"/>
  <c r="AK374" i="1"/>
  <c r="AJ374" i="1"/>
  <c r="AJ298" i="1"/>
  <c r="AK363" i="1"/>
  <c r="AJ363" i="1"/>
  <c r="M58" i="1" l="1"/>
  <c r="AK316" i="1"/>
  <c r="AJ316" i="1"/>
  <c r="AB119" i="1" l="1"/>
  <c r="Y119" i="1"/>
  <c r="V119" i="1"/>
  <c r="S119" i="1"/>
  <c r="AE119" i="1" l="1"/>
  <c r="AB133" i="1"/>
  <c r="Y133" i="1"/>
  <c r="V133" i="1"/>
  <c r="S133" i="1"/>
  <c r="M119" i="1" l="1"/>
  <c r="AG119" i="1"/>
  <c r="Y395" i="1"/>
  <c r="V395" i="1"/>
  <c r="S395" i="1"/>
  <c r="AE395" i="1" l="1"/>
  <c r="AG395" i="1" s="1"/>
  <c r="AB28" i="1"/>
  <c r="Y28" i="1"/>
  <c r="V28" i="1"/>
  <c r="S28" i="1"/>
  <c r="AE28" i="1" s="1"/>
  <c r="AG28" i="1" s="1"/>
  <c r="AB127" i="1"/>
  <c r="Y127" i="1"/>
  <c r="V127" i="1"/>
  <c r="S127" i="1"/>
  <c r="M395" i="1" l="1"/>
  <c r="AE127" i="1"/>
  <c r="M127" i="1" s="1"/>
  <c r="M28" i="1"/>
  <c r="AB158" i="1"/>
  <c r="Y158" i="1"/>
  <c r="V158" i="1"/>
  <c r="S158" i="1"/>
  <c r="AG127" i="1" l="1"/>
  <c r="AE158" i="1"/>
  <c r="AG158" i="1" s="1"/>
  <c r="AB81" i="1"/>
  <c r="Y81" i="1"/>
  <c r="V81" i="1"/>
  <c r="S81" i="1"/>
  <c r="M158" i="1" l="1"/>
  <c r="AE81" i="1"/>
  <c r="M81" i="1" s="1"/>
  <c r="E81" i="1"/>
  <c r="AG81" i="1" l="1"/>
  <c r="AB56" i="1" l="1"/>
  <c r="AB57" i="1"/>
  <c r="AB59" i="1"/>
  <c r="Y56" i="1"/>
  <c r="Y57" i="1"/>
  <c r="Y59" i="1"/>
  <c r="V56" i="1"/>
  <c r="V57" i="1"/>
  <c r="V59" i="1"/>
  <c r="S55" i="1"/>
  <c r="S56" i="1"/>
  <c r="S57" i="1"/>
  <c r="S59" i="1"/>
  <c r="AE59" i="1" l="1"/>
  <c r="AG59" i="1" s="1"/>
  <c r="AE57" i="1"/>
  <c r="AG57" i="1" s="1"/>
  <c r="AE56" i="1"/>
  <c r="AB82" i="1"/>
  <c r="Y82" i="1"/>
  <c r="V82" i="1"/>
  <c r="S82" i="1"/>
  <c r="Q82" i="1"/>
  <c r="R82" i="1"/>
  <c r="E82" i="1"/>
  <c r="AG56" i="1" l="1"/>
  <c r="M59" i="1"/>
  <c r="M57" i="1"/>
  <c r="M56" i="1"/>
  <c r="AE82" i="1"/>
  <c r="AG82" i="1" s="1"/>
  <c r="AB126" i="1"/>
  <c r="Y126" i="1"/>
  <c r="V126" i="1"/>
  <c r="S126" i="1"/>
  <c r="M82" i="1" l="1"/>
  <c r="AE126" i="1"/>
  <c r="M126" i="1" s="1"/>
  <c r="AB15" i="1"/>
  <c r="Y15" i="1"/>
  <c r="V15" i="1"/>
  <c r="S15" i="1"/>
  <c r="AG126" i="1" l="1"/>
  <c r="AE15" i="1"/>
  <c r="Y178" i="1"/>
  <c r="AB178" i="1"/>
  <c r="V178" i="1"/>
  <c r="S178" i="1"/>
  <c r="AG15" i="1" l="1"/>
  <c r="M15" i="1"/>
  <c r="AE178" i="1"/>
  <c r="AB134" i="1"/>
  <c r="S38" i="1"/>
  <c r="V38" i="1"/>
  <c r="Y38" i="1"/>
  <c r="Y134" i="1"/>
  <c r="V134" i="1"/>
  <c r="S134" i="1"/>
  <c r="AE133" i="1" l="1"/>
  <c r="AG178" i="1"/>
  <c r="M178" i="1"/>
  <c r="AE38" i="1"/>
  <c r="AG38" i="1" s="1"/>
  <c r="AE134" i="1"/>
  <c r="AB177" i="1"/>
  <c r="Y177" i="1"/>
  <c r="V177" i="1"/>
  <c r="S177" i="1"/>
  <c r="S125" i="1"/>
  <c r="V125" i="1"/>
  <c r="Y125" i="1"/>
  <c r="AB125" i="1"/>
  <c r="AG133" i="1" l="1"/>
  <c r="M133" i="1"/>
  <c r="M134" i="1"/>
  <c r="AG134" i="1"/>
  <c r="AE177" i="1"/>
  <c r="M177" i="1" s="1"/>
  <c r="AE125" i="1"/>
  <c r="AG125" i="1" s="1"/>
  <c r="AB24" i="1"/>
  <c r="Y24" i="1"/>
  <c r="V24" i="1"/>
  <c r="S24" i="1"/>
  <c r="M125" i="1" l="1"/>
  <c r="AG177" i="1"/>
  <c r="AE24" i="1"/>
  <c r="AG24" i="1" l="1"/>
  <c r="M24" i="1"/>
  <c r="AB99" i="1" l="1"/>
  <c r="Y99" i="1"/>
  <c r="V99" i="1"/>
  <c r="S99" i="1"/>
  <c r="AE99" i="1" l="1"/>
  <c r="M99" i="1" s="1"/>
  <c r="S365" i="1"/>
  <c r="AB132" i="1"/>
  <c r="Y132" i="1"/>
  <c r="V132" i="1"/>
  <c r="S132" i="1"/>
  <c r="AE132" i="1" l="1"/>
  <c r="AG99" i="1"/>
  <c r="Y106" i="1"/>
  <c r="V106" i="1"/>
  <c r="S106" i="1"/>
  <c r="AB72" i="1" l="1"/>
  <c r="Y72" i="1"/>
  <c r="V72" i="1"/>
  <c r="S72" i="1"/>
  <c r="AE72" i="1" l="1"/>
  <c r="AG72" i="1" s="1"/>
  <c r="N72" i="1"/>
  <c r="O72" i="1"/>
  <c r="E72" i="1"/>
  <c r="F72" i="1"/>
  <c r="M72" i="1" l="1"/>
  <c r="Y98" i="1"/>
  <c r="V98" i="1"/>
  <c r="S98" i="1"/>
  <c r="AE98" i="1" l="1"/>
  <c r="AG98" i="1" s="1"/>
  <c r="AJ333" i="1"/>
  <c r="M98" i="1" l="1"/>
  <c r="AK367" i="1"/>
  <c r="AJ367" i="1"/>
  <c r="AJ179" i="1"/>
  <c r="AJ384" i="1"/>
  <c r="AJ291" i="1"/>
  <c r="AJ280" i="1"/>
  <c r="AJ334" i="1"/>
  <c r="AJ254" i="1"/>
  <c r="AJ253" i="1"/>
  <c r="AJ285" i="1"/>
  <c r="AJ240" i="1"/>
  <c r="AJ249" i="1"/>
  <c r="AJ229" i="1"/>
  <c r="AJ223" i="1"/>
  <c r="AK216" i="1"/>
  <c r="AJ216" i="1"/>
  <c r="AK92" i="1"/>
  <c r="AJ92" i="1"/>
  <c r="AK183" i="1"/>
  <c r="AJ183" i="1"/>
  <c r="AK169" i="1"/>
  <c r="AJ169" i="1"/>
  <c r="AK155" i="1"/>
  <c r="AJ155" i="1"/>
  <c r="AK25" i="1"/>
  <c r="AJ25" i="1"/>
  <c r="AK22" i="1"/>
  <c r="AJ22" i="1"/>
  <c r="AK343" i="1"/>
  <c r="AJ343" i="1"/>
  <c r="AK5" i="1"/>
  <c r="AJ5" i="1"/>
  <c r="AK175" i="1"/>
  <c r="AJ175" i="1"/>
  <c r="AJ149" i="1"/>
  <c r="AJ39" i="1"/>
  <c r="AK20" i="1"/>
  <c r="AJ20" i="1"/>
  <c r="AK151" i="1"/>
  <c r="AJ151" i="1"/>
  <c r="AJ120" i="1"/>
  <c r="AK128" i="1"/>
  <c r="AJ128" i="1"/>
  <c r="AK319" i="1"/>
  <c r="AJ319" i="1"/>
  <c r="AK348" i="1"/>
  <c r="AJ348" i="1"/>
  <c r="AK323" i="1"/>
  <c r="AJ323" i="1"/>
  <c r="AK271" i="1"/>
  <c r="AJ277" i="1"/>
  <c r="AK260" i="1"/>
  <c r="AJ260" i="1"/>
  <c r="AK287" i="1"/>
  <c r="AJ287" i="1"/>
  <c r="AJ276" i="1"/>
  <c r="AK328" i="1"/>
  <c r="AJ328" i="1"/>
  <c r="AK332" i="1"/>
  <c r="AJ332" i="1"/>
  <c r="AK349" i="1"/>
  <c r="AJ349" i="1"/>
  <c r="AJ358" i="1"/>
  <c r="AK304" i="1"/>
  <c r="AK378" i="1"/>
  <c r="AJ378" i="1"/>
  <c r="AK286" i="1"/>
  <c r="AJ286" i="1"/>
  <c r="AK360" i="1"/>
  <c r="AJ360" i="1"/>
  <c r="AK289" i="1"/>
  <c r="AJ289" i="1"/>
  <c r="AJ265" i="1"/>
  <c r="AK268" i="1"/>
  <c r="AJ268" i="1"/>
  <c r="AK272" i="1"/>
  <c r="AJ272" i="1"/>
  <c r="AK339" i="1"/>
  <c r="AJ339" i="1"/>
  <c r="AK347" i="1"/>
  <c r="AJ347" i="1"/>
  <c r="AK308" i="1"/>
  <c r="AK302" i="1"/>
  <c r="AJ302" i="1"/>
  <c r="AJ353" i="1"/>
  <c r="AJ317" i="1"/>
  <c r="AK354" i="1"/>
  <c r="AJ354" i="1"/>
  <c r="AK313" i="1"/>
  <c r="AJ313" i="1"/>
  <c r="AJ379" i="1"/>
  <c r="AK346" i="1"/>
  <c r="AJ303" i="1"/>
  <c r="AK270" i="1"/>
  <c r="AJ270" i="1"/>
  <c r="AK310" i="1"/>
  <c r="AJ310" i="1"/>
  <c r="AK258" i="1"/>
  <c r="AJ258" i="1"/>
  <c r="AJ314" i="1"/>
  <c r="AJ368" i="1"/>
  <c r="AK361" i="1"/>
  <c r="AJ361" i="1"/>
  <c r="AK298" i="1"/>
  <c r="AJ103" i="1"/>
  <c r="AJ146" i="1"/>
  <c r="AK95" i="1"/>
  <c r="AJ130" i="1"/>
  <c r="AK93" i="1"/>
  <c r="AJ93" i="1"/>
  <c r="AK187" i="1"/>
  <c r="AK36" i="1"/>
  <c r="AJ36" i="1"/>
  <c r="AK193" i="1"/>
  <c r="AJ193" i="1"/>
  <c r="AK8" i="1"/>
  <c r="AJ8" i="1"/>
  <c r="AK141" i="1"/>
  <c r="AJ141" i="1"/>
  <c r="AK122" i="1"/>
  <c r="AJ122" i="1"/>
  <c r="AK53" i="1"/>
  <c r="AJ53" i="1"/>
  <c r="AB74" i="1" l="1"/>
  <c r="Y74" i="1"/>
  <c r="V74" i="1"/>
  <c r="S74" i="1"/>
  <c r="AE74" i="1" l="1"/>
  <c r="M74" i="1" s="1"/>
  <c r="AH394" i="1"/>
  <c r="AH396" i="1" s="1"/>
  <c r="AH400" i="1" s="1"/>
  <c r="AI394" i="1"/>
  <c r="AI403" i="1" s="1"/>
  <c r="Y394" i="1"/>
  <c r="AB394" i="1"/>
  <c r="V394" i="1"/>
  <c r="S394" i="1"/>
  <c r="AH398" i="1" l="1"/>
  <c r="AH399" i="1"/>
  <c r="AH402" i="1" s="1"/>
  <c r="AH395" i="1"/>
  <c r="AH397" i="1" s="1"/>
  <c r="AH401" i="1" s="1"/>
  <c r="AG74" i="1"/>
  <c r="AE394" i="1"/>
  <c r="AH403" i="1" l="1"/>
  <c r="M394" i="1"/>
  <c r="AG394" i="1"/>
  <c r="AB71" i="1"/>
  <c r="Y71" i="1"/>
  <c r="V71" i="1"/>
  <c r="S71" i="1"/>
  <c r="AB208" i="1"/>
  <c r="Y208" i="1"/>
  <c r="V208" i="1"/>
  <c r="S208" i="1"/>
  <c r="AB207" i="1"/>
  <c r="Y207" i="1"/>
  <c r="V207" i="1"/>
  <c r="S207" i="1"/>
  <c r="AE71" i="1" l="1"/>
  <c r="AE208" i="1"/>
  <c r="M208" i="1" s="1"/>
  <c r="AE207" i="1"/>
  <c r="AG207" i="1" s="1"/>
  <c r="M71" i="1" l="1"/>
  <c r="AG71" i="1"/>
  <c r="M207" i="1"/>
  <c r="AG208" i="1"/>
  <c r="V393" i="1"/>
  <c r="AB393" i="1" l="1"/>
  <c r="Y393" i="1"/>
  <c r="S393" i="1"/>
  <c r="AE393" i="1" l="1"/>
  <c r="AG393" i="1" s="1"/>
  <c r="S348" i="1"/>
  <c r="M393" i="1" l="1"/>
  <c r="AB49" i="1"/>
  <c r="Y49" i="1"/>
  <c r="V49" i="1"/>
  <c r="S49" i="1"/>
  <c r="AE49" i="1" l="1"/>
  <c r="AB392" i="1"/>
  <c r="Y392" i="1"/>
  <c r="V392" i="1"/>
  <c r="S392" i="1"/>
  <c r="M49" i="1" l="1"/>
  <c r="AG49" i="1"/>
  <c r="AE392" i="1"/>
  <c r="AB118" i="1"/>
  <c r="Y118" i="1"/>
  <c r="S118" i="1"/>
  <c r="V118" i="1"/>
  <c r="AG392" i="1" l="1"/>
  <c r="M392" i="1"/>
  <c r="AE118" i="1"/>
  <c r="M118" i="1" l="1"/>
  <c r="AG118" i="1"/>
  <c r="AJ299" i="1"/>
  <c r="AJ311" i="1"/>
  <c r="AJ257" i="1"/>
  <c r="AJ255" i="1"/>
  <c r="AJ121" i="1"/>
  <c r="AK130" i="1"/>
  <c r="AK46" i="1"/>
  <c r="AJ46" i="1"/>
  <c r="AK9" i="1"/>
  <c r="AJ9" i="1"/>
  <c r="AJ184" i="1"/>
  <c r="AK184" i="1"/>
  <c r="AK26" i="1"/>
  <c r="AJ26" i="1"/>
  <c r="AK21" i="1"/>
  <c r="AJ21" i="1"/>
  <c r="AK297" i="1"/>
  <c r="AJ297" i="1"/>
  <c r="AK299" i="1"/>
  <c r="AJ259" i="1"/>
  <c r="AJ355" i="1"/>
  <c r="AK326" i="1" l="1"/>
  <c r="AJ326" i="1"/>
  <c r="AK277" i="1"/>
  <c r="AK259" i="1"/>
  <c r="AJ290" i="1"/>
  <c r="AJ329" i="1"/>
  <c r="AK333" i="1"/>
  <c r="AK355" i="1"/>
  <c r="AK274" i="1"/>
  <c r="AJ274" i="1"/>
  <c r="AK373" i="1"/>
  <c r="AJ373" i="1"/>
  <c r="AK344" i="1"/>
  <c r="AJ344" i="1"/>
  <c r="AK358" i="1"/>
  <c r="AJ284" i="1"/>
  <c r="AK265" i="1"/>
  <c r="AK266" i="1"/>
  <c r="AJ266" i="1"/>
  <c r="AJ281" i="1"/>
  <c r="AK353" i="1"/>
  <c r="AK317" i="1"/>
  <c r="AJ350" i="1"/>
  <c r="AK303" i="1"/>
  <c r="AK330" i="1"/>
  <c r="AJ330" i="1"/>
  <c r="AK320" i="1"/>
  <c r="AJ320" i="1"/>
  <c r="AJ318" i="1"/>
  <c r="AK318" i="1"/>
  <c r="AJ364" i="1"/>
  <c r="AJ380" i="1"/>
  <c r="AK372" i="1"/>
  <c r="AJ372" i="1"/>
  <c r="AK314" i="1"/>
  <c r="AJ359" i="1"/>
  <c r="AK368" i="1"/>
  <c r="AK352" i="1"/>
  <c r="AJ352" i="1"/>
  <c r="AJ351" i="1"/>
  <c r="AK149" i="1"/>
  <c r="AK39" i="1"/>
  <c r="AK154" i="1"/>
  <c r="AJ154" i="1"/>
  <c r="AK16" i="1"/>
  <c r="AJ16" i="1"/>
  <c r="AK129" i="1"/>
  <c r="AJ129" i="1"/>
  <c r="AK120" i="1"/>
  <c r="AK179" i="1"/>
  <c r="AK186" i="1"/>
  <c r="AJ186" i="1"/>
  <c r="AJ283" i="1"/>
  <c r="AJ242" i="1"/>
  <c r="AJ247" i="1"/>
  <c r="AJ267" i="1"/>
  <c r="AJ279" i="1"/>
  <c r="AJ232" i="1"/>
  <c r="AJ228" i="1"/>
  <c r="AJ221" i="1"/>
  <c r="AJ211" i="1"/>
  <c r="Y139" i="1" l="1"/>
  <c r="AB19" i="1" l="1"/>
  <c r="Y19" i="1"/>
  <c r="V19" i="1"/>
  <c r="S19" i="1"/>
  <c r="AE19" i="1" l="1"/>
  <c r="AG19" i="1" s="1"/>
  <c r="AB294" i="1"/>
  <c r="Y294" i="1"/>
  <c r="S294" i="1"/>
  <c r="V294" i="1"/>
  <c r="M19" i="1" l="1"/>
  <c r="AJ296" i="1"/>
  <c r="AJ244" i="1"/>
  <c r="AJ243" i="1"/>
  <c r="AJ236" i="1"/>
  <c r="AJ250" i="1"/>
  <c r="AJ233" i="1"/>
  <c r="AJ219" i="1"/>
  <c r="AJ215" i="1"/>
  <c r="AJ214" i="1"/>
  <c r="AJ210" i="1"/>
  <c r="AK166" i="1"/>
  <c r="AJ166" i="1"/>
  <c r="AJ105" i="1"/>
  <c r="AK43" i="1"/>
  <c r="AJ43" i="1"/>
  <c r="AK140" i="1"/>
  <c r="AJ140" i="1"/>
  <c r="AK190" i="1"/>
  <c r="AJ190" i="1"/>
  <c r="AK100" i="1"/>
  <c r="AJ100" i="1"/>
  <c r="AK276" i="1"/>
  <c r="AK290" i="1"/>
  <c r="AK329" i="1"/>
  <c r="AK284" i="1" l="1"/>
  <c r="AK305" i="1"/>
  <c r="AJ305" i="1"/>
  <c r="AK350" i="1"/>
  <c r="AK359" i="1"/>
  <c r="AK351" i="1" l="1"/>
  <c r="AJ198" i="1" l="1"/>
  <c r="AK198" i="1"/>
  <c r="AJ90" i="1"/>
  <c r="AK121" i="1"/>
  <c r="AK173" i="1"/>
  <c r="AJ173" i="1"/>
  <c r="AB123" i="1" l="1"/>
  <c r="AB124" i="1"/>
  <c r="Y124" i="1"/>
  <c r="S124" i="1"/>
  <c r="V124" i="1"/>
  <c r="AE124" i="1" l="1"/>
  <c r="AG124" i="1" s="1"/>
  <c r="Y162" i="1"/>
  <c r="Y182" i="1" l="1"/>
  <c r="V182" i="1"/>
  <c r="S182" i="1"/>
  <c r="AE182" i="1" l="1"/>
  <c r="AG182" i="1" s="1"/>
  <c r="Y112" i="1"/>
  <c r="V112" i="1"/>
  <c r="S112" i="1"/>
  <c r="AB387" i="1"/>
  <c r="V387" i="1"/>
  <c r="S387" i="1"/>
  <c r="M182" i="1" l="1"/>
  <c r="AE387" i="1"/>
  <c r="AG387" i="1" s="1"/>
  <c r="Y170" i="1"/>
  <c r="AB206" i="1" l="1"/>
  <c r="Y206" i="1"/>
  <c r="V206" i="1"/>
  <c r="S206" i="1"/>
  <c r="AE206" i="1" l="1"/>
  <c r="AG206" i="1" s="1"/>
  <c r="AC205" i="1"/>
  <c r="AB14" i="1"/>
  <c r="Y14" i="1"/>
  <c r="V14" i="1"/>
  <c r="S14" i="1"/>
  <c r="M206" i="1" l="1"/>
  <c r="AE14" i="1"/>
  <c r="AG14" i="1" s="1"/>
  <c r="AB188" i="1"/>
  <c r="Y188" i="1"/>
  <c r="V188" i="1"/>
  <c r="S188" i="1"/>
  <c r="M14" i="1" l="1"/>
  <c r="AE188" i="1"/>
  <c r="AG188" i="1" s="1"/>
  <c r="M188" i="1" l="1"/>
  <c r="AB13" i="1"/>
  <c r="Y13" i="1"/>
  <c r="V13" i="1"/>
  <c r="S13" i="1"/>
  <c r="AE13" i="1" l="1"/>
  <c r="AB171" i="1"/>
  <c r="Y171" i="1"/>
  <c r="Y167" i="1"/>
  <c r="V170" i="1"/>
  <c r="V171" i="1"/>
  <c r="S171" i="1"/>
  <c r="S168" i="1"/>
  <c r="AG13" i="1" l="1"/>
  <c r="M13" i="1"/>
  <c r="AB170" i="1"/>
  <c r="S170" i="1"/>
  <c r="S169" i="1"/>
  <c r="AE171" i="1"/>
  <c r="AG171" i="1" l="1"/>
  <c r="M171" i="1"/>
  <c r="AE170" i="1"/>
  <c r="AG170" i="1" s="1"/>
  <c r="Y142" i="1"/>
  <c r="M170" i="1" l="1"/>
  <c r="AB203" i="1"/>
  <c r="Y203" i="1"/>
  <c r="V203" i="1"/>
  <c r="S203" i="1"/>
  <c r="AB202" i="1"/>
  <c r="Y202" i="1"/>
  <c r="V202" i="1"/>
  <c r="S202" i="1"/>
  <c r="AE202" i="1" l="1"/>
  <c r="AG202" i="1" s="1"/>
  <c r="AE203" i="1"/>
  <c r="AG203" i="1" s="1"/>
  <c r="AB97" i="1"/>
  <c r="M202" i="1" l="1"/>
  <c r="M203" i="1"/>
  <c r="AB391" i="1"/>
  <c r="Y391" i="1"/>
  <c r="V391" i="1"/>
  <c r="S391" i="1"/>
  <c r="AB390" i="1"/>
  <c r="Y390" i="1"/>
  <c r="V390" i="1"/>
  <c r="S390" i="1"/>
  <c r="AE391" i="1" l="1"/>
  <c r="AE390" i="1"/>
  <c r="AG391" i="1" l="1"/>
  <c r="M391" i="1"/>
  <c r="AG390" i="1"/>
  <c r="M390" i="1"/>
  <c r="AJ241" i="1"/>
  <c r="AJ340" i="1" l="1"/>
  <c r="AJ251" i="1"/>
  <c r="AK45" i="1" l="1"/>
  <c r="AJ45" i="1"/>
  <c r="AJ209" i="1" l="1"/>
  <c r="AJ83" i="1"/>
  <c r="AK83" i="1"/>
  <c r="AK105" i="1"/>
  <c r="AK110" i="1"/>
  <c r="AJ110" i="1"/>
  <c r="AJ337" i="1" l="1"/>
  <c r="AK337" i="1"/>
  <c r="AK307" i="1"/>
  <c r="AJ307" i="1"/>
  <c r="Y88" i="1" l="1"/>
  <c r="AK67" i="1" l="1"/>
  <c r="AJ67" i="1"/>
  <c r="AB201" i="1" l="1"/>
  <c r="AB204" i="1"/>
  <c r="AB205" i="1"/>
  <c r="Y201" i="1"/>
  <c r="Y204" i="1"/>
  <c r="Y205" i="1"/>
  <c r="V204" i="1"/>
  <c r="V205" i="1"/>
  <c r="V201" i="1"/>
  <c r="S204" i="1"/>
  <c r="S205" i="1"/>
  <c r="S201" i="1"/>
  <c r="AE204" i="1" l="1"/>
  <c r="M204" i="1" s="1"/>
  <c r="AE205" i="1"/>
  <c r="AG205" i="1" s="1"/>
  <c r="AE201" i="1"/>
  <c r="M201" i="1" s="1"/>
  <c r="AG201" i="1" l="1"/>
  <c r="AG204" i="1"/>
  <c r="M205" i="1"/>
  <c r="AB200" i="1" l="1"/>
  <c r="Y200" i="1"/>
  <c r="V200" i="1"/>
  <c r="S200" i="1"/>
  <c r="AE200" i="1" l="1"/>
  <c r="V389" i="1"/>
  <c r="AB389" i="1"/>
  <c r="Y389" i="1"/>
  <c r="S389" i="1"/>
  <c r="M200" i="1" l="1"/>
  <c r="AG200" i="1"/>
  <c r="AE389" i="1"/>
  <c r="AG389" i="1" s="1"/>
  <c r="M389" i="1" l="1"/>
  <c r="AB12" i="1"/>
  <c r="Y12" i="1"/>
  <c r="V12" i="1"/>
  <c r="S12" i="1"/>
  <c r="AE12" i="1" l="1"/>
  <c r="AG12" i="1" l="1"/>
  <c r="M12" i="1"/>
  <c r="AJ31" i="1"/>
  <c r="AJ106" i="1"/>
  <c r="AK77" i="1" l="1"/>
  <c r="AJ77" i="1"/>
  <c r="S228" i="1" l="1"/>
  <c r="S104" i="1" l="1"/>
  <c r="AB23" i="1" l="1"/>
  <c r="Y23" i="1"/>
  <c r="V23" i="1"/>
  <c r="S23" i="1"/>
  <c r="AE23" i="1" l="1"/>
  <c r="AG23" i="1" l="1"/>
  <c r="AJ322" i="1" l="1"/>
  <c r="AJ246" i="1"/>
  <c r="AJ245" i="1"/>
  <c r="AJ239" i="1"/>
  <c r="AJ94" i="1"/>
  <c r="AK131" i="1" l="1"/>
  <c r="AJ131" i="1"/>
  <c r="AK106" i="1"/>
  <c r="AK192" i="1" l="1"/>
  <c r="AJ192" i="1"/>
  <c r="AK143" i="1"/>
  <c r="AJ143" i="1"/>
  <c r="AK109" i="1"/>
  <c r="AJ109" i="1"/>
  <c r="AK89" i="1"/>
  <c r="AJ89" i="1"/>
  <c r="AK76" i="1"/>
  <c r="AJ76" i="1"/>
  <c r="AK44" i="1"/>
  <c r="AJ44" i="1"/>
  <c r="AK50" i="1"/>
  <c r="AJ50" i="1"/>
  <c r="AJ325" i="1"/>
  <c r="AJ403" i="1" s="1"/>
  <c r="AK281" i="1" l="1"/>
  <c r="AK403" i="1" s="1"/>
  <c r="AB64" i="1" l="1"/>
  <c r="AB11" i="1" l="1"/>
  <c r="Y11" i="1"/>
  <c r="V11" i="1"/>
  <c r="S11" i="1"/>
  <c r="AE11" i="1" l="1"/>
  <c r="AB167" i="1"/>
  <c r="V167" i="1"/>
  <c r="S167" i="1"/>
  <c r="AG11" i="1" l="1"/>
  <c r="M11" i="1"/>
  <c r="AE167" i="1"/>
  <c r="Y136" i="1"/>
  <c r="Y146" i="1"/>
  <c r="AG167" i="1" l="1"/>
  <c r="M167" i="1"/>
  <c r="AB161" i="1"/>
  <c r="V108" i="1"/>
  <c r="S108" i="1"/>
  <c r="AB382" i="1" l="1"/>
  <c r="AB383" i="1"/>
  <c r="Y382" i="1"/>
  <c r="Y383" i="1"/>
  <c r="Y384" i="1"/>
  <c r="V382" i="1"/>
  <c r="V383" i="1"/>
  <c r="V384" i="1"/>
  <c r="S382" i="1"/>
  <c r="S383" i="1"/>
  <c r="S384" i="1"/>
  <c r="AE382" i="1" l="1"/>
  <c r="M382" i="1" s="1"/>
  <c r="AE384" i="1"/>
  <c r="AG384" i="1" s="1"/>
  <c r="AE383" i="1"/>
  <c r="AG383" i="1" s="1"/>
  <c r="AG382" i="1" l="1"/>
  <c r="M384" i="1"/>
  <c r="M383" i="1"/>
  <c r="Y161" i="1"/>
  <c r="V161" i="1"/>
  <c r="S161" i="1"/>
  <c r="AE161" i="1" l="1"/>
  <c r="V381" i="1"/>
  <c r="M161" i="1" l="1"/>
  <c r="AG161" i="1"/>
  <c r="Y123" i="1"/>
  <c r="V123" i="1"/>
  <c r="S123" i="1"/>
  <c r="AE123" i="1" l="1"/>
  <c r="AG123" i="1" l="1"/>
  <c r="M123" i="1"/>
  <c r="M23" i="1" l="1"/>
  <c r="AB146" i="1"/>
  <c r="V146" i="1"/>
  <c r="S146" i="1"/>
  <c r="AB142" i="1"/>
  <c r="V142" i="1"/>
  <c r="S142" i="1"/>
  <c r="M124" i="1"/>
  <c r="AB114" i="1"/>
  <c r="AB115" i="1"/>
  <c r="Y114" i="1"/>
  <c r="Y115" i="1"/>
  <c r="V114" i="1"/>
  <c r="V115" i="1"/>
  <c r="S114" i="1"/>
  <c r="S115" i="1"/>
  <c r="Y108" i="1"/>
  <c r="Y107" i="1"/>
  <c r="AB108" i="1"/>
  <c r="AB104" i="1"/>
  <c r="AB103" i="1"/>
  <c r="AB102" i="1"/>
  <c r="AB101" i="1"/>
  <c r="Y103" i="1"/>
  <c r="Y104" i="1"/>
  <c r="V104" i="1"/>
  <c r="V103" i="1"/>
  <c r="S103" i="1"/>
  <c r="Y97" i="1"/>
  <c r="V97" i="1"/>
  <c r="S97" i="1"/>
  <c r="AB86" i="1"/>
  <c r="Y86" i="1"/>
  <c r="V86" i="1"/>
  <c r="S86" i="1"/>
  <c r="AB70" i="1"/>
  <c r="Y70" i="1"/>
  <c r="V70" i="1"/>
  <c r="S70" i="1"/>
  <c r="AB48" i="1"/>
  <c r="Y48" i="1"/>
  <c r="V48" i="1"/>
  <c r="S48" i="1"/>
  <c r="AB27" i="1"/>
  <c r="Y27" i="1"/>
  <c r="S27" i="1"/>
  <c r="V27" i="1"/>
  <c r="AE142" i="1" l="1"/>
  <c r="M142" i="1" s="1"/>
  <c r="AE97" i="1"/>
  <c r="AG97" i="1" s="1"/>
  <c r="AE86" i="1"/>
  <c r="AG86" i="1" s="1"/>
  <c r="AE108" i="1"/>
  <c r="AE114" i="1"/>
  <c r="AG114" i="1" s="1"/>
  <c r="AE48" i="1"/>
  <c r="AG48" i="1" s="1"/>
  <c r="AE115" i="1"/>
  <c r="AG115" i="1" s="1"/>
  <c r="AE146" i="1"/>
  <c r="AE70" i="1"/>
  <c r="AG70" i="1" s="1"/>
  <c r="AE103" i="1"/>
  <c r="AE104" i="1"/>
  <c r="AE27" i="1"/>
  <c r="M104" i="1" l="1"/>
  <c r="AG103" i="1"/>
  <c r="AG146" i="1"/>
  <c r="AG27" i="1"/>
  <c r="AG108" i="1"/>
  <c r="AG142" i="1"/>
  <c r="M114" i="1"/>
  <c r="M115" i="1"/>
  <c r="M86" i="1"/>
  <c r="M108" i="1"/>
  <c r="M48" i="1"/>
  <c r="M146" i="1"/>
  <c r="M70" i="1"/>
  <c r="M103" i="1"/>
  <c r="AG104" i="1"/>
  <c r="M97" i="1"/>
  <c r="M27" i="1"/>
  <c r="AB47" i="1" l="1"/>
  <c r="Y47" i="1"/>
  <c r="V47" i="1"/>
  <c r="S47" i="1"/>
  <c r="AE47" i="1" l="1"/>
  <c r="M47" i="1" l="1"/>
  <c r="AG47" i="1"/>
  <c r="AB85" i="1"/>
  <c r="Y85" i="1"/>
  <c r="V85" i="1"/>
  <c r="S85" i="1"/>
  <c r="AE85" i="1" l="1"/>
  <c r="AG85" i="1" l="1"/>
  <c r="M85" i="1"/>
  <c r="Y96" i="1"/>
  <c r="V96" i="1"/>
  <c r="S96" i="1"/>
  <c r="AE96" i="1" l="1"/>
  <c r="AG96" i="1" l="1"/>
  <c r="M96" i="1"/>
  <c r="AB328" i="1" l="1"/>
  <c r="AB194" i="1" l="1"/>
  <c r="AB195" i="1"/>
  <c r="AB196" i="1"/>
  <c r="Y193" i="1"/>
  <c r="Y194" i="1"/>
  <c r="Y195" i="1"/>
  <c r="Y196" i="1"/>
  <c r="V193" i="1"/>
  <c r="V194" i="1"/>
  <c r="V195" i="1"/>
  <c r="V196" i="1"/>
  <c r="S194" i="1"/>
  <c r="S195" i="1"/>
  <c r="S196" i="1"/>
  <c r="S193" i="1"/>
  <c r="AE196" i="1" l="1"/>
  <c r="AG196" i="1" s="1"/>
  <c r="AE195" i="1"/>
  <c r="AE194" i="1"/>
  <c r="AG194" i="1" l="1"/>
  <c r="AG195" i="1"/>
  <c r="M196" i="1"/>
  <c r="M194" i="1"/>
  <c r="M195" i="1"/>
  <c r="AB113" i="1"/>
  <c r="Y113" i="1"/>
  <c r="V113" i="1"/>
  <c r="S113" i="1"/>
  <c r="AB112" i="1"/>
  <c r="AE112" i="1" s="1"/>
  <c r="AE113" i="1" l="1"/>
  <c r="AG113" i="1" s="1"/>
  <c r="M112" i="1"/>
  <c r="AG112" i="1"/>
  <c r="M113" i="1" l="1"/>
  <c r="Y102" i="1"/>
  <c r="V102" i="1"/>
  <c r="S102" i="1"/>
  <c r="AE102" i="1" l="1"/>
  <c r="Y64" i="1"/>
  <c r="V64" i="1"/>
  <c r="S64" i="1"/>
  <c r="AE64" i="1" l="1"/>
  <c r="AG102" i="1"/>
  <c r="M102" i="1"/>
  <c r="M64" i="1" l="1"/>
  <c r="AG64" i="1"/>
  <c r="AB199" i="1"/>
  <c r="Y199" i="1"/>
  <c r="V199" i="1"/>
  <c r="S199" i="1"/>
  <c r="AE199" i="1" l="1"/>
  <c r="AG199" i="1" l="1"/>
  <c r="M199" i="1"/>
  <c r="Y160" i="1"/>
  <c r="S160" i="1"/>
  <c r="Y63" i="1" l="1"/>
  <c r="V63" i="1"/>
  <c r="S63" i="1"/>
  <c r="AE63" i="1" l="1"/>
  <c r="AB378" i="1"/>
  <c r="Y378" i="1"/>
  <c r="S148" i="1" l="1"/>
  <c r="V148" i="1"/>
  <c r="AB150" i="1" l="1"/>
  <c r="AB148" i="1"/>
  <c r="Y150" i="1"/>
  <c r="Y148" i="1"/>
  <c r="V150" i="1"/>
  <c r="S150" i="1"/>
  <c r="AE148" i="1" l="1"/>
  <c r="AE150" i="1"/>
  <c r="AG148" i="1" l="1"/>
  <c r="AG150" i="1"/>
  <c r="M150" i="1"/>
  <c r="M63" i="1"/>
  <c r="AG63" i="1"/>
  <c r="Y69" i="1"/>
  <c r="V69" i="1"/>
  <c r="S69" i="1"/>
  <c r="S68" i="1"/>
  <c r="AB375" i="1"/>
  <c r="Y375" i="1"/>
  <c r="S375" i="1"/>
  <c r="AB106" i="1" l="1"/>
  <c r="AE106" i="1" s="1"/>
  <c r="AB180" i="1"/>
  <c r="Y180" i="1"/>
  <c r="V180" i="1"/>
  <c r="S180" i="1"/>
  <c r="AB179" i="1"/>
  <c r="Y179" i="1"/>
  <c r="V179" i="1"/>
  <c r="S179" i="1"/>
  <c r="AE180" i="1" l="1"/>
  <c r="AG180" i="1" s="1"/>
  <c r="AE179" i="1"/>
  <c r="M106" i="1"/>
  <c r="AG106" i="1"/>
  <c r="AG179" i="1" l="1"/>
  <c r="M179" i="1"/>
  <c r="M180" i="1"/>
  <c r="Y372" i="1" l="1"/>
  <c r="AB386" i="1"/>
  <c r="AB385" i="1"/>
  <c r="AB381" i="1"/>
  <c r="AB380" i="1"/>
  <c r="AB379" i="1"/>
  <c r="AB377" i="1"/>
  <c r="AB376" i="1"/>
  <c r="AB374" i="1"/>
  <c r="Y386" i="1"/>
  <c r="Y385" i="1"/>
  <c r="Y381" i="1"/>
  <c r="Y380" i="1"/>
  <c r="Y379" i="1"/>
  <c r="Y377" i="1"/>
  <c r="Y376" i="1"/>
  <c r="Y374" i="1"/>
  <c r="V386" i="1"/>
  <c r="V385" i="1"/>
  <c r="V380" i="1"/>
  <c r="V379" i="1"/>
  <c r="V378" i="1"/>
  <c r="V377" i="1"/>
  <c r="V376" i="1"/>
  <c r="V375" i="1"/>
  <c r="V374" i="1"/>
  <c r="S386" i="1"/>
  <c r="S385" i="1"/>
  <c r="S381" i="1"/>
  <c r="S380" i="1"/>
  <c r="S379" i="1"/>
  <c r="S378" i="1"/>
  <c r="S377" i="1"/>
  <c r="S376" i="1"/>
  <c r="S374" i="1"/>
  <c r="AB373" i="1"/>
  <c r="Y373" i="1"/>
  <c r="V373" i="1"/>
  <c r="S373" i="1"/>
  <c r="AB372" i="1"/>
  <c r="V372" i="1"/>
  <c r="S372" i="1"/>
  <c r="V198" i="1"/>
  <c r="AB55" i="1"/>
  <c r="AB54" i="1"/>
  <c r="Y55" i="1"/>
  <c r="Y54" i="1"/>
  <c r="V55" i="1"/>
  <c r="V54" i="1"/>
  <c r="S54" i="1"/>
  <c r="AE376" i="1" l="1"/>
  <c r="AG376" i="1" s="1"/>
  <c r="AE379" i="1"/>
  <c r="AG379" i="1" s="1"/>
  <c r="AE386" i="1"/>
  <c r="AG386" i="1" s="1"/>
  <c r="AE372" i="1"/>
  <c r="M372" i="1" s="1"/>
  <c r="AE54" i="1"/>
  <c r="AE373" i="1"/>
  <c r="M373" i="1" s="1"/>
  <c r="AE380" i="1"/>
  <c r="AG380" i="1" s="1"/>
  <c r="AE55" i="1"/>
  <c r="AG55" i="1" s="1"/>
  <c r="AE375" i="1"/>
  <c r="AE378" i="1"/>
  <c r="AG378" i="1" s="1"/>
  <c r="AE385" i="1"/>
  <c r="AG385" i="1" s="1"/>
  <c r="AE374" i="1"/>
  <c r="AG374" i="1" s="1"/>
  <c r="AE377" i="1"/>
  <c r="AG377" i="1" s="1"/>
  <c r="AE381" i="1"/>
  <c r="M381" i="1" l="1"/>
  <c r="M385" i="1"/>
  <c r="M379" i="1"/>
  <c r="M386" i="1"/>
  <c r="M380" i="1"/>
  <c r="AG381" i="1"/>
  <c r="M55" i="1"/>
  <c r="AG54" i="1"/>
  <c r="M54" i="1"/>
  <c r="M378" i="1"/>
  <c r="AG375" i="1"/>
  <c r="M375" i="1"/>
  <c r="M374" i="1"/>
  <c r="M377" i="1"/>
  <c r="M376" i="1"/>
  <c r="AG372" i="1"/>
  <c r="AG373" i="1"/>
  <c r="AB369" i="1"/>
  <c r="Y369" i="1"/>
  <c r="V369" i="1"/>
  <c r="S369" i="1"/>
  <c r="V370" i="1" l="1"/>
  <c r="S364" i="1" l="1"/>
  <c r="S361" i="1" l="1"/>
  <c r="AB388" i="1" l="1"/>
  <c r="Y388" i="1"/>
  <c r="V388" i="1"/>
  <c r="S388" i="1"/>
  <c r="AE388" i="1" l="1"/>
  <c r="AG388" i="1" l="1"/>
  <c r="M388" i="1"/>
  <c r="S149" i="1"/>
  <c r="Y101" i="1" l="1"/>
  <c r="AB351" i="1" l="1"/>
  <c r="Y351" i="1"/>
  <c r="V351" i="1"/>
  <c r="S351" i="1"/>
  <c r="AE351" i="1" l="1"/>
  <c r="AG351" i="1" s="1"/>
  <c r="Y166" i="1"/>
  <c r="M351" i="1" l="1"/>
  <c r="AB94" i="1"/>
  <c r="Y94" i="1"/>
  <c r="V94" i="1"/>
  <c r="S94" i="1"/>
  <c r="AE94" i="1" l="1"/>
  <c r="AG94" i="1" l="1"/>
  <c r="Y173" i="1"/>
  <c r="AB198" i="1"/>
  <c r="Y198" i="1"/>
  <c r="S198" i="1"/>
  <c r="AD345" i="1" l="1"/>
  <c r="AD403" i="1" s="1"/>
  <c r="AC345" i="1"/>
  <c r="AC403" i="1" s="1"/>
  <c r="X345" i="1"/>
  <c r="X403" i="1" s="1"/>
  <c r="W345" i="1"/>
  <c r="W403" i="1" s="1"/>
  <c r="U345" i="1"/>
  <c r="U403" i="1" s="1"/>
  <c r="T345" i="1"/>
  <c r="T403" i="1" s="1"/>
  <c r="Y25" i="1" l="1"/>
  <c r="V25" i="1"/>
  <c r="S25" i="1"/>
  <c r="AE25" i="1" l="1"/>
  <c r="Y131" i="1"/>
  <c r="V131" i="1"/>
  <c r="S131" i="1"/>
  <c r="AG25" i="1" l="1"/>
  <c r="AE131" i="1"/>
  <c r="AG131" i="1" l="1"/>
  <c r="M131" i="1"/>
  <c r="M94" i="1"/>
  <c r="M67" i="1"/>
  <c r="AB122" i="1" l="1"/>
  <c r="T122" i="1"/>
  <c r="Y62" i="1" l="1"/>
  <c r="S62" i="1"/>
  <c r="AB93" i="1"/>
  <c r="Y93" i="1"/>
  <c r="V93" i="1"/>
  <c r="S93" i="1"/>
  <c r="AE93" i="1" l="1"/>
  <c r="S135" i="1"/>
  <c r="M93" i="1" l="1"/>
  <c r="AG93" i="1"/>
  <c r="Y141" i="1" l="1"/>
  <c r="AB344" i="1" l="1"/>
  <c r="AB345" i="1"/>
  <c r="AB346" i="1"/>
  <c r="AB347" i="1"/>
  <c r="AB348" i="1"/>
  <c r="AB349" i="1"/>
  <c r="AB350" i="1"/>
  <c r="AB352" i="1"/>
  <c r="AB353" i="1"/>
  <c r="AB354" i="1"/>
  <c r="AB355" i="1"/>
  <c r="AB149" i="1"/>
  <c r="AB356" i="1"/>
  <c r="AB357" i="1"/>
  <c r="AB358" i="1"/>
  <c r="AB359" i="1"/>
  <c r="AB360" i="1"/>
  <c r="AB361" i="1"/>
  <c r="AB362" i="1"/>
  <c r="AB363" i="1"/>
  <c r="AB364" i="1"/>
  <c r="AB365" i="1"/>
  <c r="AB366" i="1"/>
  <c r="AB367" i="1"/>
  <c r="AB368" i="1"/>
  <c r="AB370" i="1"/>
  <c r="Y344" i="1"/>
  <c r="Y345" i="1"/>
  <c r="Y346" i="1"/>
  <c r="Y347" i="1"/>
  <c r="Y348" i="1"/>
  <c r="Y349" i="1"/>
  <c r="Y350" i="1"/>
  <c r="Y352" i="1"/>
  <c r="Y353" i="1"/>
  <c r="Y354" i="1"/>
  <c r="Y355" i="1"/>
  <c r="Y149" i="1"/>
  <c r="Y356" i="1"/>
  <c r="Y357" i="1"/>
  <c r="Y358" i="1"/>
  <c r="Y359" i="1"/>
  <c r="Y360" i="1"/>
  <c r="Y361" i="1"/>
  <c r="Y362" i="1"/>
  <c r="Y363" i="1"/>
  <c r="Y364" i="1"/>
  <c r="Y365" i="1"/>
  <c r="Y366" i="1"/>
  <c r="Y367" i="1"/>
  <c r="Y368" i="1"/>
  <c r="Y370" i="1"/>
  <c r="V344" i="1"/>
  <c r="V345" i="1"/>
  <c r="V346" i="1"/>
  <c r="V347" i="1"/>
  <c r="V348" i="1"/>
  <c r="V349" i="1"/>
  <c r="V350" i="1"/>
  <c r="V352" i="1"/>
  <c r="V353" i="1"/>
  <c r="V354" i="1"/>
  <c r="V355" i="1"/>
  <c r="V149" i="1"/>
  <c r="V356" i="1"/>
  <c r="V357" i="1"/>
  <c r="V358" i="1"/>
  <c r="V359" i="1"/>
  <c r="V360" i="1"/>
  <c r="V361" i="1"/>
  <c r="V362" i="1"/>
  <c r="V363" i="1"/>
  <c r="V364" i="1"/>
  <c r="V365" i="1"/>
  <c r="V366" i="1"/>
  <c r="V367" i="1"/>
  <c r="V368" i="1"/>
  <c r="S344" i="1"/>
  <c r="S345" i="1"/>
  <c r="S346" i="1"/>
  <c r="S347" i="1"/>
  <c r="S349" i="1"/>
  <c r="S350" i="1"/>
  <c r="S352" i="1"/>
  <c r="S353" i="1"/>
  <c r="S354" i="1"/>
  <c r="S355" i="1"/>
  <c r="S356" i="1"/>
  <c r="S357" i="1"/>
  <c r="S358" i="1"/>
  <c r="S359" i="1"/>
  <c r="S360" i="1"/>
  <c r="S362" i="1"/>
  <c r="S363" i="1"/>
  <c r="S366" i="1"/>
  <c r="S367" i="1"/>
  <c r="S368" i="1"/>
  <c r="S370" i="1"/>
  <c r="AE370" i="1" l="1"/>
  <c r="AG370" i="1" s="1"/>
  <c r="AE366" i="1"/>
  <c r="M366" i="1" s="1"/>
  <c r="AE362" i="1"/>
  <c r="M362" i="1" s="1"/>
  <c r="AE358" i="1"/>
  <c r="AG358" i="1" s="1"/>
  <c r="AE355" i="1"/>
  <c r="AG355" i="1" s="1"/>
  <c r="AE348" i="1"/>
  <c r="M348" i="1" s="1"/>
  <c r="AE344" i="1"/>
  <c r="AG344" i="1" s="1"/>
  <c r="AE367" i="1"/>
  <c r="AG367" i="1" s="1"/>
  <c r="AE363" i="1"/>
  <c r="AG363" i="1" s="1"/>
  <c r="AE359" i="1"/>
  <c r="AG359" i="1" s="1"/>
  <c r="AE149" i="1"/>
  <c r="AE352" i="1"/>
  <c r="AG352" i="1" s="1"/>
  <c r="AE345" i="1"/>
  <c r="AG345" i="1" s="1"/>
  <c r="AE368" i="1"/>
  <c r="AG368" i="1" s="1"/>
  <c r="AE364" i="1"/>
  <c r="AG364" i="1" s="1"/>
  <c r="AE360" i="1"/>
  <c r="AG360" i="1" s="1"/>
  <c r="AE356" i="1"/>
  <c r="AG356" i="1" s="1"/>
  <c r="AE353" i="1"/>
  <c r="AG353" i="1" s="1"/>
  <c r="AE349" i="1"/>
  <c r="AG349" i="1" s="1"/>
  <c r="AE346" i="1"/>
  <c r="AG346" i="1" s="1"/>
  <c r="AE369" i="1"/>
  <c r="M369" i="1" s="1"/>
  <c r="AE365" i="1"/>
  <c r="AG365" i="1" s="1"/>
  <c r="AE361" i="1"/>
  <c r="AG361" i="1" s="1"/>
  <c r="AE357" i="1"/>
  <c r="AG357" i="1" s="1"/>
  <c r="AE354" i="1"/>
  <c r="AG354" i="1" s="1"/>
  <c r="AE350" i="1"/>
  <c r="AG350" i="1" s="1"/>
  <c r="AE347" i="1"/>
  <c r="AG347" i="1" s="1"/>
  <c r="Z130" i="1"/>
  <c r="W130" i="1"/>
  <c r="T130" i="1"/>
  <c r="AG149" i="1" l="1"/>
  <c r="M365" i="1"/>
  <c r="AG366" i="1"/>
  <c r="M370" i="1"/>
  <c r="M350" i="1"/>
  <c r="M355" i="1"/>
  <c r="M349" i="1"/>
  <c r="M149" i="1"/>
  <c r="M352" i="1"/>
  <c r="M367" i="1"/>
  <c r="M364" i="1"/>
  <c r="M344" i="1"/>
  <c r="M358" i="1"/>
  <c r="M353" i="1"/>
  <c r="M368" i="1"/>
  <c r="AG348" i="1"/>
  <c r="AG362" i="1"/>
  <c r="M346" i="1"/>
  <c r="M361" i="1"/>
  <c r="M357" i="1"/>
  <c r="M354" i="1"/>
  <c r="M359" i="1"/>
  <c r="M360" i="1"/>
  <c r="M363" i="1"/>
  <c r="AG369" i="1"/>
  <c r="M356" i="1"/>
  <c r="M345" i="1"/>
  <c r="M347" i="1"/>
  <c r="Y84" i="1"/>
  <c r="AB336" i="1" l="1"/>
  <c r="Y336" i="1"/>
  <c r="V336" i="1"/>
  <c r="S336" i="1"/>
  <c r="AE336" i="1" l="1"/>
  <c r="AG336" i="1" s="1"/>
  <c r="S334" i="1"/>
  <c r="M336" i="1" l="1"/>
  <c r="AB193" i="1" l="1"/>
  <c r="AE193" i="1" s="1"/>
  <c r="AB35" i="1"/>
  <c r="Y35" i="1"/>
  <c r="V35" i="1"/>
  <c r="S35" i="1"/>
  <c r="M193" i="1" l="1"/>
  <c r="AG193" i="1"/>
  <c r="AE35" i="1"/>
  <c r="M35" i="1" s="1"/>
  <c r="V50" i="1"/>
  <c r="AG35" i="1" l="1"/>
  <c r="AB52" i="1"/>
  <c r="AB53" i="1"/>
  <c r="Y52" i="1"/>
  <c r="Y53" i="1"/>
  <c r="V52" i="1"/>
  <c r="V53" i="1"/>
  <c r="S52" i="1"/>
  <c r="S53" i="1"/>
  <c r="AE53" i="1" l="1"/>
  <c r="AG53" i="1" s="1"/>
  <c r="AE52" i="1"/>
  <c r="V128" i="1"/>
  <c r="M53" i="1" l="1"/>
  <c r="AG52" i="1"/>
  <c r="M52" i="1"/>
  <c r="AE22" i="1"/>
  <c r="M22" i="1" l="1"/>
  <c r="S322" i="1"/>
  <c r="AB138" i="1" l="1"/>
  <c r="Y138" i="1"/>
  <c r="V138" i="1"/>
  <c r="S138" i="1"/>
  <c r="AE138" i="1" l="1"/>
  <c r="AG138" i="1" l="1"/>
  <c r="M138" i="1"/>
  <c r="AB327" i="1"/>
  <c r="AB329" i="1"/>
  <c r="AB330" i="1"/>
  <c r="AB331" i="1"/>
  <c r="AB332" i="1"/>
  <c r="AB333" i="1"/>
  <c r="AB334" i="1"/>
  <c r="AB335" i="1"/>
  <c r="Y327" i="1"/>
  <c r="Y328" i="1"/>
  <c r="Y329" i="1"/>
  <c r="Y330" i="1"/>
  <c r="Y331" i="1"/>
  <c r="Y332" i="1"/>
  <c r="Y333" i="1"/>
  <c r="Y334" i="1"/>
  <c r="Y335" i="1"/>
  <c r="V327" i="1"/>
  <c r="V328" i="1"/>
  <c r="V329" i="1"/>
  <c r="V330" i="1"/>
  <c r="V331" i="1"/>
  <c r="V332" i="1"/>
  <c r="V333" i="1"/>
  <c r="V334" i="1"/>
  <c r="V335" i="1"/>
  <c r="S327" i="1"/>
  <c r="S328" i="1"/>
  <c r="S329" i="1"/>
  <c r="S330" i="1"/>
  <c r="S331" i="1"/>
  <c r="S332" i="1"/>
  <c r="S333" i="1"/>
  <c r="S335" i="1"/>
  <c r="AB323" i="1"/>
  <c r="AB324" i="1"/>
  <c r="AB325" i="1"/>
  <c r="AB326" i="1"/>
  <c r="AB337" i="1"/>
  <c r="AB338" i="1"/>
  <c r="AB339" i="1"/>
  <c r="AB340" i="1"/>
  <c r="AB341" i="1"/>
  <c r="AB342" i="1"/>
  <c r="AB343" i="1"/>
  <c r="AB371" i="1"/>
  <c r="Y323" i="1"/>
  <c r="Y324" i="1"/>
  <c r="Y325" i="1"/>
  <c r="Y326" i="1"/>
  <c r="Y337" i="1"/>
  <c r="Y338" i="1"/>
  <c r="Y339" i="1"/>
  <c r="Y340" i="1"/>
  <c r="Y341" i="1"/>
  <c r="V323" i="1"/>
  <c r="V324" i="1"/>
  <c r="V325" i="1"/>
  <c r="V326" i="1"/>
  <c r="V337" i="1"/>
  <c r="V338" i="1"/>
  <c r="V339" i="1"/>
  <c r="V340" i="1"/>
  <c r="V341" i="1"/>
  <c r="V342" i="1"/>
  <c r="S323" i="1"/>
  <c r="S325" i="1"/>
  <c r="S326" i="1"/>
  <c r="S337" i="1"/>
  <c r="S338" i="1"/>
  <c r="S339" i="1"/>
  <c r="S340" i="1"/>
  <c r="S341" i="1"/>
  <c r="Y342" i="1"/>
  <c r="S342" i="1"/>
  <c r="AE330" i="1" l="1"/>
  <c r="M330" i="1" s="1"/>
  <c r="AE334" i="1"/>
  <c r="AG334" i="1" s="1"/>
  <c r="AE341" i="1"/>
  <c r="AG341" i="1" s="1"/>
  <c r="AE338" i="1"/>
  <c r="AG338" i="1" s="1"/>
  <c r="AE324" i="1"/>
  <c r="AG324" i="1" s="1"/>
  <c r="AE337" i="1"/>
  <c r="AG337" i="1" s="1"/>
  <c r="AE339" i="1"/>
  <c r="AG339" i="1" s="1"/>
  <c r="AE325" i="1"/>
  <c r="AG325" i="1" s="1"/>
  <c r="AE332" i="1"/>
  <c r="AG332" i="1" s="1"/>
  <c r="AE328" i="1"/>
  <c r="AG328" i="1" s="1"/>
  <c r="AE333" i="1"/>
  <c r="AG333" i="1" s="1"/>
  <c r="AE329" i="1"/>
  <c r="M329" i="1" s="1"/>
  <c r="AE323" i="1"/>
  <c r="AG323" i="1" s="1"/>
  <c r="AE342" i="1"/>
  <c r="M342" i="1" s="1"/>
  <c r="AE326" i="1"/>
  <c r="AG326" i="1" s="1"/>
  <c r="AE340" i="1"/>
  <c r="AG340" i="1" s="1"/>
  <c r="AE335" i="1"/>
  <c r="AG335" i="1" s="1"/>
  <c r="AE331" i="1"/>
  <c r="AG331" i="1" s="1"/>
  <c r="AE327" i="1"/>
  <c r="AG327" i="1" s="1"/>
  <c r="M339" i="1" l="1"/>
  <c r="M333" i="1"/>
  <c r="M328" i="1"/>
  <c r="M327" i="1"/>
  <c r="M332" i="1"/>
  <c r="M326" i="1"/>
  <c r="M338" i="1"/>
  <c r="M337" i="1"/>
  <c r="M331" i="1"/>
  <c r="AG329" i="1"/>
  <c r="AG330" i="1"/>
  <c r="M340" i="1"/>
  <c r="M323" i="1"/>
  <c r="M334" i="1"/>
  <c r="M325" i="1"/>
  <c r="M324" i="1"/>
  <c r="M335" i="1"/>
  <c r="AG342" i="1"/>
  <c r="M341" i="1"/>
  <c r="AB9" i="1" l="1"/>
  <c r="AB10" i="1"/>
  <c r="Y9" i="1"/>
  <c r="Y10" i="1"/>
  <c r="V9" i="1"/>
  <c r="V10" i="1"/>
  <c r="S9" i="1"/>
  <c r="S10" i="1"/>
  <c r="AE9" i="1" l="1"/>
  <c r="AE10" i="1"/>
  <c r="S8" i="1"/>
  <c r="AG10" i="1" l="1"/>
  <c r="AG9" i="1"/>
  <c r="M10" i="1"/>
  <c r="M9" i="1"/>
  <c r="AB316" i="1"/>
  <c r="AB317" i="1"/>
  <c r="AB318" i="1"/>
  <c r="AB319" i="1"/>
  <c r="AB320" i="1"/>
  <c r="AB321" i="1"/>
  <c r="AB322" i="1"/>
  <c r="Y316" i="1"/>
  <c r="Y317" i="1"/>
  <c r="Y318" i="1"/>
  <c r="Y319" i="1"/>
  <c r="Y320" i="1"/>
  <c r="Y321" i="1"/>
  <c r="Y322" i="1"/>
  <c r="V316" i="1"/>
  <c r="V317" i="1"/>
  <c r="V318" i="1"/>
  <c r="V319" i="1"/>
  <c r="V320" i="1"/>
  <c r="V321" i="1"/>
  <c r="V322" i="1"/>
  <c r="S316" i="1"/>
  <c r="S317" i="1"/>
  <c r="S318" i="1"/>
  <c r="S319" i="1"/>
  <c r="S320" i="1"/>
  <c r="S321" i="1"/>
  <c r="AE320" i="1" l="1"/>
  <c r="AG320" i="1" s="1"/>
  <c r="AE322" i="1"/>
  <c r="AG322" i="1" s="1"/>
  <c r="AE321" i="1"/>
  <c r="AG321" i="1" s="1"/>
  <c r="AE319" i="1"/>
  <c r="AG319" i="1" s="1"/>
  <c r="AE317" i="1"/>
  <c r="AG317" i="1" s="1"/>
  <c r="AE316" i="1"/>
  <c r="AG316" i="1" s="1"/>
  <c r="AE318" i="1"/>
  <c r="AG318" i="1" s="1"/>
  <c r="S183" i="1"/>
  <c r="M318" i="1" l="1"/>
  <c r="M317" i="1"/>
  <c r="M322" i="1"/>
  <c r="M321" i="1"/>
  <c r="M320" i="1"/>
  <c r="M316" i="1"/>
  <c r="M319" i="1"/>
  <c r="S314" i="1"/>
  <c r="S216" i="1" l="1"/>
  <c r="S310" i="1" l="1"/>
  <c r="AB183" i="1" l="1"/>
  <c r="Y183" i="1"/>
  <c r="V183" i="1"/>
  <c r="AE183" i="1" l="1"/>
  <c r="AG183" i="1" s="1"/>
  <c r="M183" i="1" l="1"/>
  <c r="AB144" i="1"/>
  <c r="Y144" i="1"/>
  <c r="V144" i="1"/>
  <c r="S144" i="1"/>
  <c r="AE144" i="1" l="1"/>
  <c r="AB306" i="1"/>
  <c r="AB305" i="1"/>
  <c r="Y305" i="1"/>
  <c r="AG144" i="1" l="1"/>
  <c r="M144" i="1"/>
  <c r="AB186" i="1"/>
  <c r="Y186" i="1"/>
  <c r="V186" i="1"/>
  <c r="S186" i="1"/>
  <c r="AB304" i="1"/>
  <c r="V304" i="1"/>
  <c r="S304" i="1"/>
  <c r="AB307" i="1"/>
  <c r="AB308" i="1"/>
  <c r="AB309" i="1"/>
  <c r="AB310" i="1"/>
  <c r="AB311" i="1"/>
  <c r="AB312" i="1"/>
  <c r="AB313" i="1"/>
  <c r="AB314" i="1"/>
  <c r="AB315" i="1"/>
  <c r="Y306" i="1"/>
  <c r="Y307" i="1"/>
  <c r="Y308" i="1"/>
  <c r="Y309" i="1"/>
  <c r="Y310" i="1"/>
  <c r="Y311" i="1"/>
  <c r="Y312" i="1"/>
  <c r="Y313" i="1"/>
  <c r="Y314" i="1"/>
  <c r="Y315" i="1"/>
  <c r="Y343" i="1"/>
  <c r="Y371" i="1"/>
  <c r="V305" i="1"/>
  <c r="V306" i="1"/>
  <c r="V307" i="1"/>
  <c r="V308" i="1"/>
  <c r="V309" i="1"/>
  <c r="V310" i="1"/>
  <c r="V311" i="1"/>
  <c r="V312" i="1"/>
  <c r="V313" i="1"/>
  <c r="V314" i="1"/>
  <c r="V315" i="1"/>
  <c r="V343" i="1"/>
  <c r="V371" i="1"/>
  <c r="S305" i="1"/>
  <c r="S306" i="1"/>
  <c r="S307" i="1"/>
  <c r="S308" i="1"/>
  <c r="S309" i="1"/>
  <c r="S311" i="1"/>
  <c r="S312" i="1"/>
  <c r="S313" i="1"/>
  <c r="S315" i="1"/>
  <c r="S343" i="1"/>
  <c r="S371" i="1"/>
  <c r="AE312" i="1" l="1"/>
  <c r="AE310" i="1"/>
  <c r="AE314" i="1"/>
  <c r="AG314" i="1" s="1"/>
  <c r="AE315" i="1"/>
  <c r="AG315" i="1" s="1"/>
  <c r="AE308" i="1"/>
  <c r="AG308" i="1" s="1"/>
  <c r="AE306" i="1"/>
  <c r="AG306" i="1" s="1"/>
  <c r="AE311" i="1"/>
  <c r="AE307" i="1"/>
  <c r="AG307" i="1" s="1"/>
  <c r="AE371" i="1"/>
  <c r="AG371" i="1" s="1"/>
  <c r="AE186" i="1"/>
  <c r="AE304" i="1"/>
  <c r="AG304" i="1" s="1"/>
  <c r="AE343" i="1"/>
  <c r="AG343" i="1" s="1"/>
  <c r="AE313" i="1"/>
  <c r="AG313" i="1" s="1"/>
  <c r="AE309" i="1"/>
  <c r="AG309" i="1" s="1"/>
  <c r="AE305" i="1"/>
  <c r="Y303" i="1"/>
  <c r="AB303" i="1"/>
  <c r="V303" i="1"/>
  <c r="S303" i="1"/>
  <c r="M343" i="1" l="1"/>
  <c r="M309" i="1"/>
  <c r="M371" i="1"/>
  <c r="AG186" i="1"/>
  <c r="AG312" i="1"/>
  <c r="AG311" i="1"/>
  <c r="M311" i="1"/>
  <c r="AG310" i="1"/>
  <c r="M310" i="1"/>
  <c r="M314" i="1"/>
  <c r="M308" i="1"/>
  <c r="M315" i="1"/>
  <c r="M186" i="1"/>
  <c r="M306" i="1"/>
  <c r="M313" i="1"/>
  <c r="M312" i="1"/>
  <c r="M307" i="1"/>
  <c r="AG305" i="1"/>
  <c r="M305" i="1"/>
  <c r="M304" i="1"/>
  <c r="AE303" i="1"/>
  <c r="AG303" i="1" s="1"/>
  <c r="AB302" i="1"/>
  <c r="Y302" i="1"/>
  <c r="V302" i="1"/>
  <c r="S302" i="1"/>
  <c r="M303" i="1" l="1"/>
  <c r="AE302" i="1"/>
  <c r="AG302" i="1" s="1"/>
  <c r="AB287" i="1"/>
  <c r="M302" i="1" l="1"/>
  <c r="V156" i="1"/>
  <c r="V157" i="1"/>
  <c r="Y156" i="1"/>
  <c r="Y157" i="1"/>
  <c r="AB155" i="1"/>
  <c r="Y155" i="1"/>
  <c r="V155" i="1"/>
  <c r="AB156" i="1"/>
  <c r="AB157" i="1"/>
  <c r="S156" i="1"/>
  <c r="S157" i="1"/>
  <c r="AE157" i="1" l="1"/>
  <c r="AG157" i="1" s="1"/>
  <c r="AE156" i="1"/>
  <c r="AE294" i="1"/>
  <c r="AG156" i="1" l="1"/>
  <c r="M156" i="1"/>
  <c r="M157" i="1"/>
  <c r="S291" i="1"/>
  <c r="S292" i="1"/>
  <c r="S293" i="1"/>
  <c r="S295" i="1"/>
  <c r="S296" i="1"/>
  <c r="S297" i="1"/>
  <c r="S298" i="1"/>
  <c r="S299" i="1"/>
  <c r="AB286" i="1" l="1"/>
  <c r="AB288" i="1"/>
  <c r="AB289" i="1"/>
  <c r="AB290" i="1"/>
  <c r="AB291" i="1"/>
  <c r="AB292" i="1"/>
  <c r="AB293" i="1"/>
  <c r="AB295" i="1"/>
  <c r="AB296" i="1"/>
  <c r="AB297" i="1"/>
  <c r="AB298" i="1"/>
  <c r="AB299" i="1"/>
  <c r="AB300" i="1"/>
  <c r="AB301" i="1"/>
  <c r="Y288" i="1"/>
  <c r="Y289" i="1"/>
  <c r="Y290" i="1"/>
  <c r="Y291" i="1"/>
  <c r="Y292" i="1"/>
  <c r="Y293" i="1"/>
  <c r="Y295" i="1"/>
  <c r="Y296" i="1"/>
  <c r="Y297" i="1"/>
  <c r="Y298" i="1"/>
  <c r="Y299" i="1"/>
  <c r="Y300" i="1"/>
  <c r="Y301" i="1"/>
  <c r="V290" i="1"/>
  <c r="V291" i="1"/>
  <c r="V292" i="1"/>
  <c r="V293" i="1"/>
  <c r="V295" i="1"/>
  <c r="V296" i="1"/>
  <c r="V297" i="1"/>
  <c r="V298" i="1"/>
  <c r="V299" i="1"/>
  <c r="V300" i="1"/>
  <c r="V301" i="1"/>
  <c r="S290" i="1"/>
  <c r="S300" i="1"/>
  <c r="AE293" i="1" l="1"/>
  <c r="AE297" i="1"/>
  <c r="AG297" i="1" s="1"/>
  <c r="AE296" i="1"/>
  <c r="AE299" i="1"/>
  <c r="M299" i="1" s="1"/>
  <c r="AE295" i="1"/>
  <c r="AE300" i="1"/>
  <c r="AG300" i="1" s="1"/>
  <c r="AE292" i="1"/>
  <c r="AE298" i="1"/>
  <c r="AG298" i="1" s="1"/>
  <c r="AE291" i="1"/>
  <c r="AE290" i="1"/>
  <c r="S30" i="1"/>
  <c r="Y30" i="1"/>
  <c r="V30" i="1"/>
  <c r="M291" i="1" l="1"/>
  <c r="M295" i="1"/>
  <c r="M293" i="1"/>
  <c r="AG290" i="1"/>
  <c r="AG296" i="1"/>
  <c r="AG294" i="1"/>
  <c r="M294" i="1"/>
  <c r="M297" i="1"/>
  <c r="AG292" i="1"/>
  <c r="AG293" i="1"/>
  <c r="M292" i="1"/>
  <c r="AG299" i="1"/>
  <c r="AG295" i="1"/>
  <c r="M296" i="1"/>
  <c r="M300" i="1"/>
  <c r="M298" i="1"/>
  <c r="AG291" i="1"/>
  <c r="M290" i="1"/>
  <c r="AE30" i="1"/>
  <c r="S285" i="1"/>
  <c r="AB285" i="1"/>
  <c r="AG30" i="1" l="1"/>
  <c r="M30" i="1"/>
  <c r="Y284" i="1"/>
  <c r="Y283" i="1"/>
  <c r="V284" i="1"/>
  <c r="V283" i="1"/>
  <c r="S284" i="1"/>
  <c r="S283" i="1"/>
  <c r="AB129" i="1" l="1"/>
  <c r="Y129" i="1"/>
  <c r="V129" i="1"/>
  <c r="S129" i="1"/>
  <c r="AB283" i="1" l="1"/>
  <c r="AE283" i="1" s="1"/>
  <c r="AB284" i="1"/>
  <c r="AE284" i="1" s="1"/>
  <c r="Y285" i="1"/>
  <c r="Y286" i="1"/>
  <c r="Y287" i="1"/>
  <c r="V285" i="1"/>
  <c r="V286" i="1"/>
  <c r="V287" i="1"/>
  <c r="V288" i="1"/>
  <c r="V289" i="1"/>
  <c r="S286" i="1"/>
  <c r="S287" i="1"/>
  <c r="S288" i="1"/>
  <c r="S289" i="1"/>
  <c r="S301" i="1"/>
  <c r="AE301" i="1" s="1"/>
  <c r="AG301" i="1" s="1"/>
  <c r="AG284" i="1" l="1"/>
  <c r="AE287" i="1"/>
  <c r="AE288" i="1"/>
  <c r="AE286" i="1"/>
  <c r="AE289" i="1"/>
  <c r="AE285" i="1"/>
  <c r="M129" i="1"/>
  <c r="AG283" i="1"/>
  <c r="M283" i="1"/>
  <c r="AB281" i="1"/>
  <c r="Y281" i="1"/>
  <c r="V281" i="1"/>
  <c r="S281" i="1"/>
  <c r="M287" i="1" l="1"/>
  <c r="M289" i="1"/>
  <c r="M286" i="1"/>
  <c r="AG288" i="1"/>
  <c r="M288" i="1"/>
  <c r="M301" i="1"/>
  <c r="AG286" i="1"/>
  <c r="M285" i="1"/>
  <c r="AG285" i="1"/>
  <c r="AG287" i="1"/>
  <c r="AG289" i="1"/>
  <c r="AE281" i="1"/>
  <c r="S280" i="1"/>
  <c r="M281" i="1" l="1"/>
  <c r="AG281" i="1"/>
  <c r="AB279" i="1" l="1"/>
  <c r="Y279" i="1"/>
  <c r="V279" i="1"/>
  <c r="S279" i="1"/>
  <c r="AE279" i="1" l="1"/>
  <c r="M279" i="1" l="1"/>
  <c r="AG279" i="1"/>
  <c r="V236" i="1"/>
  <c r="V210" i="1" l="1"/>
  <c r="V211" i="1"/>
  <c r="V212" i="1"/>
  <c r="V213" i="1"/>
  <c r="V214" i="1"/>
  <c r="V215" i="1"/>
  <c r="V217" i="1"/>
  <c r="V218" i="1"/>
  <c r="V219" i="1"/>
  <c r="V220" i="1"/>
  <c r="V221" i="1"/>
  <c r="V222" i="1"/>
  <c r="V223" i="1"/>
  <c r="V224" i="1"/>
  <c r="V225" i="1"/>
  <c r="V226" i="1"/>
  <c r="V227" i="1"/>
  <c r="V228" i="1"/>
  <c r="V229" i="1"/>
  <c r="V230" i="1"/>
  <c r="V231" i="1"/>
  <c r="V232" i="1"/>
  <c r="V233" i="1"/>
  <c r="V234" i="1"/>
  <c r="V235"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80" i="1"/>
  <c r="V282" i="1"/>
  <c r="AB197" i="1" l="1"/>
  <c r="Y191" i="1"/>
  <c r="Y192" i="1"/>
  <c r="Y197" i="1"/>
  <c r="Y190" i="1"/>
  <c r="S191" i="1"/>
  <c r="S192" i="1"/>
  <c r="S197" i="1"/>
  <c r="S190" i="1"/>
  <c r="Y189" i="1"/>
  <c r="Y187" i="1"/>
  <c r="Y185" i="1"/>
  <c r="Y184" i="1"/>
  <c r="Y181" i="1"/>
  <c r="Y176" i="1"/>
  <c r="S189" i="1"/>
  <c r="S187" i="1"/>
  <c r="S185" i="1"/>
  <c r="S184" i="1"/>
  <c r="S181" i="1"/>
  <c r="S176" i="1"/>
  <c r="S155" i="1"/>
  <c r="S173" i="1"/>
  <c r="S166" i="1"/>
  <c r="S162" i="1"/>
  <c r="S152" i="1"/>
  <c r="S153" i="1"/>
  <c r="V152" i="1"/>
  <c r="V153" i="1"/>
  <c r="Y152" i="1"/>
  <c r="Y153" i="1"/>
  <c r="AB145" i="1"/>
  <c r="Y145" i="1"/>
  <c r="S145" i="1"/>
  <c r="S141" i="1"/>
  <c r="Y135" i="1"/>
  <c r="S139" i="1"/>
  <c r="S136" i="1"/>
  <c r="S128" i="1"/>
  <c r="Y122" i="1"/>
  <c r="V122" i="1"/>
  <c r="S120" i="1"/>
  <c r="AB110" i="1"/>
  <c r="AB111" i="1"/>
  <c r="Y110" i="1"/>
  <c r="Y111" i="1"/>
  <c r="V111" i="1"/>
  <c r="S110" i="1"/>
  <c r="S111" i="1"/>
  <c r="AB78" i="1"/>
  <c r="AB79" i="1"/>
  <c r="AB80" i="1"/>
  <c r="Y79" i="1"/>
  <c r="Y80" i="1"/>
  <c r="Y78" i="1"/>
  <c r="V79" i="1"/>
  <c r="V80" i="1"/>
  <c r="S79" i="1"/>
  <c r="S80" i="1"/>
  <c r="S101" i="1"/>
  <c r="AB92" i="1"/>
  <c r="AB95" i="1"/>
  <c r="Y92" i="1"/>
  <c r="Y95" i="1"/>
  <c r="V92" i="1"/>
  <c r="V95" i="1"/>
  <c r="S92" i="1"/>
  <c r="S95" i="1"/>
  <c r="AB90" i="1"/>
  <c r="Y90" i="1"/>
  <c r="V90" i="1"/>
  <c r="S90" i="1"/>
  <c r="S88" i="1"/>
  <c r="Y83" i="1"/>
  <c r="S84" i="1"/>
  <c r="S83" i="1"/>
  <c r="S78" i="1"/>
  <c r="S77" i="1"/>
  <c r="Y76" i="1"/>
  <c r="S76" i="1"/>
  <c r="V73" i="1"/>
  <c r="Y73" i="1"/>
  <c r="AB73" i="1"/>
  <c r="Y51" i="1"/>
  <c r="S51" i="1"/>
  <c r="Y45" i="1"/>
  <c r="Y46" i="1"/>
  <c r="V45" i="1"/>
  <c r="V46" i="1"/>
  <c r="S45" i="1"/>
  <c r="S46" i="1"/>
  <c r="Y44" i="1"/>
  <c r="S44" i="1"/>
  <c r="AE155" i="1" l="1"/>
  <c r="AE111" i="1"/>
  <c r="AE90" i="1"/>
  <c r="AE80" i="1"/>
  <c r="AE79" i="1"/>
  <c r="AE95" i="1"/>
  <c r="AE92" i="1"/>
  <c r="AB44" i="1"/>
  <c r="AB45" i="1"/>
  <c r="AE45" i="1" s="1"/>
  <c r="AB46" i="1"/>
  <c r="AE46" i="1" s="1"/>
  <c r="AB50" i="1"/>
  <c r="AB51" i="1"/>
  <c r="AB61" i="1"/>
  <c r="AB62" i="1"/>
  <c r="AB68" i="1"/>
  <c r="AB69" i="1"/>
  <c r="AB76" i="1"/>
  <c r="AB77" i="1"/>
  <c r="AB83" i="1"/>
  <c r="AB84" i="1"/>
  <c r="AB88" i="1"/>
  <c r="AB89" i="1"/>
  <c r="AB91" i="1"/>
  <c r="AB100" i="1"/>
  <c r="AB105" i="1"/>
  <c r="AB109" i="1"/>
  <c r="AB116" i="1"/>
  <c r="AB120" i="1"/>
  <c r="AB121" i="1"/>
  <c r="AE121" i="1" s="1"/>
  <c r="AE122" i="1"/>
  <c r="AB128" i="1"/>
  <c r="AB130" i="1"/>
  <c r="AE130" i="1" s="1"/>
  <c r="AB135" i="1"/>
  <c r="AB136" i="1"/>
  <c r="AB139" i="1"/>
  <c r="AB140" i="1"/>
  <c r="AB141" i="1"/>
  <c r="AB143" i="1"/>
  <c r="AB151" i="1"/>
  <c r="AB152" i="1"/>
  <c r="AB153" i="1"/>
  <c r="AE153" i="1" s="1"/>
  <c r="AB154" i="1"/>
  <c r="AB160" i="1"/>
  <c r="AB162" i="1"/>
  <c r="AB166" i="1"/>
  <c r="AB168" i="1"/>
  <c r="AB169" i="1"/>
  <c r="AB173" i="1"/>
  <c r="AB175" i="1"/>
  <c r="AB176" i="1"/>
  <c r="AB181" i="1"/>
  <c r="AB184" i="1"/>
  <c r="AB185" i="1"/>
  <c r="AB187" i="1"/>
  <c r="AB189" i="1"/>
  <c r="AB190" i="1"/>
  <c r="AB191" i="1"/>
  <c r="AB192" i="1"/>
  <c r="AB209" i="1"/>
  <c r="AB210" i="1"/>
  <c r="AB211" i="1"/>
  <c r="AB212" i="1"/>
  <c r="AB213" i="1"/>
  <c r="AB214" i="1"/>
  <c r="AB215" i="1"/>
  <c r="AB216" i="1"/>
  <c r="AB217" i="1"/>
  <c r="AB43" i="1"/>
  <c r="AG43" i="1"/>
  <c r="V44" i="1"/>
  <c r="V51" i="1"/>
  <c r="V62" i="1"/>
  <c r="V76" i="1"/>
  <c r="V77" i="1"/>
  <c r="V78" i="1"/>
  <c r="AE78" i="1" s="1"/>
  <c r="V83" i="1"/>
  <c r="V84" i="1"/>
  <c r="V88" i="1"/>
  <c r="V89" i="1"/>
  <c r="V91" i="1"/>
  <c r="V100" i="1"/>
  <c r="V101" i="1"/>
  <c r="V105" i="1"/>
  <c r="V109" i="1"/>
  <c r="V110" i="1"/>
  <c r="AE110" i="1" s="1"/>
  <c r="V116" i="1"/>
  <c r="V120" i="1"/>
  <c r="V135" i="1"/>
  <c r="V136" i="1"/>
  <c r="V139" i="1"/>
  <c r="V140" i="1"/>
  <c r="V141" i="1"/>
  <c r="V143" i="1"/>
  <c r="V145" i="1"/>
  <c r="V151" i="1"/>
  <c r="V154" i="1"/>
  <c r="V160" i="1"/>
  <c r="V162" i="1"/>
  <c r="V166" i="1"/>
  <c r="V169" i="1"/>
  <c r="V173" i="1"/>
  <c r="V175" i="1"/>
  <c r="V176" i="1"/>
  <c r="V181" i="1"/>
  <c r="V184" i="1"/>
  <c r="V185" i="1"/>
  <c r="V187" i="1"/>
  <c r="V189" i="1"/>
  <c r="V190" i="1"/>
  <c r="V191" i="1"/>
  <c r="V192" i="1"/>
  <c r="V197" i="1"/>
  <c r="AE197" i="1" s="1"/>
  <c r="M197" i="1" s="1"/>
  <c r="V43" i="1"/>
  <c r="S43" i="1"/>
  <c r="Y36" i="1"/>
  <c r="Y37" i="1"/>
  <c r="V36" i="1"/>
  <c r="V37" i="1"/>
  <c r="S36" i="1"/>
  <c r="S37" i="1"/>
  <c r="Y40" i="1"/>
  <c r="Y41" i="1"/>
  <c r="AB40" i="1"/>
  <c r="AB41" i="1"/>
  <c r="V40" i="1"/>
  <c r="V41" i="1"/>
  <c r="S40" i="1"/>
  <c r="S41" i="1"/>
  <c r="AB31" i="1"/>
  <c r="AB26" i="1"/>
  <c r="Y26" i="1"/>
  <c r="V26" i="1"/>
  <c r="S26" i="1"/>
  <c r="AB65" i="1"/>
  <c r="AB21" i="1"/>
  <c r="AB22" i="1"/>
  <c r="AB20" i="1"/>
  <c r="Y65" i="1"/>
  <c r="V65" i="1"/>
  <c r="V21" i="1"/>
  <c r="AE21" i="1" s="1"/>
  <c r="S65" i="1"/>
  <c r="AG22" i="1"/>
  <c r="AB17" i="1"/>
  <c r="AB18" i="1"/>
  <c r="AB16" i="1"/>
  <c r="Y17" i="1"/>
  <c r="Y18" i="1"/>
  <c r="V17" i="1"/>
  <c r="V18" i="1"/>
  <c r="S17" i="1"/>
  <c r="S18" i="1"/>
  <c r="S7" i="1"/>
  <c r="V7" i="1"/>
  <c r="V8" i="1"/>
  <c r="Y7" i="1"/>
  <c r="Y8" i="1"/>
  <c r="AB6" i="1"/>
  <c r="AB7" i="1"/>
  <c r="AB8" i="1"/>
  <c r="AB5" i="1"/>
  <c r="S212"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80" i="1"/>
  <c r="AB282"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80" i="1"/>
  <c r="Y282" i="1"/>
  <c r="Y211" i="1"/>
  <c r="Y212" i="1"/>
  <c r="Y213" i="1"/>
  <c r="Y214" i="1"/>
  <c r="Y215" i="1"/>
  <c r="Y216" i="1"/>
  <c r="Y217" i="1"/>
  <c r="Y218" i="1"/>
  <c r="Y219" i="1"/>
  <c r="Y220" i="1"/>
  <c r="Y221" i="1"/>
  <c r="Y222" i="1"/>
  <c r="Y223" i="1"/>
  <c r="Y224" i="1"/>
  <c r="Y225" i="1"/>
  <c r="Y226" i="1"/>
  <c r="Y210" i="1"/>
  <c r="Y209" i="1"/>
  <c r="V209" i="1"/>
  <c r="V403" i="1" s="1"/>
  <c r="S211" i="1"/>
  <c r="S213" i="1"/>
  <c r="S214" i="1"/>
  <c r="S215" i="1"/>
  <c r="S217" i="1"/>
  <c r="S218" i="1"/>
  <c r="S219" i="1"/>
  <c r="S220" i="1"/>
  <c r="S221" i="1"/>
  <c r="S222" i="1"/>
  <c r="S223" i="1"/>
  <c r="S224" i="1"/>
  <c r="S225" i="1"/>
  <c r="S226" i="1"/>
  <c r="S227"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8" i="1"/>
  <c r="S282" i="1"/>
  <c r="S210" i="1"/>
  <c r="S209" i="1"/>
  <c r="Y143" i="1"/>
  <c r="S143" i="1"/>
  <c r="Y154" i="1"/>
  <c r="S154" i="1"/>
  <c r="Y175" i="1"/>
  <c r="S175" i="1"/>
  <c r="AB39" i="1"/>
  <c r="Y39" i="1"/>
  <c r="V39" i="1"/>
  <c r="S39" i="1"/>
  <c r="Y151" i="1"/>
  <c r="S151" i="1"/>
  <c r="Y140" i="1"/>
  <c r="S140" i="1"/>
  <c r="Y128" i="1"/>
  <c r="Y116" i="1"/>
  <c r="S116" i="1"/>
  <c r="Y120" i="1"/>
  <c r="Y105" i="1"/>
  <c r="S105" i="1"/>
  <c r="Y109" i="1"/>
  <c r="S109" i="1"/>
  <c r="Y91" i="1"/>
  <c r="S91" i="1"/>
  <c r="Y100" i="1"/>
  <c r="S100" i="1"/>
  <c r="Y89" i="1"/>
  <c r="S89" i="1"/>
  <c r="S73" i="1"/>
  <c r="Y50" i="1"/>
  <c r="S50" i="1"/>
  <c r="Y33" i="1"/>
  <c r="V33" i="1"/>
  <c r="S33" i="1"/>
  <c r="Y20" i="1"/>
  <c r="V20" i="1"/>
  <c r="S20" i="1"/>
  <c r="Y16" i="1"/>
  <c r="V16" i="1"/>
  <c r="S16" i="1"/>
  <c r="Y6" i="1"/>
  <c r="V6" i="1"/>
  <c r="S6" i="1"/>
  <c r="Y5" i="1"/>
  <c r="V5" i="1"/>
  <c r="S5" i="1"/>
  <c r="AE62" i="1" l="1"/>
  <c r="AE31" i="1"/>
  <c r="AE168" i="1"/>
  <c r="S403" i="1"/>
  <c r="Y403" i="1"/>
  <c r="AB403" i="1"/>
  <c r="AG80" i="1"/>
  <c r="AG79" i="1"/>
  <c r="AG153" i="1"/>
  <c r="AE136" i="1"/>
  <c r="AE26" i="1"/>
  <c r="AG46" i="1"/>
  <c r="M38" i="1"/>
  <c r="AG95" i="1"/>
  <c r="M90" i="1"/>
  <c r="M45" i="1"/>
  <c r="M21" i="1"/>
  <c r="M78" i="1"/>
  <c r="M122" i="1"/>
  <c r="M80" i="1"/>
  <c r="AG121" i="1"/>
  <c r="M121" i="1"/>
  <c r="M95" i="1"/>
  <c r="M46" i="1"/>
  <c r="M79" i="1"/>
  <c r="M43" i="1"/>
  <c r="M153" i="1"/>
  <c r="AG90" i="1"/>
  <c r="AG45" i="1"/>
  <c r="AG122" i="1"/>
  <c r="AE135" i="1"/>
  <c r="AG110" i="1"/>
  <c r="AG92" i="1"/>
  <c r="AG111" i="1"/>
  <c r="AG78" i="1"/>
  <c r="M111" i="1"/>
  <c r="AG21" i="1"/>
  <c r="M92" i="1"/>
  <c r="AG155" i="1"/>
  <c r="AE280" i="1"/>
  <c r="AE33" i="1"/>
  <c r="AE20" i="1"/>
  <c r="AE84" i="1"/>
  <c r="AE185" i="1"/>
  <c r="AE65" i="1"/>
  <c r="AE210" i="1"/>
  <c r="AE6" i="1"/>
  <c r="AE276" i="1"/>
  <c r="AE272" i="1"/>
  <c r="AE268" i="1"/>
  <c r="AE264" i="1"/>
  <c r="AE260" i="1"/>
  <c r="AE255" i="1"/>
  <c r="AE251" i="1"/>
  <c r="AE247" i="1"/>
  <c r="AE243" i="1"/>
  <c r="AE239" i="1"/>
  <c r="AE235" i="1"/>
  <c r="AE231" i="1"/>
  <c r="AE227" i="1"/>
  <c r="AE223" i="1"/>
  <c r="AE219" i="1"/>
  <c r="AE215" i="1"/>
  <c r="AE191" i="1"/>
  <c r="AE187" i="1"/>
  <c r="AE141" i="1"/>
  <c r="AE5" i="1"/>
  <c r="AE275" i="1"/>
  <c r="AE271" i="1"/>
  <c r="AE267" i="1"/>
  <c r="AE263" i="1"/>
  <c r="AE259" i="1"/>
  <c r="AE258" i="1"/>
  <c r="AE254" i="1"/>
  <c r="AE250" i="1"/>
  <c r="AE246" i="1"/>
  <c r="AE242" i="1"/>
  <c r="AE238" i="1"/>
  <c r="AE234" i="1"/>
  <c r="AE230" i="1"/>
  <c r="AE226" i="1"/>
  <c r="AE222" i="1"/>
  <c r="AE218" i="1"/>
  <c r="AE214" i="1"/>
  <c r="AE224" i="1"/>
  <c r="AE220" i="1"/>
  <c r="AE128" i="1"/>
  <c r="AE77" i="1"/>
  <c r="AE88" i="1"/>
  <c r="AG197" i="1"/>
  <c r="AE44" i="1"/>
  <c r="AE189" i="1"/>
  <c r="AE184" i="1"/>
  <c r="AE169" i="1"/>
  <c r="AE139" i="1"/>
  <c r="AE166" i="1"/>
  <c r="AE160" i="1"/>
  <c r="AE190" i="1"/>
  <c r="AE181" i="1"/>
  <c r="AE176" i="1"/>
  <c r="AE173" i="1"/>
  <c r="M173" i="1" s="1"/>
  <c r="AE162" i="1"/>
  <c r="AE51" i="1"/>
  <c r="AE69" i="1"/>
  <c r="AE91" i="1"/>
  <c r="AE83" i="1"/>
  <c r="AE89" i="1"/>
  <c r="AE76" i="1"/>
  <c r="AE101" i="1"/>
  <c r="AE73" i="1"/>
  <c r="AE216" i="1"/>
  <c r="AE61" i="1"/>
  <c r="AE50" i="1"/>
  <c r="AE245" i="1"/>
  <c r="AE241" i="1"/>
  <c r="AE233" i="1"/>
  <c r="AE229" i="1"/>
  <c r="AE68" i="1"/>
  <c r="AE198" i="1"/>
  <c r="AE151" i="1"/>
  <c r="AE140" i="1"/>
  <c r="AE175" i="1"/>
  <c r="AE143" i="1"/>
  <c r="AE211" i="1"/>
  <c r="AE7" i="1"/>
  <c r="AE17" i="1"/>
  <c r="AG17" i="1" s="1"/>
  <c r="AE277" i="1"/>
  <c r="AE273" i="1"/>
  <c r="AE269" i="1"/>
  <c r="AE265" i="1"/>
  <c r="AE261" i="1"/>
  <c r="AE256" i="1"/>
  <c r="AE252" i="1"/>
  <c r="AE248" i="1"/>
  <c r="AE244" i="1"/>
  <c r="AE240" i="1"/>
  <c r="AE236" i="1"/>
  <c r="AE232" i="1"/>
  <c r="AE228" i="1"/>
  <c r="AE105" i="1"/>
  <c r="AE116" i="1"/>
  <c r="AE212" i="1"/>
  <c r="AE109" i="1"/>
  <c r="AE282" i="1"/>
  <c r="AE278" i="1"/>
  <c r="AE274" i="1"/>
  <c r="AE270" i="1"/>
  <c r="AE266" i="1"/>
  <c r="AE262" i="1"/>
  <c r="AE257" i="1"/>
  <c r="AE253" i="1"/>
  <c r="AE249" i="1"/>
  <c r="AE237" i="1"/>
  <c r="AE225" i="1"/>
  <c r="AE221" i="1"/>
  <c r="AE217" i="1"/>
  <c r="AE213" i="1"/>
  <c r="AE209" i="1"/>
  <c r="AE192" i="1"/>
  <c r="AE154" i="1"/>
  <c r="AE152" i="1"/>
  <c r="AE145" i="1"/>
  <c r="AE120" i="1"/>
  <c r="AE100" i="1"/>
  <c r="AE37" i="1"/>
  <c r="AE40" i="1"/>
  <c r="AG40" i="1" s="1"/>
  <c r="AE36" i="1"/>
  <c r="AE18" i="1"/>
  <c r="AE41" i="1"/>
  <c r="AE8" i="1"/>
  <c r="AE16" i="1"/>
  <c r="AE39" i="1"/>
  <c r="AG37" i="1" l="1"/>
  <c r="AG31" i="1"/>
  <c r="M31" i="1"/>
  <c r="AG181" i="1"/>
  <c r="M132" i="1"/>
  <c r="M168" i="1"/>
  <c r="AG154" i="1"/>
  <c r="AG132" i="1"/>
  <c r="M26" i="1"/>
  <c r="AG184" i="1"/>
  <c r="AG41" i="1"/>
  <c r="AG26" i="1"/>
  <c r="M160" i="1"/>
  <c r="M36" i="1"/>
  <c r="AG18" i="1"/>
  <c r="M166" i="1"/>
  <c r="M191" i="1"/>
  <c r="M130" i="1"/>
  <c r="M44" i="1"/>
  <c r="M84" i="1"/>
  <c r="M135" i="1"/>
  <c r="M62" i="1"/>
  <c r="M152" i="1"/>
  <c r="M61" i="1"/>
  <c r="M76" i="1"/>
  <c r="M83" i="1"/>
  <c r="M181" i="1"/>
  <c r="M77" i="1"/>
  <c r="M8" i="1"/>
  <c r="M192" i="1"/>
  <c r="M190" i="1"/>
  <c r="M141" i="1"/>
  <c r="AG198" i="1"/>
  <c r="M198" i="1"/>
  <c r="AG69" i="1"/>
  <c r="M69" i="1"/>
  <c r="AG139" i="1"/>
  <c r="M139" i="1"/>
  <c r="AG187" i="1"/>
  <c r="M187" i="1"/>
  <c r="M40" i="1"/>
  <c r="AG101" i="1"/>
  <c r="M101" i="1"/>
  <c r="M184" i="1"/>
  <c r="M41" i="1"/>
  <c r="M17" i="1"/>
  <c r="AG189" i="1"/>
  <c r="M189" i="1"/>
  <c r="AG185" i="1"/>
  <c r="M185" i="1"/>
  <c r="AG136" i="1"/>
  <c r="M136" i="1"/>
  <c r="AG145" i="1"/>
  <c r="M145" i="1"/>
  <c r="AG68" i="1"/>
  <c r="AG162" i="1"/>
  <c r="M162" i="1"/>
  <c r="AG176" i="1"/>
  <c r="M176" i="1"/>
  <c r="AG88" i="1"/>
  <c r="M88" i="1"/>
  <c r="M25" i="1"/>
  <c r="M37" i="1"/>
  <c r="M18" i="1"/>
  <c r="AG62" i="1"/>
  <c r="AG141" i="1"/>
  <c r="AG130" i="1"/>
  <c r="AG84" i="1"/>
  <c r="AG169" i="1"/>
  <c r="M169" i="1"/>
  <c r="AG152" i="1"/>
  <c r="AG8" i="1"/>
  <c r="AG213" i="1"/>
  <c r="M237" i="1"/>
  <c r="AG257" i="1"/>
  <c r="AG270" i="1"/>
  <c r="AG212" i="1"/>
  <c r="AG240" i="1"/>
  <c r="AG256" i="1"/>
  <c r="AG269" i="1"/>
  <c r="AG233" i="1"/>
  <c r="AG190" i="1"/>
  <c r="AG224" i="1"/>
  <c r="AG226" i="1"/>
  <c r="M242" i="1"/>
  <c r="AG258" i="1"/>
  <c r="AG271" i="1"/>
  <c r="AG191" i="1"/>
  <c r="AG215" i="1"/>
  <c r="AG231" i="1"/>
  <c r="AG247" i="1"/>
  <c r="AG260" i="1"/>
  <c r="AG276" i="1"/>
  <c r="M39" i="1"/>
  <c r="AG217" i="1"/>
  <c r="AG274" i="1"/>
  <c r="AG228" i="1"/>
  <c r="M244" i="1"/>
  <c r="AG273" i="1"/>
  <c r="AG241" i="1"/>
  <c r="AG50" i="1"/>
  <c r="AG214" i="1"/>
  <c r="AG230" i="1"/>
  <c r="AG246" i="1"/>
  <c r="AG259" i="1"/>
  <c r="AG275" i="1"/>
  <c r="AG219" i="1"/>
  <c r="AG235" i="1"/>
  <c r="AG251" i="1"/>
  <c r="AG264" i="1"/>
  <c r="AG6" i="1"/>
  <c r="AG65" i="1"/>
  <c r="AG280" i="1"/>
  <c r="AG192" i="1"/>
  <c r="AG221" i="1"/>
  <c r="AG249" i="1"/>
  <c r="M262" i="1"/>
  <c r="AG232" i="1"/>
  <c r="M248" i="1"/>
  <c r="AG261" i="1"/>
  <c r="AG277" i="1"/>
  <c r="AG7" i="1"/>
  <c r="AG211" i="1"/>
  <c r="AG245" i="1"/>
  <c r="AG128" i="1"/>
  <c r="AG218" i="1"/>
  <c r="AG234" i="1"/>
  <c r="AG250" i="1"/>
  <c r="AG263" i="1"/>
  <c r="AG223" i="1"/>
  <c r="AG239" i="1"/>
  <c r="AG255" i="1"/>
  <c r="AG268" i="1"/>
  <c r="AG210" i="1"/>
  <c r="AG225" i="1"/>
  <c r="M253" i="1"/>
  <c r="AG266" i="1"/>
  <c r="AG282" i="1"/>
  <c r="AG236" i="1"/>
  <c r="AG252" i="1"/>
  <c r="AG265" i="1"/>
  <c r="AG229" i="1"/>
  <c r="AG216" i="1"/>
  <c r="AG77" i="1"/>
  <c r="AG220" i="1"/>
  <c r="AG222" i="1"/>
  <c r="AG238" i="1"/>
  <c r="AG254" i="1"/>
  <c r="AG267" i="1"/>
  <c r="AG227" i="1"/>
  <c r="AG243" i="1"/>
  <c r="AG272" i="1"/>
  <c r="AG209" i="1"/>
  <c r="M65" i="1"/>
  <c r="M7" i="1"/>
  <c r="M155" i="1"/>
  <c r="M284" i="1"/>
  <c r="AG51" i="1"/>
  <c r="M51" i="1"/>
  <c r="M235" i="1"/>
  <c r="M261" i="1"/>
  <c r="M230" i="1"/>
  <c r="M219" i="1"/>
  <c r="M214" i="1"/>
  <c r="M277" i="1"/>
  <c r="M266" i="1"/>
  <c r="M251" i="1"/>
  <c r="M236" i="1"/>
  <c r="M221" i="1"/>
  <c r="M264" i="1"/>
  <c r="M220" i="1"/>
  <c r="AG278" i="1"/>
  <c r="M224" i="1"/>
  <c r="M240" i="1"/>
  <c r="M252" i="1"/>
  <c r="M265" i="1"/>
  <c r="M225" i="1"/>
  <c r="M241" i="1"/>
  <c r="M257" i="1"/>
  <c r="M270" i="1"/>
  <c r="M282" i="1"/>
  <c r="M223" i="1"/>
  <c r="M239" i="1"/>
  <c r="M255" i="1"/>
  <c r="M268" i="1"/>
  <c r="M218" i="1"/>
  <c r="M234" i="1"/>
  <c r="M246" i="1"/>
  <c r="M258" i="1"/>
  <c r="M271" i="1"/>
  <c r="M209" i="1"/>
  <c r="M211" i="1"/>
  <c r="M228" i="1"/>
  <c r="M256" i="1"/>
  <c r="M269" i="1"/>
  <c r="M213" i="1"/>
  <c r="M229" i="1"/>
  <c r="M245" i="1"/>
  <c r="M274" i="1"/>
  <c r="M210" i="1"/>
  <c r="M227" i="1"/>
  <c r="M243" i="1"/>
  <c r="M272" i="1"/>
  <c r="M222" i="1"/>
  <c r="M238" i="1"/>
  <c r="M250" i="1"/>
  <c r="M259" i="1"/>
  <c r="M275" i="1"/>
  <c r="M212" i="1"/>
  <c r="M267" i="1"/>
  <c r="M216" i="1"/>
  <c r="M232" i="1"/>
  <c r="M273" i="1"/>
  <c r="M217" i="1"/>
  <c r="M233" i="1"/>
  <c r="M249" i="1"/>
  <c r="M278" i="1"/>
  <c r="M215" i="1"/>
  <c r="M231" i="1"/>
  <c r="M247" i="1"/>
  <c r="M260" i="1"/>
  <c r="M276" i="1"/>
  <c r="M226" i="1"/>
  <c r="M254" i="1"/>
  <c r="M263" i="1"/>
  <c r="M280" i="1"/>
  <c r="AG91" i="1"/>
  <c r="AG89" i="1"/>
  <c r="AG44" i="1"/>
  <c r="AG242" i="1"/>
  <c r="AG135" i="1"/>
  <c r="AG140" i="1"/>
  <c r="AG166" i="1"/>
  <c r="AG120" i="1"/>
  <c r="AG109" i="1"/>
  <c r="AG116" i="1"/>
  <c r="AG143" i="1"/>
  <c r="AG173" i="1"/>
  <c r="AG168" i="1"/>
  <c r="AG105" i="1"/>
  <c r="AG175" i="1"/>
  <c r="AG151" i="1"/>
  <c r="AG160" i="1"/>
  <c r="M120" i="1"/>
  <c r="AG83" i="1"/>
  <c r="AG76" i="1"/>
  <c r="AG100" i="1"/>
  <c r="AG73" i="1"/>
  <c r="AG61" i="1"/>
  <c r="AG36" i="1"/>
  <c r="AG248" i="1"/>
  <c r="AG16" i="1"/>
  <c r="AG244" i="1"/>
  <c r="M109" i="1"/>
  <c r="M154" i="1"/>
  <c r="AG262" i="1"/>
  <c r="AG253" i="1"/>
  <c r="AG237" i="1"/>
  <c r="M20" i="1"/>
  <c r="AG33" i="1"/>
  <c r="M5" i="1"/>
  <c r="AG39" i="1"/>
  <c r="M50" i="1"/>
  <c r="M128" i="1"/>
  <c r="M110" i="1"/>
  <c r="AG20" i="1"/>
  <c r="M91" i="1"/>
  <c r="M175" i="1"/>
  <c r="M140" i="1"/>
  <c r="M116" i="1"/>
  <c r="M33" i="1"/>
  <c r="M151" i="1"/>
  <c r="M105" i="1"/>
  <c r="M89" i="1"/>
  <c r="M100" i="1"/>
  <c r="AG5" i="1"/>
  <c r="M73" i="1"/>
  <c r="M6" i="1"/>
  <c r="M16" i="1"/>
  <c r="M143" i="1"/>
  <c r="AG403" i="1" l="1"/>
  <c r="AB107" i="1" l="1"/>
  <c r="AE107" i="1" l="1"/>
  <c r="M107" i="1" l="1"/>
  <c r="AG107" i="1"/>
</calcChain>
</file>

<file path=xl/sharedStrings.xml><?xml version="1.0" encoding="utf-8"?>
<sst xmlns="http://schemas.openxmlformats.org/spreadsheetml/2006/main" count="5644" uniqueCount="1992">
  <si>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</si>
  <si>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</si>
  <si>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</si>
  <si>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</si>
  <si>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</si>
  <si>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</si>
  <si>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</si>
  <si>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</si>
  <si>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</si>
  <si>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</si>
  <si>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</si>
  <si>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</si>
  <si>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</si>
  <si>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</si>
  <si>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</si>
  <si>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</si>
  <si>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</si>
  <si>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</si>
  <si>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</si>
  <si>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</si>
  <si>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</si>
  <si>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</si>
  <si>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</si>
  <si>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</si>
  <si>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</si>
  <si>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</si>
  <si>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</si>
  <si>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</si>
  <si>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</si>
  <si>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</si>
  <si>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</si>
  <si>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</si>
  <si>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</si>
  <si>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</si>
  <si>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</si>
  <si>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</si>
  <si>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</si>
  <si>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</si>
  <si>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</si>
  <si>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</si>
  <si>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</si>
  <si>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</si>
  <si>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</si>
  <si>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</si>
  <si>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</si>
  <si>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</si>
  <si>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</si>
  <si>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</si>
  <si>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</si>
  <si>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</si>
  <si>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</si>
  <si>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</si>
  <si>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</si>
  <si>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</si>
  <si>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</si>
  <si>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</si>
  <si>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</si>
  <si>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</si>
  <si>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</si>
  <si>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</si>
  <si>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</si>
  <si>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</si>
  <si>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</si>
  <si>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</si>
  <si>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</si>
  <si>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</si>
  <si>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</si>
  <si>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</si>
  <si>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</si>
  <si>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</si>
  <si>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</si>
  <si>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</si>
  <si>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</si>
  <si>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</si>
  <si>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</si>
  <si>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</si>
  <si>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</si>
  <si>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</si>
  <si>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</si>
  <si>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</si>
  <si>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</si>
  <si>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</si>
  <si>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</si>
  <si>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</si>
  <si>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</si>
  <si>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</si>
  <si>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</si>
  <si>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</si>
  <si>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</si>
  <si>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</si>
  <si>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</si>
  <si>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</si>
  <si>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</si>
  <si>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</si>
  <si>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</si>
  <si>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</si>
  <si>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</si>
  <si>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</si>
  <si>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</si>
  <si>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</si>
  <si>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</si>
  <si>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</si>
  <si>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</si>
  <si>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</si>
  <si>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</si>
  <si>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</si>
  <si>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</si>
  <si>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</si>
  <si>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</si>
  <si>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</si>
  <si>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</si>
  <si>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</si>
  <si>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</si>
  <si>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</si>
  <si>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</si>
  <si>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</si>
  <si>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</si>
  <si>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</si>
  <si>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</si>
  <si>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</si>
  <si>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</si>
  <si>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</si>
  <si>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</si>
  <si>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</si>
  <si>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</si>
  <si>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</si>
  <si>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</si>
  <si>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</si>
  <si>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</si>
  <si>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</si>
  <si>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</si>
  <si>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</si>
  <si>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</si>
  <si>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</si>
  <si>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</si>
  <si>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</si>
  <si>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</si>
  <si>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</si>
  <si>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</si>
  <si>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</si>
  <si>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</si>
  <si>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</si>
  <si>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</si>
  <si>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</si>
  <si>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</si>
  <si>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</si>
  <si>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</si>
  <si>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</si>
  <si>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</si>
  <si>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</si>
  <si>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</si>
  <si>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</si>
  <si>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</si>
  <si>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</si>
  <si>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</si>
  <si>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</si>
  <si>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</si>
  <si>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</si>
  <si>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</si>
  <si>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Cod SIPOCA</t>
  </si>
  <si>
    <t>OFP</t>
  </si>
  <si>
    <t>AP3/  /3.1</t>
  </si>
  <si>
    <t>AP3/  /3.2</t>
  </si>
  <si>
    <t>MP</t>
  </si>
  <si>
    <t>Cod apel</t>
  </si>
  <si>
    <t>AP1/11i /1.1</t>
  </si>
  <si>
    <t>AP1/11i /1.4</t>
  </si>
  <si>
    <t>AP 2/11i  /2.2</t>
  </si>
  <si>
    <t>DV</t>
  </si>
  <si>
    <t xml:space="preserve">AP1/11i /1.3 </t>
  </si>
  <si>
    <t>CA</t>
  </si>
  <si>
    <t>GD</t>
  </si>
  <si>
    <t>RG</t>
  </si>
  <si>
    <t>RB</t>
  </si>
  <si>
    <t>AI</t>
  </si>
  <si>
    <t>OD</t>
  </si>
  <si>
    <t>MN</t>
  </si>
  <si>
    <t>MM</t>
  </si>
  <si>
    <t xml:space="preserve">AP1/11i /1.2 </t>
  </si>
  <si>
    <t>**</t>
  </si>
  <si>
    <t>***</t>
  </si>
  <si>
    <t>IP2/2015</t>
  </si>
  <si>
    <t>IP5/2016</t>
  </si>
  <si>
    <t>regiune mai dezvoltată</t>
  </si>
  <si>
    <t>regiune mai puțin dezvoltată</t>
  </si>
  <si>
    <t>n.a</t>
  </si>
  <si>
    <t>AA5/ 27.11.2017</t>
  </si>
  <si>
    <t>AA3/ 12.10.2017</t>
  </si>
  <si>
    <t>AA6/ 21.11.2017</t>
  </si>
  <si>
    <t>AA2 / 17.10.2017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</si>
  <si>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</si>
  <si>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</si>
  <si>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</si>
  <si>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</si>
  <si>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</si>
  <si>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</si>
  <si>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</si>
  <si>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</si>
  <si>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</si>
  <si>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</si>
  <si>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</si>
  <si>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</si>
  <si>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</si>
  <si>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</si>
  <si>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</si>
  <si>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</si>
  <si>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</si>
  <si>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</si>
  <si>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</si>
  <si>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</si>
  <si>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</si>
  <si>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</si>
  <si>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</si>
  <si>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</si>
  <si>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</si>
  <si>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</si>
  <si>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</si>
  <si>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</si>
  <si>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</si>
  <si>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</si>
  <si>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</si>
  <si>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</si>
  <si>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</si>
  <si>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</si>
  <si>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</si>
  <si>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</si>
  <si>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</si>
  <si>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</si>
  <si>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</si>
  <si>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 xml:space="preserve">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</si>
  <si>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</si>
  <si>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</si>
  <si>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</si>
  <si>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</si>
  <si>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</si>
  <si>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</si>
  <si>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</si>
  <si>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</si>
  <si>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</si>
  <si>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</si>
  <si>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</si>
  <si>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</si>
  <si>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</si>
  <si>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</si>
  <si>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</si>
  <si>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</si>
  <si>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</si>
  <si>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</si>
  <si>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</si>
  <si>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</si>
  <si>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</si>
  <si>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</si>
  <si>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</si>
  <si>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</si>
  <si>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</si>
  <si>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</si>
  <si>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</si>
  <si>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</si>
  <si>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</si>
  <si>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</si>
  <si>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</si>
  <si>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</si>
  <si>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</si>
  <si>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</si>
  <si>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</si>
  <si>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</si>
  <si>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</si>
  <si>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</si>
  <si>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</si>
  <si>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</si>
  <si>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</si>
  <si>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</si>
  <si>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</si>
  <si>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</si>
  <si>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</si>
  <si>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</si>
  <si>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</si>
  <si>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</si>
  <si>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</si>
  <si>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</si>
  <si>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</si>
  <si>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</si>
  <si>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</si>
  <si>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</si>
  <si>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</si>
  <si>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</si>
  <si>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</si>
  <si>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</si>
  <si>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</si>
  <si>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</si>
  <si>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</si>
  <si>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</si>
  <si>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</si>
  <si>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</si>
  <si>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</si>
  <si>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</si>
  <si>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</si>
  <si>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</si>
  <si>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</si>
  <si>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</si>
  <si>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</si>
  <si>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</si>
  <si>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</si>
  <si>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</si>
  <si>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</si>
  <si>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</si>
  <si>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</si>
  <si>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</si>
  <si>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</si>
  <si>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</si>
  <si>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</si>
  <si>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</si>
  <si>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</si>
  <si>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</si>
  <si>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</si>
  <si>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</si>
  <si>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</si>
  <si>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</si>
  <si>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</si>
  <si>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</si>
  <si>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</si>
  <si>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</si>
  <si>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</si>
  <si>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</si>
  <si>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</si>
  <si>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</si>
  <si>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</si>
  <si>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</si>
  <si>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 xml:space="preserve">Ministerul Dezvoltării Regionale și Administrației Publice </t>
  </si>
  <si>
    <t xml:space="preserve">Ministerul Dezvoltării Regionale și Administrației Publice  - Direcția Integritate, Bună Guvernare și Politici Publice </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</si>
  <si>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</si>
  <si>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</si>
  <si>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</si>
  <si>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</si>
  <si>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</si>
  <si>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</si>
  <si>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</si>
  <si>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</si>
  <si>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</si>
  <si>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</si>
  <si>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</si>
  <si>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</si>
  <si>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</si>
  <si>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</si>
  <si>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</si>
  <si>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</si>
  <si>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</si>
  <si>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</si>
  <si>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</si>
  <si>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</si>
  <si>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</si>
  <si>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r>
      <t>“Calitate, eficiență și performanță a managementului la nivelul UAT Municipiul Zalău (CEP UAT Zalău)</t>
    </r>
    <r>
      <rPr>
        <i/>
        <sz val="11"/>
        <color theme="1"/>
        <rFont val="Trebuchet MS"/>
        <family val="2"/>
      </rPr>
      <t>”</t>
    </r>
  </si>
  <si>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</si>
  <si>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</si>
  <si>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</si>
  <si>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</si>
  <si>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</si>
  <si>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</si>
  <si>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</si>
  <si>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</si>
  <si>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</si>
  <si>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</si>
  <si>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r>
      <t>FEDERA</t>
    </r>
    <r>
      <rPr>
        <b/>
        <sz val="11"/>
        <color theme="1"/>
        <rFont val="Calibri"/>
        <family val="1"/>
        <charset val="1"/>
      </rPr>
      <t>Ţ</t>
    </r>
    <r>
      <rPr>
        <b/>
        <sz val="11"/>
        <color theme="1"/>
        <rFont val="Calibri"/>
        <family val="2"/>
        <charset val="1"/>
      </rPr>
      <t>IA NA</t>
    </r>
    <r>
      <rPr>
        <b/>
        <sz val="11"/>
        <color theme="1"/>
        <rFont val="Calibri"/>
        <family val="1"/>
        <charset val="1"/>
      </rPr>
      <t>Ţ</t>
    </r>
    <r>
      <rPr>
        <b/>
        <sz val="11"/>
        <color theme="1"/>
        <rFont val="Calibri"/>
        <family val="2"/>
        <charset val="1"/>
      </rPr>
      <t xml:space="preserve">IONALĂ A SINDICATELOR MUNCII </t>
    </r>
    <r>
      <rPr>
        <b/>
        <sz val="11"/>
        <color theme="1"/>
        <rFont val="Calibri"/>
        <family val="1"/>
        <charset val="1"/>
      </rPr>
      <t>Ș</t>
    </r>
    <r>
      <rPr>
        <b/>
        <sz val="11"/>
        <color theme="1"/>
        <rFont val="Calibri"/>
        <family val="2"/>
        <charset val="1"/>
      </rPr>
      <t>I PROTEC</t>
    </r>
    <r>
      <rPr>
        <b/>
        <sz val="11"/>
        <color theme="1"/>
        <rFont val="Calibri"/>
        <family val="1"/>
        <charset val="1"/>
      </rPr>
      <t>Ţ</t>
    </r>
    <r>
      <rPr>
        <b/>
        <sz val="11"/>
        <color theme="1"/>
        <rFont val="Calibri"/>
        <family val="2"/>
        <charset val="1"/>
      </rPr>
      <t>IEI SOCIALE</t>
    </r>
  </si>
  <si>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</si>
  <si>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</si>
  <si>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</si>
  <si>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</si>
  <si>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</si>
  <si>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</si>
  <si>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</si>
  <si>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</si>
  <si>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</si>
  <si>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</si>
  <si>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</si>
  <si>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</si>
  <si>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</si>
  <si>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</si>
  <si>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</si>
  <si>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</si>
  <si>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</si>
  <si>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</si>
  <si>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</si>
  <si>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</si>
  <si>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</si>
  <si>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</si>
  <si>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</si>
  <si>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</si>
  <si>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</si>
  <si>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</si>
  <si>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</si>
  <si>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</si>
  <si>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</si>
  <si>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</si>
  <si>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</si>
  <si>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</si>
  <si>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</si>
  <si>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2. Dezvoltarea si promovarea a unui mecanism de monitorizare si a 2 politici publice alternative în domeniul educației.</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</si>
  <si>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</si>
  <si>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</si>
  <si>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</si>
  <si>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</si>
  <si>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</si>
  <si>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r>
      <t xml:space="preserve">MINISITERUL DEZVOLTĂRII REGIONALE, ADMINISTRAȚIEI PUBLICE ȘI FONDURILOR EUROPENE
</t>
    </r>
    <r>
      <rPr>
        <sz val="11"/>
        <color theme="1"/>
        <rFont val="Calibri"/>
        <family val="2"/>
        <charset val="238"/>
        <scheme val="minor"/>
      </rPr>
      <t>Direcția Generală Administrație Publică, Direcția pentru Strategii și Reforme în Administrația Publică</t>
    </r>
  </si>
  <si>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</si>
  <si>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</si>
  <si>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</si>
  <si>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</si>
  <si>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</si>
  <si>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</si>
  <si>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</si>
  <si>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</si>
  <si>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</si>
  <si>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</si>
  <si>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</si>
  <si>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</si>
  <si>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</si>
  <si>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</si>
  <si>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</si>
  <si>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</si>
  <si>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</si>
  <si>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</si>
  <si>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</si>
  <si>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</si>
  <si>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</si>
  <si>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</si>
  <si>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</si>
  <si>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</si>
  <si>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</si>
  <si>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</si>
  <si>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</si>
  <si>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</si>
  <si>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</si>
  <si>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</si>
  <si>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</si>
  <si>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</si>
  <si>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TOTAL - ACOPERIRE NAȚIONALĂ</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</si>
  <si>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</si>
  <si>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</si>
  <si>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</si>
  <si>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</si>
  <si>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</si>
  <si>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</si>
  <si>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</si>
  <si>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</si>
  <si>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</si>
  <si>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</si>
  <si>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</si>
  <si>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</si>
  <si>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</si>
  <si>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</si>
  <si>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</si>
  <si>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</si>
  <si>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</si>
  <si>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</si>
  <si>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r>
      <t xml:space="preserve">MINISITERUL DEZVOLTĂRII REGIONALE, ADMINISTRAȚIEI PUBLICE ȘI FONDURILOR EUROPENE
</t>
    </r>
    <r>
      <rPr>
        <sz val="12"/>
        <rFont val="Calibri"/>
        <family val="2"/>
        <charset val="238"/>
        <scheme val="minor"/>
      </rPr>
      <t>Direcția generală dezvoltare regională și infrastructură</t>
    </r>
  </si>
  <si>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</si>
  <si>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</si>
  <si>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</si>
  <si>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</si>
  <si>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</si>
  <si>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Ministerul Comunicațiilor și Societații Informaționale</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</si>
  <si>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</si>
  <si>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</si>
  <si>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</si>
  <si>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</si>
  <si>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</si>
  <si>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</si>
  <si>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</si>
  <si>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</si>
  <si>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</si>
  <si>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</si>
  <si>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</si>
  <si>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</si>
  <si>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</si>
  <si>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</si>
  <si>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</si>
  <si>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</si>
  <si>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</si>
  <si>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</si>
  <si>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</si>
  <si>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</si>
  <si>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</si>
  <si>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</si>
  <si>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</si>
  <si>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</si>
  <si>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</si>
  <si>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</si>
  <si>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</si>
  <si>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</si>
  <si>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</si>
  <si>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</si>
  <si>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</si>
  <si>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</si>
  <si>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</si>
  <si>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</si>
  <si>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</si>
  <si>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</si>
  <si>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</si>
  <si>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</si>
  <si>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</si>
  <si>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</si>
  <si>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</si>
  <si>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Ministerul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</si>
  <si>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</si>
  <si>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</si>
  <si>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</si>
  <si>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</si>
  <si>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</si>
  <si>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</si>
  <si>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</si>
  <si>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</si>
  <si>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</si>
  <si>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</si>
  <si>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</si>
  <si>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</si>
  <si>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</si>
  <si>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</si>
  <si>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</si>
  <si>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</si>
  <si>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</si>
  <si>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</si>
  <si>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</si>
  <si>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</si>
  <si>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</si>
  <si>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</si>
  <si>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</si>
  <si>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</si>
  <si>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</si>
  <si>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</si>
  <si>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</si>
  <si>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</si>
  <si>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</si>
  <si>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</si>
  <si>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</si>
  <si>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</si>
  <si>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</si>
  <si>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</si>
  <si>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</si>
  <si>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</si>
  <si>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</si>
  <si>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</si>
  <si>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</si>
  <si>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</si>
  <si>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</si>
  <si>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</si>
  <si>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</si>
  <si>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</si>
  <si>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</si>
  <si>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</si>
  <si>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</si>
  <si>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</si>
  <si>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</si>
  <si>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</si>
  <si>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</si>
  <si>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</si>
  <si>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</si>
  <si>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</si>
  <si>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</si>
  <si>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</si>
  <si>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</si>
  <si>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</si>
  <si>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</si>
  <si>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</si>
  <si>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</si>
  <si>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</si>
  <si>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</si>
  <si>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</si>
  <si>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</si>
  <si>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</si>
  <si>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</si>
  <si>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charset val="238"/>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</si>
  <si>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t>Politici publice pentru dezvoltare durabilă</t>
  </si>
  <si>
    <t>Asociația ,,Centrul pentru Politici Publice Durabile Ecopolis”</t>
  </si>
  <si>
    <r>
      <rPr>
        <b/>
        <sz val="12"/>
        <rFont val="Calibri"/>
        <family val="2"/>
        <scheme val="minor"/>
      </rPr>
      <t xml:space="preserve">Obiectiv general  </t>
    </r>
    <r>
      <rPr>
        <sz val="12"/>
        <rFont val="Calibri"/>
        <family val="2"/>
        <charset val="238"/>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</si>
  <si>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</si>
  <si>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</si>
  <si>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</si>
  <si>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</si>
  <si>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</si>
  <si>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</si>
  <si>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</si>
  <si>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</si>
  <si>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</si>
  <si>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</si>
  <si>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</si>
  <si>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</si>
  <si>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</si>
  <si>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</si>
  <si>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</si>
  <si>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</si>
  <si>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</si>
  <si>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</si>
  <si>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</si>
  <si>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</si>
  <si>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</si>
  <si>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</si>
  <si>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</si>
  <si>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</si>
  <si>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</si>
  <si>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</si>
  <si>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</si>
  <si>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</si>
  <si>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</si>
  <si>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</si>
  <si>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</si>
  <si>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</si>
  <si>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</si>
  <si>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</si>
  <si>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</si>
  <si>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</si>
  <si>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</si>
  <si>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</si>
  <si>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</si>
  <si>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</si>
  <si>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</si>
  <si>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</si>
  <si>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</si>
  <si>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</si>
  <si>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</si>
  <si>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</si>
  <si>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</si>
  <si>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</si>
  <si>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</si>
  <si>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</si>
  <si>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</si>
  <si>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</si>
  <si>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</si>
  <si>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</si>
  <si>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</si>
  <si>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</si>
  <si>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</si>
  <si>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</si>
  <si>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</si>
  <si>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</si>
  <si>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</si>
  <si>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</si>
  <si>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</si>
  <si>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</si>
  <si>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</si>
  <si>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</si>
  <si>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</si>
  <si>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</si>
  <si>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</si>
  <si>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</si>
  <si>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</si>
  <si>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SIMCA -</t>
    </r>
    <r>
      <rPr>
        <sz val="10"/>
        <color theme="1"/>
        <rFont val="Calibri"/>
        <family val="2"/>
        <scheme val="minor"/>
      </rPr>
      <t xml:space="preserve"> </t>
    </r>
    <r>
      <rPr>
        <sz val="11"/>
        <color theme="1"/>
        <rFont val="Calibri"/>
        <family val="2"/>
        <scheme val="minor"/>
      </rPr>
      <t>Standarde și Instrumente în Implementarea Managementului Calității Administrative la nivelul Primăriei Municipiului Craiova</t>
    </r>
  </si>
  <si>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</si>
  <si>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</si>
  <si>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</si>
  <si>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</si>
  <si>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</si>
  <si>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</si>
  <si>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</si>
  <si>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</si>
  <si>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</si>
  <si>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</si>
  <si>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</si>
  <si>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</si>
  <si>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</si>
  <si>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</si>
  <si>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</si>
  <si>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</si>
  <si>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</si>
  <si>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</si>
  <si>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</si>
  <si>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</si>
  <si>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</si>
  <si>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</si>
  <si>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</si>
  <si>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</si>
  <si>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</si>
  <si>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</si>
  <si>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</si>
  <si>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</si>
  <si>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</si>
  <si>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</si>
  <si>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</si>
  <si>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</si>
  <si>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</si>
  <si>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</si>
  <si>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</si>
  <si>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</si>
  <si>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</si>
  <si>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</si>
  <si>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DJ</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</si>
  <si>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</si>
  <si>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</si>
  <si>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</si>
  <si>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</si>
  <si>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</si>
  <si>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</si>
  <si>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</si>
  <si>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</si>
  <si>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</si>
  <si>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</si>
  <si>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r>
      <rPr>
        <b/>
        <sz val="12"/>
        <rFont val="Calibri"/>
        <family val="2"/>
      </rPr>
      <t>Obiectivul general</t>
    </r>
    <r>
      <rPr>
        <sz val="12"/>
        <rFont val="Calibri"/>
        <family val="2"/>
        <charset val="238"/>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rPr>
      <t>Obiectivele specifice ale proiectului</t>
    </r>
    <r>
      <rPr>
        <sz val="12"/>
        <rFont val="Calibri"/>
        <family val="2"/>
        <charset val="238"/>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</si>
  <si>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</si>
  <si>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</si>
  <si>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</si>
  <si>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</si>
  <si>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</si>
  <si>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</si>
  <si>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</si>
  <si>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</si>
  <si>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AP 2/11i/2.2</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</si>
  <si>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</si>
  <si>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</si>
  <si>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</si>
  <si>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</si>
  <si>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</si>
  <si>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</si>
  <si>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</si>
  <si>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MINISTERUL MEDIULUI</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</si>
  <si>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</si>
  <si>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</si>
  <si>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</si>
  <si>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</si>
  <si>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</si>
  <si>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</si>
  <si>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</si>
  <si>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</si>
  <si>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</si>
  <si>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</si>
  <si>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</si>
  <si>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</si>
  <si>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</si>
  <si>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</si>
  <si>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</si>
  <si>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</si>
  <si>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</si>
  <si>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</si>
  <si>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</si>
  <si>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</si>
  <si>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</si>
  <si>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</si>
  <si>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</si>
  <si>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</si>
  <si>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</si>
  <si>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</si>
  <si>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</si>
  <si>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</si>
  <si>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</si>
  <si>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</si>
  <si>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</si>
  <si>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</si>
  <si>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</si>
  <si>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</si>
  <si>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</si>
  <si>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</si>
  <si>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</si>
  <si>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</si>
  <si>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</si>
  <si>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</si>
  <si>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</si>
  <si>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</si>
  <si>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</si>
  <si>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</si>
  <si>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</si>
  <si>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</si>
  <si>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</si>
  <si>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</si>
  <si>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</si>
  <si>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</si>
  <si>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</si>
  <si>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</si>
  <si>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</si>
  <si>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</si>
  <si>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</si>
  <si>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</si>
  <si>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</si>
  <si>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</si>
  <si>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</si>
  <si>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</si>
  <si>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</si>
  <si>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</si>
  <si>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</si>
  <si>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</si>
  <si>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</si>
  <si>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MINISTERUL CULTURII SI IDENTITATII NATIONALE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</si>
  <si>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</si>
  <si>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</si>
  <si>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Servicii de consiliere juridică pentru victime ale unor abuzuri sau nereguli din administrație și justiție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</si>
  <si>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</si>
  <si>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</si>
  <si>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</si>
  <si>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</si>
  <si>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</si>
  <si>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</si>
  <si>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</si>
  <si>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</si>
  <si>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</si>
  <si>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</si>
  <si>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</si>
  <si>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</si>
  <si>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</si>
  <si>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</si>
  <si>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</si>
  <si>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</si>
  <si>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</si>
  <si>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</si>
  <si>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</si>
  <si>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</si>
  <si>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</si>
  <si>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</si>
  <si>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</si>
  <si>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</si>
  <si>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</si>
  <si>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</si>
  <si>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</si>
  <si>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</si>
  <si>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</si>
  <si>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</si>
  <si>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</si>
  <si>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</si>
  <si>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</si>
  <si>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</si>
  <si>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r>
      <rPr>
        <b/>
        <sz val="12"/>
        <rFont val="Calibri"/>
        <family val="2"/>
        <scheme val="minor"/>
      </rPr>
      <t>Obiectivul general</t>
    </r>
    <r>
      <rPr>
        <sz val="12"/>
        <rFont val="Calibri"/>
        <family val="2"/>
        <charset val="238"/>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charset val="238"/>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</si>
  <si>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</si>
  <si>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</si>
  <si>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</si>
  <si>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</si>
  <si>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</si>
  <si>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</si>
  <si>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</si>
  <si>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</si>
  <si>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</si>
  <si>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</si>
  <si>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</si>
  <si>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</si>
  <si>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Municipiul Fetesti</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</si>
  <si>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</si>
  <si>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</si>
  <si>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</si>
  <si>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</si>
  <si>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</si>
  <si>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</si>
  <si>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</si>
  <si>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Ministerul Apelor și Pădurilor</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</si>
  <si>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</si>
  <si>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</si>
  <si>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</si>
  <si>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</si>
  <si>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</si>
  <si>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DSS</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</si>
  <si>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</si>
  <si>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</si>
  <si>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</si>
  <si>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</si>
  <si>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</si>
  <si>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</si>
  <si>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</si>
  <si>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</si>
  <si>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</si>
  <si>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</si>
  <si>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</si>
  <si>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</si>
  <si>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</si>
  <si>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</si>
  <si>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</si>
  <si>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</si>
  <si>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</si>
  <si>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</si>
  <si>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</si>
  <si>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</si>
  <si>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</si>
  <si>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</si>
  <si>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</si>
  <si>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</si>
  <si>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</si>
  <si>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</si>
  <si>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</si>
  <si>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în implementare</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</si>
  <si>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</si>
  <si>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</si>
  <si>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</si>
  <si>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</si>
  <si>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</si>
  <si>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</si>
  <si>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</si>
  <si>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</si>
  <si>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</si>
  <si>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</si>
  <si>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</si>
  <si>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</si>
  <si>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</si>
  <si>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</si>
  <si>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</si>
  <si>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</si>
  <si>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</si>
  <si>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</si>
  <si>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</si>
  <si>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</si>
  <si>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</si>
  <si>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</si>
  <si>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</si>
  <si>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</si>
  <si>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</si>
  <si>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</si>
  <si>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</si>
  <si>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</si>
  <si>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</si>
  <si>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</si>
  <si>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</si>
  <si>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</si>
  <si>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</si>
  <si>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</si>
  <si>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</si>
  <si>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</si>
  <si>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</si>
  <si>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</si>
  <si>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</si>
  <si>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</si>
  <si>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</si>
  <si>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</si>
  <si>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</si>
  <si>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</si>
  <si>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</si>
  <si>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</si>
  <si>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</si>
  <si>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</si>
  <si>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</si>
  <si>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</si>
  <si>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</si>
  <si>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</si>
  <si>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</si>
  <si>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</si>
  <si>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</si>
  <si>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</si>
  <si>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</si>
  <si>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</si>
  <si>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</si>
  <si>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</si>
  <si>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</si>
  <si>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</si>
  <si>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</si>
  <si>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</si>
  <si>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</si>
  <si>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</si>
  <si>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</si>
  <si>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</si>
  <si>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</si>
  <si>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</si>
  <si>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</si>
  <si>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</si>
  <si>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</si>
  <si>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</si>
  <si>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</si>
  <si>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</si>
  <si>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</si>
  <si>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</si>
  <si>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</si>
  <si>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</si>
  <si>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</si>
  <si>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</si>
  <si>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</si>
  <si>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</si>
  <si>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</si>
  <si>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</si>
  <si>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</si>
  <si>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</si>
  <si>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</si>
  <si>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</si>
  <si>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</si>
  <si>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</si>
  <si>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</si>
  <si>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</si>
  <si>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</si>
  <si>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AP 2/11i/2.1</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</si>
  <si>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</si>
  <si>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</si>
  <si>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</si>
  <si>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</si>
  <si>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</si>
  <si>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</si>
  <si>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</si>
  <si>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</si>
  <si>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</si>
  <si>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</si>
  <si>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</si>
  <si>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Municipiul ROMAN</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</si>
  <si>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</si>
  <si>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</si>
  <si>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</si>
  <si>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</si>
  <si>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</si>
  <si>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</si>
  <si>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Asociația Mesteșukar Mobil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</si>
  <si>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</si>
  <si>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</si>
  <si>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</si>
  <si>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</si>
  <si>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</si>
  <si>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</si>
  <si>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</si>
  <si>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</si>
  <si>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</si>
  <si>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</si>
  <si>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</si>
  <si>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</si>
  <si>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</si>
  <si>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</si>
  <si>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</si>
  <si>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</si>
  <si>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</si>
  <si>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</si>
  <si>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</si>
  <si>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</si>
  <si>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</si>
  <si>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</si>
  <si>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</si>
  <si>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</si>
  <si>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</si>
  <si>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</si>
  <si>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</si>
  <si>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</si>
  <si>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</si>
  <si>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</si>
  <si>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</si>
  <si>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</si>
  <si>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Sectorul 2 al Municipiului București</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</si>
  <si>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</si>
  <si>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</si>
  <si>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</si>
  <si>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</si>
  <si>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</si>
  <si>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</si>
  <si>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</si>
  <si>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</si>
  <si>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</si>
  <si>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Imbunatatirea calitatii serviciilor furnizate de primaria Municipiului Toplita prin introducerea si mentinerea sistemului de management al calitatii ISO9001:2015</t>
  </si>
  <si>
    <t>Toplița</t>
  </si>
  <si>
    <t>Consolidarea integritatii în institutiiile_x000D_
publice si în mediul de afaceri</t>
  </si>
  <si>
    <t>MINISTERUL FINANTELOR PUBLICE</t>
  </si>
  <si>
    <t>MINISTERUL ECONOMIEI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</si>
  <si>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</si>
  <si>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</si>
  <si>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</si>
  <si>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</si>
  <si>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</si>
  <si>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Act aditional nr. 1/13.09.2018</t>
  </si>
  <si>
    <t>AP 2/11i /2.1</t>
  </si>
  <si>
    <t>AP 2/11i /2.3</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</si>
  <si>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</si>
  <si>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</si>
  <si>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</si>
  <si>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</si>
  <si>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</si>
  <si>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</si>
  <si>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</si>
  <si>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</si>
  <si>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</si>
  <si>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</si>
  <si>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</si>
  <si>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</si>
  <si>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MINISTERUL TURISMULUI</t>
  </si>
  <si>
    <t>SECRETARIATUL GENERAL AL
Parteneri GUVERNULUI</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</si>
  <si>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</si>
  <si>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EDU Digital - Propunere alternativa de politica publica pentru simplificarea cadrului legislativ în
educaþie</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</si>
  <si>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</si>
  <si>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</si>
  <si>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</si>
  <si>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ASOCIAÞIA CREST</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</si>
  <si>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</si>
  <si>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</si>
  <si>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AA1/20.09.2018</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</si>
  <si>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</si>
  <si>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</si>
  <si>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</si>
  <si>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</si>
  <si>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</si>
  <si>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</si>
  <si>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</si>
  <si>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</si>
  <si>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MV</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</si>
  <si>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</si>
  <si>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</si>
  <si>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</si>
  <si>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</si>
  <si>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Omdrap nr. 5844/03.10.2018</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</si>
  <si>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</si>
  <si>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</si>
  <si>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r>
      <rPr>
        <sz val="12"/>
        <rFont val="Calibri"/>
        <family val="2"/>
        <scheme val="minor"/>
      </rP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charset val="238"/>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charset val="238"/>
        <scheme val="minor"/>
      </rPr>
      <t xml:space="preserve">
</t>
    </r>
  </si>
  <si>
    <t>AP 2/11i /2.2</t>
  </si>
  <si>
    <t>AP2/11i /2.3</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</si>
  <si>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</si>
  <si>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</si>
  <si>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</si>
  <si>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</si>
  <si>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</si>
  <si>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</si>
  <si>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</si>
  <si>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</si>
  <si>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</si>
  <si>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</si>
  <si>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</si>
  <si>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</si>
  <si>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</si>
  <si>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</si>
  <si>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</si>
  <si>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</si>
  <si>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</si>
  <si>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</si>
  <si>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</si>
  <si>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</si>
  <si>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</si>
  <si>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</si>
  <si>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</si>
  <si>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</si>
  <si>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</si>
  <si>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</si>
  <si>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</si>
  <si>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</si>
  <si>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</si>
  <si>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</si>
  <si>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</si>
  <si>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</si>
  <si>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</si>
  <si>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</si>
  <si>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</si>
  <si>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</si>
  <si>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</si>
  <si>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Judetul Salaj</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</si>
  <si>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</si>
  <si>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</si>
  <si>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</si>
  <si>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</si>
  <si>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</si>
  <si>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</si>
  <si>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</si>
  <si>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AA 1/12.11.2018</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</si>
  <si>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</si>
  <si>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</si>
  <si>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</si>
  <si>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</si>
  <si>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</si>
  <si>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</si>
  <si>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</si>
  <si>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</si>
  <si>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</si>
  <si>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</si>
  <si>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</si>
  <si>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</si>
  <si>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</si>
  <si>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</si>
  <si>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</si>
  <si>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</si>
  <si>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</si>
  <si>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</si>
  <si>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</si>
  <si>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</si>
  <si>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</si>
  <si>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</si>
  <si>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</si>
  <si>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</si>
  <si>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</si>
  <si>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</si>
  <si>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120 - Investiții în capacitatea instituțională și în eficiența administrațiilor și a serviciilor publice la nivel național, regional și local, în perspectiva realizării de reforme, a unei mai bune legiferări și a bunei guvernanțe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</si>
  <si>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</si>
  <si>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</si>
  <si>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</si>
  <si>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</si>
  <si>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</si>
  <si>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</si>
  <si>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</si>
  <si>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</si>
  <si>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Municipiului Bacău</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</si>
  <si>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</si>
  <si>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</si>
  <si>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</si>
  <si>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</si>
  <si>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r>
      <t xml:space="preserve">Municipiului </t>
    </r>
    <r>
      <rPr>
        <sz val="12"/>
        <color theme="1"/>
        <rFont val="Times New Roman"/>
        <family val="1"/>
      </rPr>
      <t>Galați</t>
    </r>
  </si>
  <si>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</si>
  <si>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</si>
  <si>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</si>
  <si>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</si>
  <si>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</si>
  <si>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</si>
  <si>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</si>
  <si>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</si>
  <si>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</si>
  <si>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</si>
  <si>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Ministerul Energiei</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</si>
  <si>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</si>
  <si>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r>
      <rPr>
        <b/>
        <sz val="12"/>
        <rFont val="Calibri"/>
        <family val="2"/>
        <scheme val="minor"/>
      </rPr>
      <t>Obiectiv general:</t>
    </r>
    <r>
      <rPr>
        <sz val="12"/>
        <rFont val="Calibri"/>
        <family val="2"/>
        <charset val="238"/>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charset val="238"/>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</si>
  <si>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</si>
  <si>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</si>
  <si>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AP2/11i /2.1</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</si>
  <si>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</si>
  <si>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</si>
  <si>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</si>
  <si>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</si>
  <si>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</si>
  <si>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</si>
  <si>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</si>
  <si>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</si>
  <si>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</si>
  <si>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</si>
  <si>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Agenția Naționlă de Administrare Fiscală</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</si>
  <si>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</si>
  <si>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</si>
  <si>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</si>
  <si>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</si>
  <si>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</si>
  <si>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</si>
  <si>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Municipiului Sighișoara</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</si>
  <si>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</si>
  <si>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</si>
  <si>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</si>
  <si>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AA3 / 30.07.2018</t>
  </si>
  <si>
    <t>AA2/17.12.2018</t>
  </si>
  <si>
    <t>AA1/21.12.2018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</si>
  <si>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</si>
  <si>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</si>
  <si>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</si>
  <si>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</si>
  <si>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</si>
  <si>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</si>
  <si>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</si>
  <si>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</si>
  <si>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</si>
  <si>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</si>
  <si>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</si>
  <si>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</si>
  <si>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</si>
  <si>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</si>
  <si>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</si>
  <si>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</si>
  <si>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Ministerul Cercetarii si Inovarii</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</si>
  <si>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</si>
  <si>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</si>
  <si>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</si>
  <si>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</si>
  <si>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</si>
  <si>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</si>
  <si>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</si>
  <si>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</si>
  <si>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</si>
  <si>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</si>
  <si>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Autoritatea Națională Pentru Persoane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</si>
  <si>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</si>
  <si>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</si>
  <si>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</si>
  <si>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</si>
  <si>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</si>
  <si>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</si>
  <si>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AA5/ 31.01.2019</t>
  </si>
  <si>
    <t>AA1/01.02.2019</t>
  </si>
  <si>
    <t>AA1/ 04.02.2019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</si>
  <si>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</si>
  <si>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</si>
  <si>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</si>
  <si>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</si>
  <si>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</si>
  <si>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</si>
  <si>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Munuicipiul Blaj</t>
  </si>
  <si>
    <t>Judetul Cluj - Smart Territory</t>
  </si>
  <si>
    <t>Judetul Cluj</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</si>
  <si>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</si>
  <si>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</si>
  <si>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</si>
  <si>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</si>
  <si>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</si>
  <si>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Ministerul Comunicațiilor si Societății Informaționale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</si>
  <si>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</si>
  <si>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</si>
  <si>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</si>
  <si>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</si>
  <si>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AP 2/11i/2.3</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</si>
  <si>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</si>
  <si>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</si>
  <si>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</si>
  <si>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</si>
  <si>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</si>
  <si>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</si>
  <si>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</si>
  <si>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</si>
  <si>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</si>
  <si>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</si>
  <si>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</si>
  <si>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</si>
  <si>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Covasna</t>
  </si>
  <si>
    <t>Sfântu Gheorghe</t>
  </si>
  <si>
    <t xml:space="preserve">Obiectiv general: Dezvoltarea capacitatii societatii civile, ca împreuna cu UAT, sa contribuie la sustinerea si dezvoltarea economiei sociale prin sprijinirea initiativelor antreprenoriale care vizeaza infiintarea de structuri de economie sociala in Romania (SES).
OS3. Formularea propunerilor de Politici Publice.
OS1. Crearea unui parteneriat public-privat la nivel national, format din 160 de reprezentati ai UAT si organizatii civice din
Romania, pentru formularea si promovarea de propuneri alternative la politicile publice initiate de Guvern.
OS2. Formarea membrilor GT , pentru cresterea capacitatii de a identifica probleme in comunitate si a formula politici publice
alternative.
</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</si>
  <si>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</si>
  <si>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</si>
  <si>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</si>
  <si>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 xml:space="preserve">Omdrapfe nr.  1227/28.02.2019 </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</si>
  <si>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</si>
  <si>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</si>
  <si>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</si>
  <si>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AA1/07.03.2019</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</si>
  <si>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</si>
  <si>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</si>
  <si>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</si>
  <si>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</si>
  <si>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</si>
  <si>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</si>
  <si>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</si>
  <si>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</si>
  <si>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</si>
  <si>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</si>
  <si>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</si>
  <si>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</si>
  <si>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</si>
  <si>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</si>
  <si>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</si>
  <si>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</si>
  <si>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</si>
  <si>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</si>
  <si>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 xml:space="preserve">Finalizat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</si>
  <si>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</si>
  <si>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</si>
  <si>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</si>
  <si>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</si>
  <si>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Județul SIBIU</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</si>
  <si>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</si>
  <si>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</si>
  <si>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Municipiul Alba iulia</t>
  </si>
  <si>
    <t>OC</t>
  </si>
  <si>
    <t>AA1</t>
  </si>
  <si>
    <t>CP 11/2018</t>
  </si>
  <si>
    <t>AP2/11i /2.2</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</si>
  <si>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</si>
  <si>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</si>
  <si>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</si>
  <si>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</si>
  <si>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</si>
  <si>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</si>
  <si>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</si>
  <si>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</si>
  <si>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</si>
  <si>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</si>
  <si>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</si>
  <si>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</si>
  <si>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</si>
  <si>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</si>
  <si>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</si>
  <si>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</si>
  <si>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</si>
  <si>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</si>
  <si>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</si>
  <si>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</si>
  <si>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REZILIAT</t>
  </si>
  <si>
    <t>Consolidarea capacității administrative a Municipiului Lugoj prin dezvoltarea capacității de planificare strategică și prin simplificarea procedurilor administrative pentru reducerea birocrației destinate</t>
  </si>
  <si>
    <t>Municipiu Lugoj</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</si>
  <si>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</si>
  <si>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</si>
  <si>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</si>
  <si>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AA2/30.01.2019</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</si>
  <si>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</si>
  <si>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</si>
  <si>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</si>
  <si>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AA1/08.04.2019</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</si>
  <si>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</si>
  <si>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</si>
  <si>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</si>
  <si>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</si>
  <si>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</si>
  <si>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</si>
  <si>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120 -  Investiții în capacitatea instituțională și în eficiența administrațiilor și a serviciilor publice la nivel național, regional și local, în perspectiva realizării de reforme, a unei mai bune legiferări și a bunei guvernanțe</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</si>
  <si>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</si>
  <si>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</si>
  <si>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 xml:space="preserve">                                                 AA4/08.04.2019</t>
  </si>
  <si>
    <t>AA2/08.04.2019</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</si>
  <si>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</si>
  <si>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</si>
  <si>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129 - Investiții în capacitatea instituțională și în eficiența administrațiilor și a serviciilor publice la nivel național, regional și local, în perspectiva realizării de reforme, a unei mai bune legiferări și a bunei guvernanțe</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</si>
  <si>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</si>
  <si>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</si>
  <si>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</si>
  <si>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</si>
  <si>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 12.04.2019</t>
  </si>
  <si>
    <t>AA 1/29.11.2018          AA 2 /03.04.2019</t>
  </si>
  <si>
    <t>AA 1/ 15.04.2019</t>
  </si>
  <si>
    <t>AA 1/ 01.04.2019</t>
  </si>
  <si>
    <t>AA 1/ 28.03.2019</t>
  </si>
  <si>
    <t xml:space="preserve">AA 1/02.04.2019 </t>
  </si>
  <si>
    <t>AA2/17.04.2019</t>
  </si>
  <si>
    <t>AA2/18.04.2019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</si>
  <si>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</si>
  <si>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</si>
  <si>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</si>
  <si>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AA1/24.04.2019</t>
  </si>
  <si>
    <t>OMDRAP nr. 1679/06.05.2019/Actul adițional nr.1/06.05.2019</t>
  </si>
  <si>
    <t>AA3/15.04.2019</t>
  </si>
  <si>
    <t>AA6/08.04.2019 PRELUNGIRE 6 LUNI</t>
  </si>
  <si>
    <t>AA1/02.04.2019 PRELUNGIRE 10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</si>
  <si>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</si>
  <si>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</si>
  <si>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</si>
  <si>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AA1/10.05.2019</t>
  </si>
  <si>
    <t>AA3/10.05.2019</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</si>
  <si>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</si>
  <si>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</si>
  <si>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MINISTERUL MUNCII ȘI JUSTIȚIEI SOCIALE</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</si>
  <si>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</si>
  <si>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</si>
  <si>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</si>
  <si>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</si>
  <si>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</si>
  <si>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</si>
  <si>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</si>
  <si>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MINISTERUL CERCETARII SI INOVARII</t>
  </si>
  <si>
    <t>Cresterea capacității sistemului CDI de a răspunde provocarilor globale. Consolidarea capacității+G413
anticipatorii de elaborare a politicilor publice bazate pe dovezi</t>
  </si>
  <si>
    <t>UNITATEA EXECUTIVA PENTRU FINANTAREA INVATAMANTULUI SUPERIOR, A CERCETARII,</t>
  </si>
  <si>
    <t>DEZVOLTARII SI INOVARII</t>
  </si>
  <si>
    <t>AA2</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</si>
  <si>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</si>
  <si>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</si>
  <si>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</si>
  <si>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</si>
  <si>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</si>
  <si>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</si>
  <si>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</si>
  <si>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</si>
  <si>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</si>
  <si>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</si>
  <si>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</si>
  <si>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</si>
  <si>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</si>
  <si>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MINISTERUL DEZVOLTARII REGIONALE ȘI ADMINISTRAȚIEI PUBLICE</t>
  </si>
  <si>
    <t xml:space="preserve">Institutul Național de Cercetare Dezvoltare
în Construcții,
Urbanism și Dezvoltare Teritorială Durabilă "URBAN-INCERC
</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</si>
  <si>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legislaþiei în domeniul CDI, asociat cadrului strategic dezvoltat
5. Implementarea unui sistem de managementul calitaþii la nivelul MCI
6. Dezvoltarea competenþelor membrilor grupului þinta si actorilor implicaþi în activitaþile proiectului si în implementara cadrului
strategic dezvoltat (SNCDI, SNSI)</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</si>
  <si>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</si>
  <si>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AA5/27.05.2019</t>
  </si>
  <si>
    <t>Municipiul  Caransebeș</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</si>
  <si>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</si>
  <si>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</si>
  <si>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</si>
  <si>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</si>
  <si>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</si>
  <si>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</si>
  <si>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</si>
  <si>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</si>
  <si>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</si>
  <si>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AA2/12.04.2019</t>
  </si>
  <si>
    <t>AA1/12.10.2018</t>
  </si>
  <si>
    <t>AA3/31.05.2019</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</si>
  <si>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</si>
  <si>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</si>
  <si>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</si>
  <si>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</si>
  <si>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</si>
  <si>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</si>
  <si>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</si>
  <si>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</si>
  <si>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</si>
  <si>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</si>
  <si>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AA 1/06 .06.2019</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</si>
  <si>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</si>
  <si>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</si>
  <si>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</si>
  <si>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</si>
  <si>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</si>
  <si>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</si>
  <si>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</si>
  <si>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</si>
  <si>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</si>
  <si>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</si>
  <si>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</si>
  <si>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</si>
  <si>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</si>
  <si>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Municipiul Botosani</t>
  </si>
  <si>
    <t>Municipiul Pascani</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</si>
  <si>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</si>
  <si>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</si>
  <si>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</si>
  <si>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</si>
  <si>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</si>
  <si>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</si>
  <si>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</si>
  <si>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</si>
  <si>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</si>
  <si>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AA3/06.06.2019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</si>
  <si>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</si>
  <si>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</si>
  <si>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Roșiorii de Vede</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</si>
  <si>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</si>
  <si>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</si>
  <si>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</si>
  <si>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</si>
  <si>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</si>
  <si>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</si>
  <si>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</si>
  <si>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</si>
  <si>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</si>
  <si>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</si>
  <si>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</si>
  <si>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</si>
  <si>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</si>
  <si>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PRIMARIA SECTOR 5</t>
  </si>
  <si>
    <t>SECTORUL 6 AL MUNICIPIULUI BUCUREŞTI</t>
  </si>
  <si>
    <t>SECTORUL 3 AL MUNICIPIULUI BUCURESTI</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</si>
  <si>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</si>
  <si>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</si>
  <si>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</si>
  <si>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Act adițional nr. 1/19.06.2019</t>
  </si>
  <si>
    <t>Judetul Constanta</t>
  </si>
  <si>
    <t>Creșterea transparenței decizionale si simplificarea procedurilor administrative pentru cetățeni - ANTO-CIIC</t>
  </si>
  <si>
    <t>Municipiul Cluj Napoca</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</si>
  <si>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</si>
  <si>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</si>
  <si>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MINISTERUL SĂNĂTĂȚII</t>
  </si>
  <si>
    <t>Municpiul Câmpina
/PROGRAME DE FINANTARE, RELATII INTERNATIONALE SI PROTOCOL</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</si>
  <si>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</si>
  <si>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</si>
  <si>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</si>
  <si>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</si>
  <si>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</si>
  <si>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</si>
  <si>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</si>
  <si>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</si>
  <si>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</si>
  <si>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</si>
  <si>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</si>
  <si>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</si>
  <si>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</si>
  <si>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</si>
  <si>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</si>
  <si>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</si>
  <si>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Obiectivul genereal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</si>
  <si>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SECTORUL 1 AL MUNICIPIULUI BUCUREŞTI</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</si>
  <si>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</si>
  <si>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</si>
  <si>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</si>
  <si>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AA1 din 27.06.2019</t>
  </si>
  <si>
    <t>finalizat</t>
  </si>
  <si>
    <t>Management al performantei in cadrul Primariei Sectorului 2</t>
  </si>
  <si>
    <t>SECTORUL 2 AL MUNICIPIULUI BUCURESTI</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</si>
  <si>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</si>
  <si>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</si>
  <si>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</si>
  <si>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</si>
  <si>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</si>
  <si>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 xml:space="preserve">AA8 /03.09.2018 prel. Proiect 45L               AA9/11.02.2019 realoc.sume                 AA 10/03.07.2019 prel. 50 L </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</si>
  <si>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</si>
  <si>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</si>
  <si>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</si>
  <si>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</si>
  <si>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</si>
  <si>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</si>
  <si>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</si>
  <si>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</si>
  <si>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</si>
  <si>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</si>
  <si>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</si>
  <si>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</si>
  <si>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</si>
  <si>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</si>
  <si>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</si>
  <si>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</si>
  <si>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</si>
  <si>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</si>
  <si>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</si>
  <si>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</si>
  <si>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AA6 /16.07.19</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</si>
  <si>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</si>
  <si>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</si>
  <si>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</si>
  <si>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</si>
  <si>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</si>
  <si>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</si>
  <si>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</si>
  <si>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</si>
  <si>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</si>
  <si>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AA 1/16.07.2019 realocare sume</t>
  </si>
  <si>
    <t>O administratie in slujba cetateanului</t>
  </si>
  <si>
    <t>Municipiul Braila</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</si>
  <si>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</si>
  <si>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</si>
  <si>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</si>
  <si>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</si>
  <si>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</si>
  <si>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</si>
  <si>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</si>
  <si>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</si>
  <si>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construcț+J482ii</t>
  </si>
  <si>
    <t>Cresterea capacitatii administrative a Municipiului Constanta prin introducerea si mentinerea
sistemului de management al calitatii ISO 9001</t>
  </si>
  <si>
    <t xml:space="preserve">AA3/22.07.2019             </t>
  </si>
  <si>
    <t>AA1/22.07.2019</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</si>
  <si>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</si>
  <si>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</si>
  <si>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</si>
  <si>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19.15.2020</t>
  </si>
  <si>
    <t>A.N.A.N.P.-Pilon strategic în dezvoltarea comunitaþiilor locale si a mediului de afaceri prin
consolidarea capacitaþii administrative în ariile naturale protejate din România</t>
  </si>
  <si>
    <t>AGENTIA NATIONALĂ+H466 PENTRU ARII NATURALE PROTEJATE</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</si>
  <si>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</si>
  <si>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</si>
  <si>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</si>
  <si>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</si>
  <si>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</si>
  <si>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</si>
  <si>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</si>
  <si>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AA1/24.07.2019</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</si>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</sst>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0.000000000"/>
    <numFmt numFmtId="166" formatCode="#,##0.00_ ;\-#,##0.00\ "/>
    <numFmt numFmtId="167" formatCode="#,##0_ ;\-#,##0\ "/>
    <numFmt numFmtId="168" formatCode="0.0000000"/>
  </numFmts>
  <fonts count="6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b/>
      <sz val="12"/>
      <name val="Calibri"/>
      <family val="2"/>
      <scheme val="minor"/>
    </font>
    <font>
      <b/>
      <sz val="12"/>
      <color theme="1"/>
      <name val="Calibri"/>
      <family val="2"/>
      <scheme val="minor"/>
    </font>
    <font>
      <b/>
      <sz val="11"/>
      <color theme="1"/>
      <name val="Calibri"/>
      <family val="2"/>
      <scheme val="minor"/>
    </font>
    <font>
      <sz val="10"/>
      <name val="Calibri"/>
      <family val="2"/>
    </font>
    <font>
      <sz val="10"/>
      <color theme="1"/>
      <name val="Calibri"/>
      <family val="2"/>
      <scheme val="minor"/>
    </font>
    <font>
      <sz val="11"/>
      <color theme="1"/>
      <name val="Trebuchet MS"/>
      <family val="2"/>
    </font>
    <font>
      <sz val="11"/>
      <color theme="1"/>
      <name val="Calibri"/>
      <family val="2"/>
      <charset val="1"/>
      <scheme val="minor"/>
    </font>
    <font>
      <sz val="10"/>
      <color theme="1"/>
      <name val="Calibri"/>
      <family val="2"/>
      <charset val="1"/>
      <scheme val="minor"/>
    </font>
    <font>
      <b/>
      <sz val="11"/>
      <color theme="1"/>
      <name val="Calibri"/>
      <family val="2"/>
      <charset val="1"/>
      <scheme val="minor"/>
    </font>
    <font>
      <i/>
      <sz val="11"/>
      <color theme="1"/>
      <name val="Trebuchet MS"/>
      <family val="2"/>
    </font>
    <font>
      <sz val="12"/>
      <name val="Calibri"/>
      <family val="2"/>
      <charset val="1"/>
      <scheme val="minor"/>
    </font>
    <font>
      <b/>
      <sz val="11"/>
      <color theme="1"/>
      <name val="Calibri"/>
      <family val="1"/>
      <charset val="1"/>
    </font>
    <font>
      <b/>
      <sz val="11"/>
      <color theme="1"/>
      <name val="Calibri"/>
      <family val="2"/>
      <charset val="1"/>
    </font>
    <font>
      <sz val="12"/>
      <name val="Trebuchet MS"/>
      <family val="2"/>
    </font>
    <font>
      <b/>
      <sz val="10"/>
      <color theme="1"/>
      <name val="Arial"/>
      <family val="2"/>
    </font>
    <font>
      <sz val="12"/>
      <name val="Trebuchet MS"/>
      <family val="2"/>
    </font>
    <font>
      <sz val="12"/>
      <name val="Calibri"/>
      <family val="2"/>
      <scheme val="minor"/>
    </font>
    <font>
      <sz val="12"/>
      <color theme="1"/>
      <name val="Calibri"/>
      <family val="2"/>
      <scheme val="minor"/>
    </font>
    <font>
      <sz val="11"/>
      <name val="Calibri"/>
      <family val="2"/>
    </font>
    <font>
      <sz val="12"/>
      <color theme="1"/>
      <name val="Calibri"/>
      <family val="2"/>
      <charset val="1"/>
      <scheme val="minor"/>
    </font>
    <font>
      <sz val="11"/>
      <color indexed="8"/>
      <name val="Calibri"/>
      <family val="2"/>
      <scheme val="minor"/>
    </font>
    <font>
      <sz val="11"/>
      <name val="Calibri"/>
      <family val="2"/>
      <charset val="1"/>
      <scheme val="minor"/>
    </font>
    <font>
      <sz val="10"/>
      <name val="MS Sans Serif"/>
      <family val="2"/>
    </font>
    <font>
      <b/>
      <sz val="12"/>
      <name val="Calibri"/>
      <family val="2"/>
    </font>
    <font>
      <sz val="12"/>
      <name val="Calibri"/>
      <family val="2"/>
      <charset val="238"/>
    </font>
    <font>
      <sz val="12"/>
      <color rgb="FF000000"/>
      <name val="Calibri"/>
      <family val="2"/>
      <scheme val="minor"/>
    </font>
    <font>
      <sz val="11"/>
      <name val="Calibri"/>
      <family val="2"/>
      <charset val="238"/>
      <scheme val="minor"/>
    </font>
    <font>
      <b/>
      <sz val="11"/>
      <color theme="1"/>
      <name val="Trebuchet MS"/>
      <family val="2"/>
    </font>
    <font>
      <sz val="10"/>
      <color theme="1"/>
      <name val="Trebuchet MS"/>
      <family val="2"/>
    </font>
    <font>
      <sz val="12"/>
      <color theme="1"/>
      <name val="Times New Roman"/>
      <family val="1"/>
    </font>
    <font>
      <sz val="11"/>
      <name val="Calibri"/>
      <family val="2"/>
      <scheme val="minor"/>
    </font>
    <font>
      <sz val="12"/>
      <name val="Trebuchet MS"/>
      <family val="2"/>
    </font>
    <font>
      <sz val="11"/>
      <color rgb="FFFA7D00"/>
      <name val="Calibri"/>
      <family val="2"/>
      <charset val="238"/>
      <scheme val="minor"/>
    </font>
    <font>
      <sz val="12"/>
      <name val="Trebuchet MS"/>
      <family val="2"/>
      <charset val="238"/>
    </font>
    <font>
      <u/>
      <sz val="12"/>
      <name val="Calibri"/>
      <family val="2"/>
      <scheme val="minor"/>
    </font>
    <font>
      <sz val="8"/>
      <name val="Calibri"/>
      <family val="2"/>
      <charset val="238"/>
      <scheme val="minor"/>
    </font>
    <font>
      <sz val="11"/>
      <name val="Trebuchet MS"/>
      <family val="2"/>
    </font>
    <font>
      <sz val="12"/>
      <name val="Trebuchet MS"/>
      <charset val="1"/>
    </font>
    <font>
      <sz val="11"/>
      <color theme="1"/>
      <name val="Trebuchet MS"/>
    </font>
  </fonts>
  <fills count="3">
    <fill>
      <patternFill patternType="none"/>
    </fill>
    <fill>
      <patternFill patternType="gray125"/>
    </fill>
    <fill>
      <patternFill patternType="solid">
        <fgColor theme="9" tint="0.59999389629810485"/>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s>
  <cellStyleXfs count="16">
    <xf numFmtId="0" fontId="0" fillId="0" borderId="0"/>
    <xf numFmtId="164" fontId="17" fillId="0" borderId="0" applyFont="0" applyFill="0" applyBorder="0" applyAlignment="0" applyProtection="0"/>
    <xf numFmtId="164" fontId="17" fillId="0" borderId="0" applyFont="0" applyFill="0" applyBorder="0" applyAlignment="0" applyProtection="0"/>
    <xf numFmtId="0" fontId="45" fillId="0" borderId="0"/>
    <xf numFmtId="0" fontId="17" fillId="0" borderId="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47" fillId="0" borderId="0"/>
    <xf numFmtId="0" fontId="17" fillId="0" borderId="0"/>
    <xf numFmtId="0" fontId="17" fillId="0" borderId="0"/>
    <xf numFmtId="0" fontId="29" fillId="0" borderId="0"/>
    <xf numFmtId="0" fontId="10" fillId="0" borderId="0"/>
    <xf numFmtId="0" fontId="10" fillId="0" borderId="0"/>
  </cellStyleXfs>
  <cellXfs count="349">
    <xf numFmtId="0" fontId="0" fillId="0" borderId="0" xfId="0"/>
    <xf numFmtId="4" fontId="21" fillId="0" borderId="3" xfId="0" applyNumberFormat="1" applyFont="1" applyFill="1" applyBorder="1" applyAlignment="1">
      <alignment horizontal="right" vertical="center" wrapText="1"/>
    </xf>
    <xf numFmtId="166" fontId="18" fillId="0" borderId="3" xfId="1" applyNumberFormat="1" applyFont="1" applyFill="1" applyBorder="1" applyAlignment="1">
      <alignment horizontal="right" vertical="center" wrapText="1"/>
    </xf>
    <xf numFmtId="0" fontId="18" fillId="0" borderId="3" xfId="0" applyFont="1" applyFill="1" applyBorder="1" applyAlignment="1">
      <alignment horizontal="center" vertical="center" wrapText="1"/>
    </xf>
    <xf numFmtId="165" fontId="18" fillId="0" borderId="3" xfId="0" applyNumberFormat="1" applyFont="1" applyFill="1" applyBorder="1" applyAlignment="1">
      <alignment horizontal="center" vertical="center" wrapText="1"/>
    </xf>
    <xf numFmtId="14" fontId="18" fillId="0" borderId="3" xfId="0" applyNumberFormat="1" applyFont="1" applyFill="1" applyBorder="1" applyAlignment="1">
      <alignment horizontal="center" vertical="center" wrapText="1"/>
    </xf>
    <xf numFmtId="0" fontId="18" fillId="0" borderId="3" xfId="0" applyFont="1" applyFill="1" applyBorder="1" applyAlignment="1">
      <alignment horizontal="justify" wrapText="1"/>
    </xf>
    <xf numFmtId="14" fontId="21"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4" fontId="15" fillId="2" borderId="3" xfId="0" applyNumberFormat="1" applyFont="1" applyFill="1" applyBorder="1" applyAlignment="1">
      <alignment vertical="center" wrapText="1"/>
    </xf>
    <xf numFmtId="4" fontId="15" fillId="0" borderId="1" xfId="0" applyNumberFormat="1" applyFont="1" applyFill="1" applyBorder="1" applyAlignment="1">
      <alignment vertical="center" wrapText="1"/>
    </xf>
    <xf numFmtId="0" fontId="0" fillId="0" borderId="0" xfId="0" applyFill="1"/>
    <xf numFmtId="4" fontId="15" fillId="0" borderId="3" xfId="0" applyNumberFormat="1"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3" fontId="15" fillId="0" borderId="3" xfId="0" applyNumberFormat="1" applyFont="1" applyFill="1" applyBorder="1" applyAlignment="1">
      <alignment vertical="center" wrapText="1"/>
    </xf>
    <xf numFmtId="0" fontId="18" fillId="0" borderId="15"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20" fillId="0" borderId="3" xfId="0" applyFont="1" applyFill="1" applyBorder="1" applyAlignment="1">
      <alignment vertical="center" wrapText="1"/>
    </xf>
    <xf numFmtId="0" fontId="18" fillId="0" borderId="3" xfId="0" applyFont="1" applyFill="1" applyBorder="1" applyAlignment="1">
      <alignment horizontal="left" vertical="center" wrapText="1"/>
    </xf>
    <xf numFmtId="0" fontId="21" fillId="0" borderId="3" xfId="0" applyFont="1" applyFill="1" applyBorder="1" applyAlignment="1">
      <alignment horizontal="center" vertical="center" wrapText="1"/>
    </xf>
    <xf numFmtId="0" fontId="18" fillId="0" borderId="3" xfId="0" applyFont="1" applyFill="1" applyBorder="1" applyAlignment="1">
      <alignment horizontal="justify" vertical="top" wrapText="1"/>
    </xf>
    <xf numFmtId="4" fontId="23" fillId="0" borderId="0" xfId="0" applyNumberFormat="1" applyFont="1" applyFill="1" applyAlignment="1">
      <alignment horizontal="right" vertical="center" wrapText="1"/>
    </xf>
    <xf numFmtId="4" fontId="21" fillId="0" borderId="3" xfId="1" applyNumberFormat="1" applyFont="1" applyFill="1" applyBorder="1" applyAlignment="1">
      <alignment horizontal="right" vertical="center" wrapText="1"/>
    </xf>
    <xf numFmtId="166" fontId="21" fillId="0" borderId="3" xfId="1" applyNumberFormat="1" applyFont="1" applyFill="1" applyBorder="1" applyAlignment="1">
      <alignment horizontal="right" vertical="center" wrapText="1"/>
    </xf>
    <xf numFmtId="3" fontId="21" fillId="0" borderId="3" xfId="0" applyNumberFormat="1" applyFont="1" applyFill="1" applyBorder="1" applyAlignment="1">
      <alignment horizontal="right" vertical="center" wrapText="1"/>
    </xf>
    <xf numFmtId="14" fontId="22" fillId="0" borderId="3" xfId="0" applyNumberFormat="1" applyFont="1" applyFill="1" applyBorder="1" applyAlignment="1">
      <alignment horizontal="right" vertical="center" wrapText="1"/>
    </xf>
    <xf numFmtId="4" fontId="18" fillId="0" borderId="3" xfId="0" applyNumberFormat="1" applyFont="1" applyFill="1" applyBorder="1" applyAlignment="1">
      <alignment horizontal="right" vertical="center" wrapText="1"/>
    </xf>
    <xf numFmtId="0" fontId="0" fillId="0" borderId="0" xfId="0" applyFill="1" applyAlignment="1">
      <alignment horizontal="center" vertical="center"/>
    </xf>
    <xf numFmtId="0" fontId="35" fillId="0" borderId="3" xfId="0" applyFont="1" applyFill="1" applyBorder="1" applyAlignment="1">
      <alignment horizontal="left" vertical="center" wrapText="1"/>
    </xf>
    <xf numFmtId="0" fontId="35" fillId="0" borderId="3" xfId="0" applyFont="1" applyFill="1" applyBorder="1" applyAlignment="1">
      <alignment horizontal="justify" vertical="top" wrapText="1"/>
    </xf>
    <xf numFmtId="0" fontId="15" fillId="0" borderId="3" xfId="0" applyFont="1" applyFill="1" applyBorder="1" applyAlignment="1">
      <alignment horizontal="right" vertical="center" wrapText="1"/>
    </xf>
    <xf numFmtId="3" fontId="15" fillId="0" borderId="3" xfId="0" applyNumberFormat="1" applyFont="1" applyFill="1" applyBorder="1" applyAlignment="1">
      <alignment horizontal="right" vertical="center" wrapText="1"/>
    </xf>
    <xf numFmtId="0" fontId="21" fillId="0" borderId="15" xfId="0" applyFont="1" applyFill="1" applyBorder="1" applyAlignment="1">
      <alignment horizontal="center" vertical="center" wrapText="1"/>
    </xf>
    <xf numFmtId="0" fontId="21" fillId="0" borderId="15" xfId="0" applyFont="1" applyFill="1" applyBorder="1" applyAlignment="1">
      <alignment horizontal="left" vertical="center" wrapText="1"/>
    </xf>
    <xf numFmtId="166" fontId="18" fillId="0" borderId="3" xfId="0" applyNumberFormat="1" applyFont="1" applyFill="1" applyBorder="1" applyAlignment="1">
      <alignment horizontal="right" vertical="center" wrapText="1"/>
    </xf>
    <xf numFmtId="4" fontId="21" fillId="0" borderId="5" xfId="0" applyNumberFormat="1" applyFont="1" applyFill="1" applyBorder="1" applyAlignment="1">
      <alignment horizontal="right" vertical="center" wrapText="1"/>
    </xf>
    <xf numFmtId="0" fontId="21" fillId="0" borderId="3" xfId="0" applyFont="1" applyFill="1" applyBorder="1" applyAlignment="1">
      <alignment horizontal="left" vertical="top" wrapText="1"/>
    </xf>
    <xf numFmtId="0" fontId="38" fillId="0" borderId="1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18" fillId="0" borderId="3" xfId="0" applyFont="1" applyFill="1" applyBorder="1" applyAlignment="1">
      <alignment horizontal="right" vertical="center" wrapText="1"/>
    </xf>
    <xf numFmtId="0" fontId="20" fillId="0" borderId="0" xfId="0" applyFont="1" applyFill="1" applyAlignment="1">
      <alignment wrapText="1"/>
    </xf>
    <xf numFmtId="165" fontId="21" fillId="0" borderId="3" xfId="0" applyNumberFormat="1" applyFont="1" applyFill="1" applyBorder="1" applyAlignment="1">
      <alignment horizontal="center" vertical="center" wrapText="1"/>
    </xf>
    <xf numFmtId="0" fontId="21" fillId="0" borderId="3" xfId="0" applyFont="1" applyFill="1" applyBorder="1" applyAlignment="1">
      <alignment horizontal="right" vertical="center" wrapText="1"/>
    </xf>
    <xf numFmtId="0" fontId="23" fillId="0" borderId="0" xfId="0" applyFont="1" applyFill="1"/>
    <xf numFmtId="0" fontId="7" fillId="0" borderId="0" xfId="0" applyFont="1" applyFill="1"/>
    <xf numFmtId="0" fontId="18" fillId="0" borderId="3" xfId="0" applyFont="1" applyFill="1" applyBorder="1" applyAlignment="1">
      <alignment horizontal="justify" vertical="center" wrapText="1"/>
    </xf>
    <xf numFmtId="4" fontId="18" fillId="0" borderId="7" xfId="0" applyNumberFormat="1" applyFont="1" applyFill="1" applyBorder="1" applyAlignment="1">
      <alignment horizontal="right" vertical="center" wrapText="1"/>
    </xf>
    <xf numFmtId="1" fontId="25" fillId="0" borderId="3" xfId="0" applyNumberFormat="1" applyFont="1" applyFill="1" applyBorder="1" applyAlignment="1">
      <alignment horizontal="center" vertical="center" wrapText="1"/>
    </xf>
    <xf numFmtId="166" fontId="18" fillId="0" borderId="3" xfId="1" applyNumberFormat="1" applyFont="1" applyFill="1" applyBorder="1" applyAlignment="1">
      <alignment horizontal="center" vertical="center" wrapText="1"/>
    </xf>
    <xf numFmtId="4" fontId="50" fillId="0" borderId="0" xfId="0" applyNumberFormat="1" applyFont="1" applyFill="1" applyAlignment="1">
      <alignment horizontal="center" vertical="center" wrapText="1"/>
    </xf>
    <xf numFmtId="14" fontId="23" fillId="0" borderId="3" xfId="0" applyNumberFormat="1" applyFont="1" applyFill="1" applyBorder="1" applyAlignment="1">
      <alignment horizontal="right" vertical="center" wrapText="1"/>
    </xf>
    <xf numFmtId="4" fontId="18" fillId="0" borderId="5" xfId="0" applyNumberFormat="1" applyFont="1" applyFill="1" applyBorder="1" applyAlignment="1">
      <alignment horizontal="right" vertical="center" wrapText="1"/>
    </xf>
    <xf numFmtId="0" fontId="21" fillId="0" borderId="15" xfId="0" applyFont="1" applyFill="1" applyBorder="1" applyAlignment="1">
      <alignment vertical="center" wrapText="1"/>
    </xf>
    <xf numFmtId="0" fontId="18" fillId="0" borderId="15" xfId="0" applyFont="1" applyFill="1" applyBorder="1" applyAlignment="1">
      <alignment horizontal="left" vertical="center" wrapText="1"/>
    </xf>
    <xf numFmtId="4" fontId="15" fillId="0" borderId="3" xfId="0" applyNumberFormat="1" applyFont="1" applyFill="1" applyBorder="1" applyAlignment="1">
      <alignment horizontal="right" vertical="center" wrapText="1"/>
    </xf>
    <xf numFmtId="166" fontId="0" fillId="0" borderId="0" xfId="0" applyNumberFormat="1" applyFill="1"/>
    <xf numFmtId="166" fontId="21" fillId="0" borderId="6" xfId="1" applyNumberFormat="1" applyFont="1" applyFill="1" applyBorder="1" applyAlignment="1">
      <alignment horizontal="right" vertical="center" wrapText="1"/>
    </xf>
    <xf numFmtId="4" fontId="21" fillId="0" borderId="6" xfId="1" applyNumberFormat="1" applyFont="1" applyFill="1" applyBorder="1" applyAlignment="1">
      <alignment horizontal="right" vertical="center" wrapText="1"/>
    </xf>
    <xf numFmtId="168" fontId="21" fillId="0" borderId="3" xfId="0" applyNumberFormat="1" applyFont="1" applyFill="1" applyBorder="1" applyAlignment="1">
      <alignment horizontal="center" vertical="center" wrapText="1"/>
    </xf>
    <xf numFmtId="4" fontId="18" fillId="0" borderId="3" xfId="1" applyNumberFormat="1" applyFont="1" applyFill="1" applyBorder="1" applyAlignment="1">
      <alignment horizontal="right" vertical="center" wrapText="1"/>
    </xf>
    <xf numFmtId="0" fontId="31" fillId="0" borderId="3" xfId="0" applyFont="1" applyFill="1" applyBorder="1" applyAlignment="1">
      <alignment vertical="top" wrapText="1"/>
    </xf>
    <xf numFmtId="0" fontId="23" fillId="0" borderId="3" xfId="0" applyFont="1" applyFill="1" applyBorder="1" applyAlignment="1">
      <alignment horizontal="left" vertical="center" wrapText="1"/>
    </xf>
    <xf numFmtId="165" fontId="21" fillId="0" borderId="3" xfId="0" applyNumberFormat="1" applyFont="1" applyFill="1" applyBorder="1" applyAlignment="1">
      <alignment horizontal="left" vertical="center" wrapText="1"/>
    </xf>
    <xf numFmtId="4" fontId="23" fillId="0" borderId="3" xfId="0" applyNumberFormat="1" applyFont="1" applyFill="1" applyBorder="1" applyAlignment="1">
      <alignment horizontal="right" vertical="center" wrapText="1"/>
    </xf>
    <xf numFmtId="0" fontId="15"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19" fillId="0" borderId="3" xfId="0" applyFont="1" applyFill="1" applyBorder="1" applyAlignment="1">
      <alignment vertical="center" wrapText="1"/>
    </xf>
    <xf numFmtId="0" fontId="23" fillId="0" borderId="15"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0" fontId="32" fillId="0" borderId="3" xfId="0" applyFont="1" applyFill="1" applyBorder="1" applyAlignment="1">
      <alignment vertical="center" wrapText="1"/>
    </xf>
    <xf numFmtId="0" fontId="32"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3" xfId="0" applyFont="1" applyFill="1" applyBorder="1" applyAlignment="1">
      <alignment horizontal="left" vertical="top" wrapText="1"/>
    </xf>
    <xf numFmtId="4" fontId="20" fillId="0" borderId="3" xfId="1" applyNumberFormat="1" applyFont="1" applyFill="1" applyBorder="1" applyAlignment="1">
      <alignment horizontal="right" vertical="center" wrapText="1"/>
    </xf>
    <xf numFmtId="0" fontId="23" fillId="0" borderId="3" xfId="0" applyFont="1" applyFill="1" applyBorder="1" applyAlignment="1">
      <alignment vertical="center" wrapText="1"/>
    </xf>
    <xf numFmtId="0" fontId="4" fillId="0" borderId="0" xfId="0" applyFont="1" applyFill="1"/>
    <xf numFmtId="0" fontId="23" fillId="0" borderId="0" xfId="0" applyFont="1" applyFill="1" applyAlignment="1">
      <alignment vertical="center" wrapText="1"/>
    </xf>
    <xf numFmtId="0" fontId="32" fillId="0" borderId="0" xfId="0" applyFont="1" applyFill="1" applyAlignment="1">
      <alignment vertical="center" wrapText="1"/>
    </xf>
    <xf numFmtId="0" fontId="41" fillId="0" borderId="3" xfId="0" applyFont="1" applyFill="1" applyBorder="1" applyAlignment="1">
      <alignment horizontal="right" vertical="center" wrapText="1"/>
    </xf>
    <xf numFmtId="4" fontId="42" fillId="0" borderId="0" xfId="0" applyNumberFormat="1" applyFont="1" applyFill="1" applyAlignment="1">
      <alignment vertical="center" wrapText="1"/>
    </xf>
    <xf numFmtId="4" fontId="41" fillId="0" borderId="3" xfId="1" applyNumberFormat="1" applyFont="1" applyFill="1" applyBorder="1" applyAlignment="1">
      <alignment horizontal="right" vertical="center" wrapText="1"/>
    </xf>
    <xf numFmtId="4" fontId="41" fillId="0" borderId="3" xfId="0" applyNumberFormat="1" applyFont="1" applyFill="1" applyBorder="1" applyAlignment="1">
      <alignment horizontal="right" vertical="center" wrapText="1"/>
    </xf>
    <xf numFmtId="14" fontId="40" fillId="0" borderId="3" xfId="0" applyNumberFormat="1" applyFont="1" applyFill="1" applyBorder="1" applyAlignment="1">
      <alignment horizontal="right" vertical="center" wrapText="1"/>
    </xf>
    <xf numFmtId="14" fontId="38" fillId="0" borderId="3" xfId="0" applyNumberFormat="1" applyFont="1" applyFill="1" applyBorder="1" applyAlignment="1">
      <alignment horizontal="right" vertical="center" wrapText="1"/>
    </xf>
    <xf numFmtId="0" fontId="30" fillId="0" borderId="3"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35" fillId="0" borderId="3" xfId="0" applyFont="1" applyFill="1" applyBorder="1" applyAlignment="1">
      <alignment vertical="top" wrapText="1"/>
    </xf>
    <xf numFmtId="1" fontId="18" fillId="0" borderId="3" xfId="0" applyNumberFormat="1"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5" fillId="0" borderId="3" xfId="0" applyFont="1" applyFill="1" applyBorder="1" applyAlignment="1">
      <alignment horizontal="center" vertical="center" wrapText="1"/>
    </xf>
    <xf numFmtId="164" fontId="21" fillId="0" borderId="3" xfId="0" applyNumberFormat="1" applyFont="1" applyFill="1" applyBorder="1" applyAlignment="1">
      <alignment horizontal="center" vertical="center" wrapText="1"/>
    </xf>
    <xf numFmtId="4" fontId="21" fillId="0" borderId="3" xfId="0" applyNumberFormat="1"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3" fontId="18" fillId="0" borderId="3" xfId="0" applyNumberFormat="1" applyFont="1" applyFill="1" applyBorder="1" applyAlignment="1">
      <alignment horizontal="right" vertical="center" wrapText="1"/>
    </xf>
    <xf numFmtId="4" fontId="18" fillId="0" borderId="3" xfId="0" applyNumberFormat="1" applyFont="1" applyFill="1" applyBorder="1"/>
    <xf numFmtId="4" fontId="18" fillId="0" borderId="3" xfId="0" applyNumberFormat="1" applyFont="1" applyFill="1" applyBorder="1" applyAlignment="1">
      <alignment horizontal="center" vertical="center"/>
    </xf>
    <xf numFmtId="2" fontId="21" fillId="0" borderId="3" xfId="0" applyNumberFormat="1" applyFont="1" applyFill="1" applyBorder="1" applyAlignment="1">
      <alignment horizontal="right" vertical="center" wrapText="1"/>
    </xf>
    <xf numFmtId="0" fontId="20" fillId="0" borderId="15" xfId="0" applyFont="1" applyFill="1" applyBorder="1" applyAlignment="1">
      <alignment vertical="center" wrapText="1"/>
    </xf>
    <xf numFmtId="4" fontId="21" fillId="0" borderId="3" xfId="0" applyNumberFormat="1" applyFont="1" applyFill="1" applyBorder="1" applyAlignment="1">
      <alignment horizontal="center" vertical="center"/>
    </xf>
    <xf numFmtId="0" fontId="33" fillId="0" borderId="3" xfId="0" applyFont="1" applyFill="1" applyBorder="1" applyAlignment="1">
      <alignment horizontal="center" vertical="center" wrapText="1"/>
    </xf>
    <xf numFmtId="0" fontId="18" fillId="0" borderId="25" xfId="0" applyFont="1" applyFill="1" applyBorder="1" applyAlignment="1">
      <alignment horizontal="left" vertical="center" wrapText="1"/>
    </xf>
    <xf numFmtId="0" fontId="31" fillId="0" borderId="5" xfId="0" applyFont="1" applyFill="1" applyBorder="1" applyAlignment="1">
      <alignment vertical="top" wrapText="1"/>
    </xf>
    <xf numFmtId="0" fontId="38" fillId="0" borderId="3" xfId="0" applyFont="1" applyFill="1" applyBorder="1" applyAlignment="1">
      <alignment horizontal="left" vertical="center" wrapText="1"/>
    </xf>
    <xf numFmtId="0" fontId="25" fillId="0" borderId="14" xfId="0" applyFont="1" applyFill="1" applyBorder="1" applyAlignment="1">
      <alignment horizontal="center" vertical="center" wrapText="1"/>
    </xf>
    <xf numFmtId="0" fontId="21" fillId="0" borderId="3" xfId="0" applyFont="1" applyFill="1" applyBorder="1" applyAlignment="1">
      <alignment horizontal="justify" vertical="top" wrapText="1"/>
    </xf>
    <xf numFmtId="0" fontId="30" fillId="0" borderId="0" xfId="0" applyFont="1" applyFill="1" applyAlignment="1">
      <alignment wrapText="1"/>
    </xf>
    <xf numFmtId="4" fontId="21" fillId="0" borderId="15" xfId="1" applyNumberFormat="1" applyFont="1" applyFill="1" applyBorder="1" applyAlignment="1">
      <alignment horizontal="right" vertical="center" wrapText="1"/>
    </xf>
    <xf numFmtId="0" fontId="11" fillId="0" borderId="3" xfId="0" applyFont="1" applyFill="1" applyBorder="1" applyAlignment="1">
      <alignment vertical="center" wrapText="1"/>
    </xf>
    <xf numFmtId="0" fontId="21" fillId="0" borderId="2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9" fillId="0" borderId="0" xfId="0" applyFont="1" applyFill="1" applyAlignment="1">
      <alignment vertical="center" wrapText="1"/>
    </xf>
    <xf numFmtId="0" fontId="9" fillId="0" borderId="0" xfId="0" applyFont="1" applyFill="1"/>
    <xf numFmtId="0" fontId="7" fillId="0" borderId="3" xfId="0" applyFont="1" applyFill="1" applyBorder="1" applyAlignment="1">
      <alignment vertical="center" wrapText="1"/>
    </xf>
    <xf numFmtId="4" fontId="20" fillId="0" borderId="3" xfId="0" applyNumberFormat="1" applyFont="1" applyFill="1" applyBorder="1" applyAlignment="1">
      <alignment horizontal="right" vertical="center" wrapText="1"/>
    </xf>
    <xf numFmtId="164" fontId="21" fillId="0" borderId="3" xfId="0" applyNumberFormat="1" applyFont="1" applyFill="1" applyBorder="1" applyAlignment="1">
      <alignment horizontal="right" vertical="center" wrapText="1"/>
    </xf>
    <xf numFmtId="3" fontId="21" fillId="0" borderId="15"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wrapText="1"/>
    </xf>
    <xf numFmtId="4" fontId="21" fillId="0" borderId="15" xfId="0" applyNumberFormat="1" applyFont="1" applyFill="1" applyBorder="1" applyAlignment="1">
      <alignment horizontal="center" vertical="center" wrapText="1"/>
    </xf>
    <xf numFmtId="4" fontId="21" fillId="0" borderId="3" xfId="0" applyNumberFormat="1" applyFont="1" applyFill="1" applyBorder="1" applyAlignment="1">
      <alignment horizontal="left" vertical="center" wrapText="1"/>
    </xf>
    <xf numFmtId="4" fontId="18" fillId="0" borderId="3" xfId="0" applyNumberFormat="1" applyFont="1" applyFill="1" applyBorder="1" applyAlignment="1">
      <alignment horizontal="left" vertical="center" wrapText="1"/>
    </xf>
    <xf numFmtId="4" fontId="15" fillId="0" borderId="3" xfId="0" applyNumberFormat="1" applyFont="1" applyFill="1" applyBorder="1" applyAlignment="1">
      <alignment horizontal="center" vertical="center" wrapText="1"/>
    </xf>
    <xf numFmtId="4" fontId="21" fillId="0" borderId="3" xfId="0" applyNumberFormat="1" applyFont="1" applyFill="1" applyBorder="1" applyAlignment="1">
      <alignment horizontal="left" vertical="top" wrapText="1"/>
    </xf>
    <xf numFmtId="4" fontId="0" fillId="0" borderId="0" xfId="0" applyNumberFormat="1" applyFill="1"/>
    <xf numFmtId="0" fontId="52" fillId="0" borderId="0" xfId="0" applyFont="1" applyFill="1" applyAlignment="1">
      <alignment horizontal="center" vertical="center" wrapText="1"/>
    </xf>
    <xf numFmtId="166" fontId="21" fillId="0" borderId="3" xfId="1" applyNumberFormat="1" applyFont="1" applyFill="1" applyBorder="1" applyAlignment="1">
      <alignment horizontal="center" vertical="center" wrapText="1"/>
    </xf>
    <xf numFmtId="4" fontId="21" fillId="0" borderId="3" xfId="1" applyNumberFormat="1" applyFont="1" applyFill="1" applyBorder="1" applyAlignment="1">
      <alignment horizontal="center" vertical="center" wrapText="1"/>
    </xf>
    <xf numFmtId="4" fontId="0" fillId="0" borderId="0" xfId="0" applyNumberFormat="1" applyFill="1" applyAlignment="1">
      <alignment horizontal="center" vertical="center" wrapText="1"/>
    </xf>
    <xf numFmtId="49" fontId="21" fillId="0" borderId="15" xfId="0" applyNumberFormat="1" applyFont="1" applyFill="1" applyBorder="1" applyAlignment="1">
      <alignment horizontal="center" vertical="center" wrapText="1"/>
    </xf>
    <xf numFmtId="4" fontId="18" fillId="0" borderId="14" xfId="0" applyNumberFormat="1" applyFont="1" applyFill="1" applyBorder="1" applyAlignment="1">
      <alignment horizontal="left" vertical="center" wrapText="1"/>
    </xf>
    <xf numFmtId="0" fontId="5" fillId="0" borderId="0" xfId="0" applyFont="1" applyFill="1"/>
    <xf numFmtId="0" fontId="55" fillId="0" borderId="3" xfId="0" applyFont="1" applyFill="1" applyBorder="1" applyAlignment="1">
      <alignment horizontal="left" vertical="center" wrapText="1"/>
    </xf>
    <xf numFmtId="4" fontId="18" fillId="0" borderId="3" xfId="0" applyNumberFormat="1" applyFont="1" applyFill="1" applyBorder="1" applyAlignment="1">
      <alignment vertical="center"/>
    </xf>
    <xf numFmtId="166" fontId="18" fillId="0" borderId="6" xfId="1" applyNumberFormat="1" applyFont="1" applyFill="1" applyBorder="1" applyAlignment="1">
      <alignment horizontal="right" vertical="center" wrapText="1"/>
    </xf>
    <xf numFmtId="0" fontId="12" fillId="0" borderId="0" xfId="0" applyFont="1" applyFill="1" applyAlignment="1">
      <alignment horizontal="left" vertical="center" wrapText="1"/>
    </xf>
    <xf numFmtId="3" fontId="15" fillId="0" borderId="3" xfId="1" applyNumberFormat="1" applyFont="1" applyFill="1" applyBorder="1" applyAlignment="1">
      <alignment horizontal="right" vertical="center" wrapText="1"/>
    </xf>
    <xf numFmtId="166" fontId="18" fillId="0" borderId="9" xfId="1" applyNumberFormat="1" applyFont="1" applyFill="1" applyBorder="1" applyAlignment="1">
      <alignment horizontal="right" vertical="center" wrapText="1"/>
    </xf>
    <xf numFmtId="166" fontId="18" fillId="0" borderId="15" xfId="1" applyNumberFormat="1" applyFont="1" applyFill="1" applyBorder="1" applyAlignment="1">
      <alignment horizontal="right" vertical="center" wrapText="1"/>
    </xf>
    <xf numFmtId="0" fontId="30" fillId="0" borderId="3" xfId="0" applyFont="1" applyFill="1" applyBorder="1" applyAlignment="1">
      <alignment vertical="center" wrapText="1"/>
    </xf>
    <xf numFmtId="0" fontId="30" fillId="0" borderId="0" xfId="0" applyFont="1" applyFill="1" applyAlignment="1">
      <alignment horizontal="center" vertical="center" wrapText="1"/>
    </xf>
    <xf numFmtId="0" fontId="52" fillId="0" borderId="3" xfId="0" applyFont="1" applyFill="1" applyBorder="1" applyAlignment="1">
      <alignment horizontal="center" vertical="center"/>
    </xf>
    <xf numFmtId="0" fontId="52" fillId="0" borderId="3" xfId="0" applyFont="1" applyFill="1" applyBorder="1" applyAlignment="1">
      <alignment horizontal="center" vertical="center" wrapText="1"/>
    </xf>
    <xf numFmtId="2" fontId="15" fillId="0" borderId="3" xfId="0" applyNumberFormat="1" applyFont="1" applyFill="1" applyBorder="1" applyAlignment="1">
      <alignment horizontal="right" vertical="center" wrapText="1"/>
    </xf>
    <xf numFmtId="166" fontId="18" fillId="0" borderId="5" xfId="1" applyNumberFormat="1" applyFont="1" applyFill="1" applyBorder="1" applyAlignment="1">
      <alignment horizontal="right" vertical="center" wrapText="1"/>
    </xf>
    <xf numFmtId="166" fontId="21" fillId="0" borderId="3" xfId="0" applyNumberFormat="1" applyFont="1" applyFill="1" applyBorder="1" applyAlignment="1">
      <alignment horizontal="right" vertical="center" wrapText="1"/>
    </xf>
    <xf numFmtId="0" fontId="0" fillId="0" borderId="0" xfId="0" applyFill="1" applyAlignment="1">
      <alignment wrapText="1"/>
    </xf>
    <xf numFmtId="0" fontId="30" fillId="0" borderId="0" xfId="0" applyFont="1" applyFill="1" applyAlignment="1">
      <alignment vertical="center" wrapText="1"/>
    </xf>
    <xf numFmtId="0" fontId="0" fillId="0" borderId="3" xfId="0" applyFill="1" applyBorder="1" applyAlignment="1">
      <alignment vertical="center" wrapText="1"/>
    </xf>
    <xf numFmtId="4" fontId="24" fillId="0" borderId="25" xfId="0" applyNumberFormat="1" applyFont="1" applyFill="1" applyBorder="1" applyAlignment="1">
      <alignment horizontal="right" vertical="center" wrapText="1"/>
    </xf>
    <xf numFmtId="4" fontId="24" fillId="0" borderId="3" xfId="0" applyNumberFormat="1" applyFont="1" applyFill="1" applyBorder="1" applyAlignment="1">
      <alignment horizontal="right" vertical="center" wrapText="1"/>
    </xf>
    <xf numFmtId="4" fontId="24" fillId="0" borderId="0" xfId="0" applyNumberFormat="1" applyFont="1" applyFill="1" applyAlignment="1">
      <alignment horizontal="right" vertical="center" wrapText="1"/>
    </xf>
    <xf numFmtId="4" fontId="24" fillId="0" borderId="26" xfId="0" applyNumberFormat="1" applyFont="1" applyFill="1" applyBorder="1" applyAlignment="1">
      <alignment horizontal="right" vertical="center" wrapText="1"/>
    </xf>
    <xf numFmtId="4" fontId="56" fillId="0" borderId="0" xfId="0" applyNumberFormat="1" applyFont="1" applyFill="1" applyAlignment="1">
      <alignment horizontal="right" vertical="center" wrapText="1"/>
    </xf>
    <xf numFmtId="4" fontId="21" fillId="0" borderId="6" xfId="0" applyNumberFormat="1" applyFont="1" applyFill="1" applyBorder="1" applyAlignment="1">
      <alignment horizontal="right" vertical="center" wrapText="1"/>
    </xf>
    <xf numFmtId="4" fontId="56" fillId="0" borderId="3" xfId="0" applyNumberFormat="1" applyFont="1" applyFill="1" applyBorder="1" applyAlignment="1">
      <alignment horizontal="right" vertical="center" wrapText="1"/>
    </xf>
    <xf numFmtId="0" fontId="0" fillId="0" borderId="0" xfId="0" applyFill="1" applyAlignment="1">
      <alignment vertical="center" wrapText="1"/>
    </xf>
    <xf numFmtId="0" fontId="24" fillId="0" borderId="3" xfId="0" applyFont="1" applyFill="1" applyBorder="1" applyAlignment="1">
      <alignment horizontal="right" vertical="center" wrapText="1"/>
    </xf>
    <xf numFmtId="0" fontId="13" fillId="0" borderId="0" xfId="0" applyFont="1" applyFill="1" applyAlignment="1">
      <alignment vertical="center" wrapText="1"/>
    </xf>
    <xf numFmtId="0" fontId="24" fillId="0" borderId="0" xfId="0" applyFont="1" applyFill="1" applyAlignment="1">
      <alignment horizontal="right" vertical="center" wrapText="1"/>
    </xf>
    <xf numFmtId="0" fontId="21" fillId="0" borderId="3" xfId="0" applyFont="1" applyFill="1" applyBorder="1" applyAlignment="1">
      <alignment vertical="center" wrapText="1"/>
    </xf>
    <xf numFmtId="14" fontId="21" fillId="0" borderId="3" xfId="0" applyNumberFormat="1" applyFont="1" applyFill="1" applyBorder="1" applyAlignment="1">
      <alignment horizontal="right" vertical="center" wrapText="1"/>
    </xf>
    <xf numFmtId="0" fontId="21" fillId="0" borderId="0" xfId="0" applyFont="1" applyFill="1" applyAlignment="1">
      <alignment horizontal="left" vertical="center"/>
    </xf>
    <xf numFmtId="0" fontId="8" fillId="0" borderId="0" xfId="0" applyFont="1" applyFill="1"/>
    <xf numFmtId="0" fontId="3" fillId="0" borderId="0" xfId="0" applyFont="1" applyFill="1"/>
    <xf numFmtId="166" fontId="18" fillId="0" borderId="0" xfId="0" applyNumberFormat="1" applyFont="1" applyFill="1" applyAlignment="1">
      <alignment vertical="center"/>
    </xf>
    <xf numFmtId="0" fontId="52" fillId="0" borderId="0" xfId="0" applyFont="1" applyFill="1" applyAlignment="1">
      <alignment horizontal="center" vertical="center"/>
    </xf>
    <xf numFmtId="0" fontId="27" fillId="0" borderId="3" xfId="0" applyFont="1" applyFill="1" applyBorder="1" applyAlignment="1">
      <alignment horizontal="center" vertical="center" wrapText="1"/>
    </xf>
    <xf numFmtId="166" fontId="18" fillId="0" borderId="3" xfId="0" applyNumberFormat="1" applyFont="1" applyFill="1" applyBorder="1" applyAlignment="1">
      <alignment vertical="center"/>
    </xf>
    <xf numFmtId="0" fontId="38" fillId="0" borderId="3" xfId="0" applyFont="1" applyFill="1" applyBorder="1" applyAlignment="1">
      <alignment horizontal="center" vertical="center" wrapText="1"/>
    </xf>
    <xf numFmtId="4" fontId="20" fillId="0" borderId="3" xfId="0" applyNumberFormat="1" applyFont="1" applyFill="1" applyBorder="1" applyAlignment="1">
      <alignment vertical="center" wrapText="1"/>
    </xf>
    <xf numFmtId="4" fontId="30" fillId="0" borderId="3" xfId="0" applyNumberFormat="1" applyFont="1" applyFill="1" applyBorder="1" applyAlignment="1">
      <alignment horizontal="right" vertical="center" wrapText="1"/>
    </xf>
    <xf numFmtId="166" fontId="18" fillId="0" borderId="4"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4" fontId="21" fillId="0" borderId="5" xfId="1" applyNumberFormat="1" applyFont="1" applyFill="1" applyBorder="1" applyAlignment="1">
      <alignment horizontal="right" vertical="center" wrapText="1"/>
    </xf>
    <xf numFmtId="4" fontId="30" fillId="0" borderId="0" xfId="0" applyNumberFormat="1" applyFont="1" applyFill="1" applyAlignment="1">
      <alignment horizontal="right" vertical="center" wrapText="1"/>
    </xf>
    <xf numFmtId="4" fontId="23" fillId="0" borderId="5" xfId="0" applyNumberFormat="1" applyFont="1" applyFill="1" applyBorder="1" applyAlignment="1">
      <alignment horizontal="right" vertical="center" wrapText="1"/>
    </xf>
    <xf numFmtId="166" fontId="18" fillId="0" borderId="3" xfId="0" applyNumberFormat="1" applyFont="1" applyFill="1" applyBorder="1"/>
    <xf numFmtId="3" fontId="15" fillId="0" borderId="5" xfId="0" applyNumberFormat="1" applyFont="1" applyFill="1" applyBorder="1" applyAlignment="1">
      <alignment horizontal="right" vertical="center" wrapText="1"/>
    </xf>
    <xf numFmtId="166" fontId="0" fillId="0" borderId="3" xfId="0" applyNumberFormat="1" applyFill="1" applyBorder="1" applyAlignment="1">
      <alignment horizontal="right" vertical="center" wrapText="1"/>
    </xf>
    <xf numFmtId="166" fontId="0" fillId="0" borderId="3" xfId="0" applyNumberFormat="1" applyFill="1" applyBorder="1"/>
    <xf numFmtId="0" fontId="18" fillId="0" borderId="3" xfId="0" applyFont="1" applyFill="1" applyBorder="1" applyAlignment="1">
      <alignment horizontal="left" vertical="justify" wrapText="1"/>
    </xf>
    <xf numFmtId="0" fontId="15" fillId="0" borderId="3" xfId="0" applyFont="1" applyFill="1" applyBorder="1" applyAlignment="1">
      <alignment horizontal="center" vertical="center"/>
    </xf>
    <xf numFmtId="0" fontId="0" fillId="0" borderId="0" xfId="0" applyFill="1" applyAlignment="1">
      <alignment horizontal="center" vertical="center" wrapText="1"/>
    </xf>
    <xf numFmtId="0" fontId="20" fillId="0" borderId="3" xfId="0" applyFont="1" applyFill="1" applyBorder="1" applyAlignment="1">
      <alignment vertical="center"/>
    </xf>
    <xf numFmtId="14" fontId="22" fillId="0" borderId="3" xfId="0" applyNumberFormat="1" applyFont="1" applyFill="1" applyBorder="1" applyAlignment="1">
      <alignment horizontal="right" vertical="center"/>
    </xf>
    <xf numFmtId="49" fontId="22" fillId="0" borderId="3" xfId="0" applyNumberFormat="1" applyFont="1" applyFill="1" applyBorder="1" applyAlignment="1">
      <alignment horizontal="right" vertical="center" wrapText="1"/>
    </xf>
    <xf numFmtId="14" fontId="24" fillId="0" borderId="3" xfId="0" applyNumberFormat="1" applyFont="1" applyFill="1" applyBorder="1" applyAlignment="1">
      <alignment horizontal="right" vertical="center" wrapText="1"/>
    </xf>
    <xf numFmtId="4" fontId="18" fillId="0" borderId="11" xfId="0" applyNumberFormat="1" applyFont="1" applyFill="1" applyBorder="1" applyAlignment="1">
      <alignment horizontal="right" vertical="center" wrapText="1"/>
    </xf>
    <xf numFmtId="0" fontId="16" fillId="0" borderId="0" xfId="0" applyFont="1" applyFill="1"/>
    <xf numFmtId="0" fontId="22" fillId="0" borderId="3" xfId="0" applyFont="1" applyFill="1" applyBorder="1" applyAlignment="1">
      <alignment horizontal="right" vertical="center" wrapText="1"/>
    </xf>
    <xf numFmtId="0" fontId="28" fillId="0" borderId="3" xfId="0" applyFont="1" applyFill="1" applyBorder="1" applyAlignment="1">
      <alignment horizontal="center" vertical="center" wrapText="1"/>
    </xf>
    <xf numFmtId="0" fontId="58" fillId="0" borderId="3" xfId="0" applyNumberFormat="1" applyFont="1" applyFill="1" applyBorder="1" applyAlignment="1">
      <alignment horizontal="right" vertical="center" wrapText="1"/>
    </xf>
    <xf numFmtId="0" fontId="29" fillId="0" borderId="3" xfId="0" applyFont="1" applyFill="1" applyBorder="1" applyAlignment="1">
      <alignment horizontal="center" vertical="center" wrapText="1"/>
    </xf>
    <xf numFmtId="4" fontId="18" fillId="0" borderId="6" xfId="0" applyNumberFormat="1" applyFont="1" applyFill="1" applyBorder="1" applyAlignment="1">
      <alignment horizontal="right" vertical="center" wrapText="1"/>
    </xf>
    <xf numFmtId="4" fontId="18" fillId="0" borderId="10" xfId="0" applyNumberFormat="1" applyFont="1" applyFill="1" applyBorder="1" applyAlignment="1">
      <alignment horizontal="right" vertical="center" wrapText="1"/>
    </xf>
    <xf numFmtId="0" fontId="30" fillId="0" borderId="0" xfId="0" applyFont="1" applyFill="1" applyAlignment="1">
      <alignment horizontal="justify" vertical="center"/>
    </xf>
    <xf numFmtId="0" fontId="39" fillId="0" borderId="19" xfId="0" applyFont="1" applyFill="1" applyBorder="1" applyAlignment="1">
      <alignment horizontal="center" vertical="center" wrapText="1"/>
    </xf>
    <xf numFmtId="0" fontId="0" fillId="0" borderId="3" xfId="0" applyFill="1" applyBorder="1" applyAlignment="1">
      <alignment horizontal="right"/>
    </xf>
    <xf numFmtId="0" fontId="32" fillId="0" borderId="3" xfId="0" applyFont="1" applyFill="1" applyBorder="1" applyAlignment="1">
      <alignment vertical="center"/>
    </xf>
    <xf numFmtId="0" fontId="20" fillId="0" borderId="0" xfId="0" applyFont="1" applyFill="1" applyAlignment="1">
      <alignment horizontal="center" vertical="center"/>
    </xf>
    <xf numFmtId="0" fontId="20" fillId="0" borderId="0" xfId="0" applyFont="1" applyFill="1" applyAlignment="1">
      <alignmen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8" fillId="0" borderId="5" xfId="0" applyFont="1" applyFill="1" applyBorder="1" applyAlignment="1">
      <alignment horizontal="justify" vertical="top" wrapText="1"/>
    </xf>
    <xf numFmtId="0" fontId="33" fillId="0" borderId="0" xfId="0" applyFont="1" applyFill="1" applyAlignment="1">
      <alignment horizontal="center" vertical="center" wrapText="1"/>
    </xf>
    <xf numFmtId="0" fontId="32" fillId="0" borderId="18" xfId="0" applyFont="1" applyFill="1" applyBorder="1" applyAlignment="1">
      <alignment vertical="center" wrapText="1"/>
    </xf>
    <xf numFmtId="0" fontId="32" fillId="0" borderId="22" xfId="0" applyFont="1" applyFill="1" applyBorder="1" applyAlignment="1">
      <alignment vertical="center" wrapText="1"/>
    </xf>
    <xf numFmtId="4" fontId="43" fillId="0" borderId="3" xfId="0" applyNumberFormat="1" applyFont="1" applyFill="1" applyBorder="1" applyAlignment="1">
      <alignment horizontal="right" vertical="center"/>
    </xf>
    <xf numFmtId="4" fontId="43" fillId="0" borderId="3" xfId="0" applyNumberFormat="1" applyFont="1" applyFill="1" applyBorder="1" applyAlignment="1">
      <alignment horizontal="center" vertical="center"/>
    </xf>
    <xf numFmtId="4" fontId="43" fillId="0" borderId="0" xfId="0" applyNumberFormat="1" applyFont="1" applyFill="1" applyAlignment="1">
      <alignment horizontal="right" vertical="center"/>
    </xf>
    <xf numFmtId="0" fontId="44" fillId="0" borderId="3" xfId="0" applyFont="1" applyFill="1" applyBorder="1" applyAlignment="1">
      <alignment vertical="center"/>
    </xf>
    <xf numFmtId="14" fontId="22" fillId="0" borderId="3" xfId="0" applyNumberFormat="1" applyFont="1" applyFill="1" applyBorder="1" applyAlignment="1">
      <alignment horizontal="center" vertical="center" wrapText="1"/>
    </xf>
    <xf numFmtId="0" fontId="44" fillId="0" borderId="3" xfId="0" applyFont="1" applyFill="1" applyBorder="1" applyAlignment="1">
      <alignment vertical="center" wrapText="1"/>
    </xf>
    <xf numFmtId="0" fontId="0" fillId="0" borderId="3" xfId="0" applyFill="1" applyBorder="1"/>
    <xf numFmtId="0" fontId="0" fillId="0" borderId="3" xfId="0" applyFill="1" applyBorder="1" applyAlignment="1">
      <alignment wrapText="1"/>
    </xf>
    <xf numFmtId="4" fontId="21" fillId="0" borderId="1" xfId="0" applyNumberFormat="1" applyFont="1" applyFill="1" applyBorder="1" applyAlignment="1">
      <alignment vertical="center" wrapText="1"/>
    </xf>
    <xf numFmtId="166" fontId="0" fillId="0" borderId="18" xfId="0" applyNumberFormat="1" applyFill="1" applyBorder="1" applyAlignment="1">
      <alignment vertical="center"/>
    </xf>
    <xf numFmtId="0" fontId="32" fillId="0" borderId="15" xfId="0" applyFont="1" applyFill="1" applyBorder="1" applyAlignment="1">
      <alignment vertical="center" wrapText="1"/>
    </xf>
    <xf numFmtId="0" fontId="18" fillId="0" borderId="15" xfId="4" applyFont="1" applyFill="1" applyBorder="1" applyAlignment="1">
      <alignment horizontal="center" vertical="center" wrapText="1"/>
    </xf>
    <xf numFmtId="0" fontId="25" fillId="0" borderId="15" xfId="4" applyFont="1" applyFill="1" applyBorder="1" applyAlignment="1">
      <alignment horizontal="center" vertical="center" wrapText="1"/>
    </xf>
    <xf numFmtId="0" fontId="21" fillId="0" borderId="3" xfId="4" applyFont="1" applyFill="1" applyBorder="1" applyAlignment="1">
      <alignment horizontal="center" vertical="center" wrapText="1"/>
    </xf>
    <xf numFmtId="0" fontId="20" fillId="0" borderId="3" xfId="4" applyFont="1" applyFill="1" applyBorder="1" applyAlignment="1">
      <alignment vertical="center" wrapText="1"/>
    </xf>
    <xf numFmtId="0" fontId="32" fillId="0" borderId="15" xfId="4" applyFont="1" applyFill="1" applyBorder="1" applyAlignment="1">
      <alignment vertical="center" wrapText="1"/>
    </xf>
    <xf numFmtId="0" fontId="35" fillId="0" borderId="3" xfId="4" applyFont="1" applyFill="1" applyBorder="1" applyAlignment="1">
      <alignment horizontal="left" vertical="center" wrapText="1"/>
    </xf>
    <xf numFmtId="0" fontId="21" fillId="0" borderId="3" xfId="4" applyFont="1" applyFill="1" applyBorder="1" applyAlignment="1">
      <alignment horizontal="justify" vertical="top" wrapText="1"/>
    </xf>
    <xf numFmtId="14" fontId="18" fillId="0" borderId="3" xfId="4" applyNumberFormat="1" applyFont="1" applyFill="1" applyBorder="1" applyAlignment="1">
      <alignment horizontal="center" vertical="center" wrapText="1"/>
    </xf>
    <xf numFmtId="165" fontId="18" fillId="0" borderId="3" xfId="4" applyNumberFormat="1" applyFont="1" applyFill="1" applyBorder="1" applyAlignment="1">
      <alignment horizontal="center" vertical="center" wrapText="1"/>
    </xf>
    <xf numFmtId="0" fontId="18" fillId="0" borderId="3"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31" fillId="0" borderId="15" xfId="0" applyFont="1" applyFill="1" applyBorder="1" applyAlignment="1">
      <alignment vertical="center" wrapText="1"/>
    </xf>
    <xf numFmtId="0" fontId="46" fillId="0" borderId="3" xfId="0" applyFont="1" applyFill="1" applyBorder="1" applyAlignment="1">
      <alignment horizontal="left" vertical="center" wrapText="1"/>
    </xf>
    <xf numFmtId="166" fontId="23" fillId="0" borderId="3" xfId="0" applyNumberFormat="1" applyFont="1" applyFill="1" applyBorder="1" applyAlignment="1">
      <alignment horizontal="center" vertical="center" wrapText="1"/>
    </xf>
    <xf numFmtId="0" fontId="14" fillId="0" borderId="0" xfId="0" applyFont="1" applyFill="1" applyAlignment="1">
      <alignment wrapText="1"/>
    </xf>
    <xf numFmtId="0" fontId="44" fillId="0" borderId="15" xfId="0" applyFont="1" applyFill="1" applyBorder="1" applyAlignment="1">
      <alignment vertical="center" wrapText="1"/>
    </xf>
    <xf numFmtId="0" fontId="14" fillId="0" borderId="3" xfId="0" applyFont="1" applyFill="1" applyBorder="1" applyAlignment="1">
      <alignment wrapText="1"/>
    </xf>
    <xf numFmtId="0" fontId="23" fillId="0" borderId="15" xfId="0" applyFont="1" applyFill="1" applyBorder="1" applyAlignment="1">
      <alignment vertical="center" wrapText="1"/>
    </xf>
    <xf numFmtId="0" fontId="51" fillId="0" borderId="3" xfId="0" applyFont="1" applyFill="1" applyBorder="1" applyAlignment="1">
      <alignment horizontal="left" wrapText="1"/>
    </xf>
    <xf numFmtId="0" fontId="35" fillId="0" borderId="15" xfId="0" applyFont="1" applyFill="1" applyBorder="1" applyAlignment="1">
      <alignment vertical="center" wrapText="1"/>
    </xf>
    <xf numFmtId="0" fontId="21" fillId="0" borderId="3" xfId="0" applyFont="1" applyFill="1" applyBorder="1" applyAlignment="1">
      <alignment horizontal="justify" wrapText="1"/>
    </xf>
    <xf numFmtId="0" fontId="7" fillId="0" borderId="0" xfId="0" applyFont="1" applyFill="1" applyAlignment="1">
      <alignment horizontal="left" vertical="center" wrapText="1"/>
    </xf>
    <xf numFmtId="0" fontId="30" fillId="0" borderId="3" xfId="0" applyFont="1" applyFill="1" applyBorder="1" applyAlignment="1">
      <alignment horizontal="left" vertical="center" wrapText="1"/>
    </xf>
    <xf numFmtId="166" fontId="57" fillId="0" borderId="27" xfId="1" applyNumberFormat="1" applyFont="1" applyFill="1" applyBorder="1" applyAlignment="1">
      <alignment horizontal="right" vertical="center" wrapText="1"/>
    </xf>
    <xf numFmtId="0" fontId="6" fillId="0" borderId="3" xfId="0" applyFont="1" applyFill="1" applyBorder="1" applyAlignment="1">
      <alignment wrapText="1"/>
    </xf>
    <xf numFmtId="0" fontId="52" fillId="0" borderId="3" xfId="0" applyFont="1" applyFill="1" applyBorder="1" applyAlignment="1">
      <alignment wrapText="1"/>
    </xf>
    <xf numFmtId="0" fontId="52" fillId="0" borderId="3" xfId="0" applyFont="1" applyFill="1" applyBorder="1"/>
    <xf numFmtId="0" fontId="52" fillId="0" borderId="0" xfId="0" applyFont="1" applyFill="1" applyAlignment="1">
      <alignment vertical="center" wrapText="1"/>
    </xf>
    <xf numFmtId="0" fontId="35" fillId="0" borderId="5" xfId="0" applyFont="1" applyFill="1" applyBorder="1" applyAlignment="1">
      <alignment horizontal="left" vertical="center" wrapText="1"/>
    </xf>
    <xf numFmtId="0" fontId="5" fillId="0" borderId="15" xfId="0" applyFont="1" applyFill="1" applyBorder="1" applyAlignment="1">
      <alignment vertical="center" wrapText="1"/>
    </xf>
    <xf numFmtId="0" fontId="27" fillId="0" borderId="3" xfId="0" applyFont="1" applyFill="1" applyBorder="1" applyAlignment="1">
      <alignment horizontal="center" vertical="center"/>
    </xf>
    <xf numFmtId="0" fontId="0" fillId="0" borderId="3" xfId="0" applyFill="1" applyBorder="1" applyAlignment="1">
      <alignment horizontal="left" vertical="top" wrapText="1"/>
    </xf>
    <xf numFmtId="14" fontId="0" fillId="0" borderId="3" xfId="0" applyNumberFormat="1" applyFill="1" applyBorder="1" applyAlignment="1">
      <alignment horizontal="center" vertical="center"/>
    </xf>
    <xf numFmtId="0" fontId="53" fillId="0" borderId="1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0" fillId="0" borderId="6" xfId="0" applyFont="1" applyFill="1" applyBorder="1" applyAlignment="1">
      <alignment vertical="center" wrapText="1"/>
    </xf>
    <xf numFmtId="0" fontId="44" fillId="0" borderId="21" xfId="0" applyFont="1" applyFill="1" applyBorder="1" applyAlignment="1">
      <alignment horizontal="center" vertical="center" wrapText="1"/>
    </xf>
    <xf numFmtId="0" fontId="35" fillId="0" borderId="6" xfId="0" applyFont="1" applyFill="1" applyBorder="1" applyAlignment="1">
      <alignment horizontal="left" vertical="center" wrapText="1"/>
    </xf>
    <xf numFmtId="0" fontId="18" fillId="0" borderId="6" xfId="0" applyFont="1" applyFill="1" applyBorder="1" applyAlignment="1">
      <alignment horizontal="justify" vertical="top" wrapText="1"/>
    </xf>
    <xf numFmtId="14" fontId="18" fillId="0" borderId="6" xfId="0" applyNumberFormat="1" applyFont="1" applyFill="1" applyBorder="1" applyAlignment="1">
      <alignment horizontal="center" vertical="center" wrapText="1"/>
    </xf>
    <xf numFmtId="165" fontId="18" fillId="0" borderId="6"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6" xfId="0" applyFill="1" applyBorder="1" applyAlignment="1">
      <alignment horizontal="center" vertical="center"/>
    </xf>
    <xf numFmtId="166" fontId="18" fillId="0" borderId="6" xfId="0" applyNumberFormat="1" applyFont="1" applyFill="1" applyBorder="1" applyAlignment="1">
      <alignment horizontal="right" vertical="center" wrapText="1"/>
    </xf>
    <xf numFmtId="3" fontId="18" fillId="0" borderId="6" xfId="0" applyNumberFormat="1" applyFont="1" applyFill="1" applyBorder="1" applyAlignment="1">
      <alignment horizontal="right" vertical="center" wrapText="1"/>
    </xf>
    <xf numFmtId="14" fontId="22" fillId="0" borderId="6" xfId="0" applyNumberFormat="1" applyFont="1" applyFill="1" applyBorder="1" applyAlignment="1">
      <alignment horizontal="right" vertical="center" wrapText="1"/>
    </xf>
    <xf numFmtId="0" fontId="44" fillId="0" borderId="3"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62" fillId="0" borderId="3" xfId="0" applyFont="1" applyFill="1" applyBorder="1" applyAlignment="1">
      <alignment vertical="center" wrapText="1"/>
    </xf>
    <xf numFmtId="0" fontId="63" fillId="0" borderId="3" xfId="0" applyFont="1" applyFill="1" applyBorder="1" applyAlignment="1">
      <alignment vertical="center" wrapText="1"/>
    </xf>
    <xf numFmtId="4" fontId="15" fillId="0" borderId="5" xfId="0" applyNumberFormat="1" applyFont="1" applyFill="1" applyBorder="1" applyAlignment="1">
      <alignment horizontal="right" vertical="center" wrapText="1"/>
    </xf>
    <xf numFmtId="0" fontId="27" fillId="0" borderId="0" xfId="0" applyFont="1" applyFill="1"/>
    <xf numFmtId="0" fontId="0" fillId="0" borderId="0" xfId="0" applyFill="1" applyAlignment="1">
      <alignment horizontal="left"/>
    </xf>
    <xf numFmtId="0" fontId="0" fillId="0" borderId="0" xfId="0" applyFill="1" applyAlignment="1">
      <alignment horizontal="center"/>
    </xf>
    <xf numFmtId="166" fontId="18" fillId="0" borderId="4" xfId="1" applyNumberFormat="1" applyFont="1" applyFill="1" applyBorder="1" applyAlignment="1">
      <alignment horizontal="right" vertical="center" wrapText="1"/>
    </xf>
    <xf numFmtId="2" fontId="0" fillId="0" borderId="0" xfId="0" applyNumberFormat="1" applyFill="1"/>
    <xf numFmtId="0" fontId="20" fillId="0" borderId="0" xfId="0" applyFont="1" applyFill="1" applyBorder="1"/>
    <xf numFmtId="0" fontId="25" fillId="0" borderId="0" xfId="0"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justify" vertical="center" wrapText="1"/>
    </xf>
    <xf numFmtId="14" fontId="15" fillId="0" borderId="0"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66" fontId="15" fillId="0" borderId="0" xfId="1" applyNumberFormat="1" applyFont="1" applyFill="1" applyBorder="1" applyAlignment="1">
      <alignment vertical="center" wrapText="1"/>
    </xf>
    <xf numFmtId="0" fontId="19" fillId="0" borderId="0" xfId="0" applyFont="1" applyFill="1" applyBorder="1"/>
    <xf numFmtId="0" fontId="14" fillId="0" borderId="0" xfId="0" applyFont="1" applyFill="1" applyBorder="1"/>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4" fontId="25"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3" fontId="25" fillId="0" borderId="0" xfId="0" applyNumberFormat="1" applyFont="1" applyFill="1" applyBorder="1" applyAlignment="1">
      <alignment horizontal="center" vertical="center" wrapText="1"/>
    </xf>
    <xf numFmtId="167" fontId="15" fillId="0" borderId="0" xfId="1" applyNumberFormat="1" applyFont="1" applyFill="1" applyBorder="1" applyAlignment="1">
      <alignment horizontal="center" vertical="center" wrapText="1"/>
    </xf>
    <xf numFmtId="0" fontId="26" fillId="0" borderId="0" xfId="0" applyFont="1" applyFill="1" applyBorder="1"/>
    <xf numFmtId="1"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xf>
    <xf numFmtId="0" fontId="19" fillId="0" borderId="0" xfId="0" applyFont="1" applyFill="1" applyBorder="1" applyAlignment="1">
      <alignment horizontal="center"/>
    </xf>
    <xf numFmtId="166" fontId="19" fillId="0" borderId="0" xfId="1" applyNumberFormat="1" applyFont="1" applyFill="1" applyBorder="1" applyAlignment="1">
      <alignment vertical="center"/>
    </xf>
    <xf numFmtId="164" fontId="19" fillId="0" borderId="0" xfId="1" applyFont="1" applyFill="1" applyBorder="1" applyAlignment="1">
      <alignment vertical="center"/>
    </xf>
    <xf numFmtId="4" fontId="19" fillId="0" borderId="0" xfId="1" applyNumberFormat="1" applyFont="1" applyFill="1" applyBorder="1" applyAlignment="1">
      <alignment vertical="center"/>
    </xf>
    <xf numFmtId="0" fontId="0" fillId="2" borderId="13" xfId="0" applyFill="1" applyBorder="1" applyAlignment="1">
      <alignment horizontal="center" vertical="center" wrapText="1"/>
    </xf>
    <xf numFmtId="4" fontId="15" fillId="2" borderId="1" xfId="0" applyNumberFormat="1" applyFont="1" applyFill="1" applyBorder="1" applyAlignment="1">
      <alignment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1" xfId="0" applyFont="1" applyFill="1" applyBorder="1" applyAlignment="1">
      <alignment vertical="center" wrapText="1"/>
    </xf>
    <xf numFmtId="0" fontId="15" fillId="2" borderId="3" xfId="0" applyFont="1" applyFill="1" applyBorder="1" applyAlignment="1">
      <alignment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0" xfId="0" applyFont="1" applyFill="1" applyBorder="1" applyAlignment="1">
      <alignment horizontal="center" vertical="center" wrapText="1"/>
    </xf>
    <xf numFmtId="4" fontId="15" fillId="2" borderId="3" xfId="0" applyNumberFormat="1" applyFont="1" applyFill="1" applyBorder="1" applyAlignment="1">
      <alignment vertical="center" wrapText="1"/>
    </xf>
    <xf numFmtId="4" fontId="15" fillId="2" borderId="8" xfId="0" applyNumberFormat="1" applyFont="1" applyFill="1" applyBorder="1" applyAlignment="1">
      <alignment horizontal="center" vertical="center" wrapText="1"/>
    </xf>
    <xf numFmtId="4" fontId="15" fillId="2" borderId="12" xfId="0" applyNumberFormat="1"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4" fontId="15" fillId="2" borderId="9" xfId="0" applyNumberFormat="1" applyFont="1" applyFill="1" applyBorder="1" applyAlignment="1">
      <alignment horizontal="center" vertical="center" wrapText="1"/>
    </xf>
    <xf numFmtId="4" fontId="15" fillId="2" borderId="14" xfId="0" applyNumberFormat="1"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4" fontId="15" fillId="2" borderId="1" xfId="0" applyNumberFormat="1" applyFont="1" applyFill="1" applyBorder="1" applyAlignment="1">
      <alignment vertical="center" wrapText="1"/>
    </xf>
    <xf numFmtId="4" fontId="15" fillId="2" borderId="8" xfId="0" applyNumberFormat="1" applyFont="1" applyFill="1" applyBorder="1" applyAlignment="1">
      <alignment vertical="center" wrapText="1"/>
    </xf>
    <xf numFmtId="4" fontId="15" fillId="2" borderId="6" xfId="0" applyNumberFormat="1" applyFont="1" applyFill="1" applyBorder="1" applyAlignment="1">
      <alignment vertical="center" wrapText="1"/>
    </xf>
    <xf numFmtId="4" fontId="15" fillId="2" borderId="20" xfId="0" applyNumberFormat="1" applyFont="1" applyFill="1" applyBorder="1" applyAlignment="1">
      <alignment vertical="center" wrapText="1"/>
    </xf>
    <xf numFmtId="3" fontId="15" fillId="2" borderId="1" xfId="0" applyNumberFormat="1" applyFont="1" applyFill="1" applyBorder="1" applyAlignment="1">
      <alignment vertical="center" wrapText="1"/>
    </xf>
    <xf numFmtId="3" fontId="15" fillId="2" borderId="3" xfId="0" applyNumberFormat="1" applyFont="1" applyFill="1" applyBorder="1" applyAlignment="1">
      <alignment vertical="center" wrapText="1"/>
    </xf>
    <xf numFmtId="0" fontId="18" fillId="0" borderId="2" xfId="0" quotePrefix="1" applyFont="1" applyFill="1" applyBorder="1" applyAlignment="1">
      <alignment horizontal="center" vertical="center" wrapText="1"/>
    </xf>
  </cellXfs>
  <cellStyles count="16">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10" Type="http://schemas.openxmlformats.org/officeDocument/2006/relationships/usernames" Target="revisions/userNames1.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99" Type="http://schemas.openxmlformats.org/officeDocument/2006/relationships/revisionLog" Target="revisionLog244.xml"/><Relationship Id="rId324" Type="http://schemas.openxmlformats.org/officeDocument/2006/relationships/revisionLog" Target="revisionLog269.xml"/><Relationship Id="rId366" Type="http://schemas.openxmlformats.org/officeDocument/2006/relationships/revisionLog" Target="revisionLog311.xml"/><Relationship Id="rId433" Type="http://schemas.openxmlformats.org/officeDocument/2006/relationships/revisionLog" Target="revisionLog378.xml"/><Relationship Id="rId268" Type="http://schemas.openxmlformats.org/officeDocument/2006/relationships/revisionLog" Target="revisionLog213.xml"/><Relationship Id="rId475" Type="http://schemas.openxmlformats.org/officeDocument/2006/relationships/revisionLog" Target="revisionLog420.xml"/><Relationship Id="rId454" Type="http://schemas.openxmlformats.org/officeDocument/2006/relationships/revisionLog" Target="revisionLog399.xml"/><Relationship Id="rId289" Type="http://schemas.openxmlformats.org/officeDocument/2006/relationships/revisionLog" Target="revisionLog234.xml"/><Relationship Id="rId496" Type="http://schemas.openxmlformats.org/officeDocument/2006/relationships/revisionLog" Target="revisionLog16.xml"/><Relationship Id="rId335" Type="http://schemas.openxmlformats.org/officeDocument/2006/relationships/revisionLog" Target="revisionLog280.xml"/><Relationship Id="rId377" Type="http://schemas.openxmlformats.org/officeDocument/2006/relationships/revisionLog" Target="revisionLog322.xml"/><Relationship Id="rId398" Type="http://schemas.openxmlformats.org/officeDocument/2006/relationships/revisionLog" Target="revisionLog343.xml"/><Relationship Id="rId314" Type="http://schemas.openxmlformats.org/officeDocument/2006/relationships/revisionLog" Target="revisionLog259.xml"/><Relationship Id="rId356" Type="http://schemas.openxmlformats.org/officeDocument/2006/relationships/revisionLog" Target="revisionLog301.xml"/><Relationship Id="rId500" Type="http://schemas.openxmlformats.org/officeDocument/2006/relationships/revisionLog" Target="revisionLog20.xml"/><Relationship Id="rId521" Type="http://schemas.openxmlformats.org/officeDocument/2006/relationships/revisionLog" Target="revisionLog41.xml"/><Relationship Id="rId402" Type="http://schemas.openxmlformats.org/officeDocument/2006/relationships/revisionLog" Target="revisionLog347.xml"/><Relationship Id="rId423" Type="http://schemas.openxmlformats.org/officeDocument/2006/relationships/revisionLog" Target="revisionLog368.xml"/><Relationship Id="rId279" Type="http://schemas.openxmlformats.org/officeDocument/2006/relationships/revisionLog" Target="revisionLog224.xml"/><Relationship Id="rId444" Type="http://schemas.openxmlformats.org/officeDocument/2006/relationships/revisionLog" Target="revisionLog389.xml"/><Relationship Id="rId465" Type="http://schemas.openxmlformats.org/officeDocument/2006/relationships/revisionLog" Target="revisionLog410.xml"/><Relationship Id="rId486" Type="http://schemas.openxmlformats.org/officeDocument/2006/relationships/revisionLog" Target="revisionLog6.xml"/><Relationship Id="rId388" Type="http://schemas.openxmlformats.org/officeDocument/2006/relationships/revisionLog" Target="revisionLog333.xml"/><Relationship Id="rId290" Type="http://schemas.openxmlformats.org/officeDocument/2006/relationships/revisionLog" Target="revisionLog235.xml"/><Relationship Id="rId304" Type="http://schemas.openxmlformats.org/officeDocument/2006/relationships/revisionLog" Target="revisionLog249.xml"/><Relationship Id="rId346" Type="http://schemas.openxmlformats.org/officeDocument/2006/relationships/revisionLog" Target="revisionLog291.xml"/><Relationship Id="rId325" Type="http://schemas.openxmlformats.org/officeDocument/2006/relationships/revisionLog" Target="revisionLog270.xml"/><Relationship Id="rId367" Type="http://schemas.openxmlformats.org/officeDocument/2006/relationships/revisionLog" Target="revisionLog312.xml"/><Relationship Id="rId511" Type="http://schemas.openxmlformats.org/officeDocument/2006/relationships/revisionLog" Target="revisionLog31.xml"/><Relationship Id="rId413" Type="http://schemas.openxmlformats.org/officeDocument/2006/relationships/revisionLog" Target="revisionLog358.xml"/><Relationship Id="rId476" Type="http://schemas.openxmlformats.org/officeDocument/2006/relationships/revisionLog" Target="revisionLog421.xml"/><Relationship Id="rId455" Type="http://schemas.openxmlformats.org/officeDocument/2006/relationships/revisionLog" Target="revisionLog400.xml"/><Relationship Id="rId269" Type="http://schemas.openxmlformats.org/officeDocument/2006/relationships/revisionLog" Target="revisionLog214.xml"/><Relationship Id="rId434" Type="http://schemas.openxmlformats.org/officeDocument/2006/relationships/revisionLog" Target="revisionLog379.xml"/><Relationship Id="rId497" Type="http://schemas.openxmlformats.org/officeDocument/2006/relationships/revisionLog" Target="revisionLog17.xml"/><Relationship Id="rId357" Type="http://schemas.openxmlformats.org/officeDocument/2006/relationships/revisionLog" Target="revisionLog302.xml"/><Relationship Id="rId315" Type="http://schemas.openxmlformats.org/officeDocument/2006/relationships/revisionLog" Target="revisionLog260.xml"/><Relationship Id="rId336" Type="http://schemas.openxmlformats.org/officeDocument/2006/relationships/revisionLog" Target="revisionLog281.xml"/><Relationship Id="rId280" Type="http://schemas.openxmlformats.org/officeDocument/2006/relationships/revisionLog" Target="revisionLog225.xml"/><Relationship Id="rId501" Type="http://schemas.openxmlformats.org/officeDocument/2006/relationships/revisionLog" Target="revisionLog21.xml"/><Relationship Id="rId522" Type="http://schemas.openxmlformats.org/officeDocument/2006/relationships/revisionLog" Target="revisionLog42.xml"/><Relationship Id="rId399" Type="http://schemas.openxmlformats.org/officeDocument/2006/relationships/revisionLog" Target="revisionLog344.xml"/><Relationship Id="rId378" Type="http://schemas.openxmlformats.org/officeDocument/2006/relationships/revisionLog" Target="revisionLog323.xml"/><Relationship Id="rId403" Type="http://schemas.openxmlformats.org/officeDocument/2006/relationships/revisionLog" Target="revisionLog348.xml"/><Relationship Id="rId445" Type="http://schemas.openxmlformats.org/officeDocument/2006/relationships/revisionLog" Target="revisionLog390.xml"/><Relationship Id="rId424" Type="http://schemas.openxmlformats.org/officeDocument/2006/relationships/revisionLog" Target="revisionLog369.xml"/><Relationship Id="rId466" Type="http://schemas.openxmlformats.org/officeDocument/2006/relationships/revisionLog" Target="revisionLog411.xml"/><Relationship Id="rId487" Type="http://schemas.openxmlformats.org/officeDocument/2006/relationships/revisionLog" Target="revisionLog7.xml"/><Relationship Id="rId326" Type="http://schemas.openxmlformats.org/officeDocument/2006/relationships/revisionLog" Target="revisionLog271.xml"/><Relationship Id="rId270" Type="http://schemas.openxmlformats.org/officeDocument/2006/relationships/revisionLog" Target="revisionLog215.xml"/><Relationship Id="rId291" Type="http://schemas.openxmlformats.org/officeDocument/2006/relationships/revisionLog" Target="revisionLog236.xml"/><Relationship Id="rId305" Type="http://schemas.openxmlformats.org/officeDocument/2006/relationships/revisionLog" Target="revisionLog250.xml"/><Relationship Id="rId347" Type="http://schemas.openxmlformats.org/officeDocument/2006/relationships/revisionLog" Target="revisionLog292.xml"/><Relationship Id="rId512" Type="http://schemas.openxmlformats.org/officeDocument/2006/relationships/revisionLog" Target="revisionLog32.xml"/><Relationship Id="rId368" Type="http://schemas.openxmlformats.org/officeDocument/2006/relationships/revisionLog" Target="revisionLog313.xml"/><Relationship Id="rId389" Type="http://schemas.openxmlformats.org/officeDocument/2006/relationships/revisionLog" Target="revisionLog334.xml"/><Relationship Id="rId477" Type="http://schemas.openxmlformats.org/officeDocument/2006/relationships/revisionLog" Target="revisionLog422.xml"/><Relationship Id="rId414" Type="http://schemas.openxmlformats.org/officeDocument/2006/relationships/revisionLog" Target="revisionLog359.xml"/><Relationship Id="rId435" Type="http://schemas.openxmlformats.org/officeDocument/2006/relationships/revisionLog" Target="revisionLog380.xml"/><Relationship Id="rId456" Type="http://schemas.openxmlformats.org/officeDocument/2006/relationships/revisionLog" Target="revisionLog401.xml"/><Relationship Id="rId498" Type="http://schemas.openxmlformats.org/officeDocument/2006/relationships/revisionLog" Target="revisionLog18.xml"/><Relationship Id="rId281" Type="http://schemas.openxmlformats.org/officeDocument/2006/relationships/revisionLog" Target="revisionLog226.xml"/><Relationship Id="rId337" Type="http://schemas.openxmlformats.org/officeDocument/2006/relationships/revisionLog" Target="revisionLog282.xml"/><Relationship Id="rId316" Type="http://schemas.openxmlformats.org/officeDocument/2006/relationships/revisionLog" Target="revisionLog261.xml"/><Relationship Id="rId502" Type="http://schemas.openxmlformats.org/officeDocument/2006/relationships/revisionLog" Target="revisionLog22.xml"/><Relationship Id="rId523" Type="http://schemas.openxmlformats.org/officeDocument/2006/relationships/revisionLog" Target="revisionLog43.xml"/><Relationship Id="rId379" Type="http://schemas.openxmlformats.org/officeDocument/2006/relationships/revisionLog" Target="revisionLog324.xml"/><Relationship Id="rId358" Type="http://schemas.openxmlformats.org/officeDocument/2006/relationships/revisionLog" Target="revisionLog303.xml"/><Relationship Id="rId425" Type="http://schemas.openxmlformats.org/officeDocument/2006/relationships/revisionLog" Target="revisionLog370.xml"/><Relationship Id="rId467" Type="http://schemas.openxmlformats.org/officeDocument/2006/relationships/revisionLog" Target="revisionLog412.xml"/><Relationship Id="rId390" Type="http://schemas.openxmlformats.org/officeDocument/2006/relationships/revisionLog" Target="revisionLog335.xml"/><Relationship Id="rId404" Type="http://schemas.openxmlformats.org/officeDocument/2006/relationships/revisionLog" Target="revisionLog349.xml"/><Relationship Id="rId446" Type="http://schemas.openxmlformats.org/officeDocument/2006/relationships/revisionLog" Target="revisionLog391.xml"/><Relationship Id="rId271" Type="http://schemas.openxmlformats.org/officeDocument/2006/relationships/revisionLog" Target="revisionLog216.xml"/><Relationship Id="rId292" Type="http://schemas.openxmlformats.org/officeDocument/2006/relationships/revisionLog" Target="revisionLog237.xml"/><Relationship Id="rId306" Type="http://schemas.openxmlformats.org/officeDocument/2006/relationships/revisionLog" Target="revisionLog251.xml"/><Relationship Id="rId488" Type="http://schemas.openxmlformats.org/officeDocument/2006/relationships/revisionLog" Target="revisionLog8.xml"/><Relationship Id="rId348" Type="http://schemas.openxmlformats.org/officeDocument/2006/relationships/revisionLog" Target="revisionLog293.xml"/><Relationship Id="rId369" Type="http://schemas.openxmlformats.org/officeDocument/2006/relationships/revisionLog" Target="revisionLog314.xml"/><Relationship Id="rId327" Type="http://schemas.openxmlformats.org/officeDocument/2006/relationships/revisionLog" Target="revisionLog272.xml"/><Relationship Id="rId513" Type="http://schemas.openxmlformats.org/officeDocument/2006/relationships/revisionLog" Target="revisionLog33.xml"/><Relationship Id="rId457" Type="http://schemas.openxmlformats.org/officeDocument/2006/relationships/revisionLog" Target="revisionLog402.xml"/><Relationship Id="rId380" Type="http://schemas.openxmlformats.org/officeDocument/2006/relationships/revisionLog" Target="revisionLog325.xml"/><Relationship Id="rId436" Type="http://schemas.openxmlformats.org/officeDocument/2006/relationships/revisionLog" Target="revisionLog381.xml"/><Relationship Id="rId415" Type="http://schemas.openxmlformats.org/officeDocument/2006/relationships/revisionLog" Target="revisionLog360.xml"/><Relationship Id="rId478" Type="http://schemas.openxmlformats.org/officeDocument/2006/relationships/revisionLog" Target="revisionLog423.xml"/><Relationship Id="rId499" Type="http://schemas.openxmlformats.org/officeDocument/2006/relationships/revisionLog" Target="revisionLog19.xml"/><Relationship Id="rId359" Type="http://schemas.openxmlformats.org/officeDocument/2006/relationships/revisionLog" Target="revisionLog304.xml"/><Relationship Id="rId317" Type="http://schemas.openxmlformats.org/officeDocument/2006/relationships/revisionLog" Target="revisionLog262.xml"/><Relationship Id="rId338" Type="http://schemas.openxmlformats.org/officeDocument/2006/relationships/revisionLog" Target="revisionLog283.xml"/><Relationship Id="rId282" Type="http://schemas.openxmlformats.org/officeDocument/2006/relationships/revisionLog" Target="revisionLog227.xml"/><Relationship Id="rId503" Type="http://schemas.openxmlformats.org/officeDocument/2006/relationships/revisionLog" Target="revisionLog23.xml"/><Relationship Id="rId524" Type="http://schemas.openxmlformats.org/officeDocument/2006/relationships/revisionLog" Target="revisionLog44.xml"/><Relationship Id="rId405" Type="http://schemas.openxmlformats.org/officeDocument/2006/relationships/revisionLog" Target="revisionLog350.xml"/><Relationship Id="rId426" Type="http://schemas.openxmlformats.org/officeDocument/2006/relationships/revisionLog" Target="revisionLog371.xml"/><Relationship Id="rId370" Type="http://schemas.openxmlformats.org/officeDocument/2006/relationships/revisionLog" Target="revisionLog315.xml"/><Relationship Id="rId391" Type="http://schemas.openxmlformats.org/officeDocument/2006/relationships/revisionLog" Target="revisionLog336.xml"/><Relationship Id="rId447" Type="http://schemas.openxmlformats.org/officeDocument/2006/relationships/revisionLog" Target="revisionLog392.xml"/><Relationship Id="rId468" Type="http://schemas.openxmlformats.org/officeDocument/2006/relationships/revisionLog" Target="revisionLog413.xml"/><Relationship Id="rId489" Type="http://schemas.openxmlformats.org/officeDocument/2006/relationships/revisionLog" Target="revisionLog9.xml"/><Relationship Id="rId328" Type="http://schemas.openxmlformats.org/officeDocument/2006/relationships/revisionLog" Target="revisionLog273.xml"/><Relationship Id="rId272" Type="http://schemas.openxmlformats.org/officeDocument/2006/relationships/revisionLog" Target="revisionLog217.xml"/><Relationship Id="rId293" Type="http://schemas.openxmlformats.org/officeDocument/2006/relationships/revisionLog" Target="revisionLog238.xml"/><Relationship Id="rId307" Type="http://schemas.openxmlformats.org/officeDocument/2006/relationships/revisionLog" Target="revisionLog252.xml"/><Relationship Id="rId349" Type="http://schemas.openxmlformats.org/officeDocument/2006/relationships/revisionLog" Target="revisionLog294.xml"/><Relationship Id="rId514" Type="http://schemas.openxmlformats.org/officeDocument/2006/relationships/revisionLog" Target="revisionLog34.xml"/><Relationship Id="rId381" Type="http://schemas.openxmlformats.org/officeDocument/2006/relationships/revisionLog" Target="revisionLog326.xml"/><Relationship Id="rId360" Type="http://schemas.openxmlformats.org/officeDocument/2006/relationships/revisionLog" Target="revisionLog305.xml"/><Relationship Id="rId416" Type="http://schemas.openxmlformats.org/officeDocument/2006/relationships/revisionLog" Target="revisionLog361.xml"/><Relationship Id="rId458" Type="http://schemas.openxmlformats.org/officeDocument/2006/relationships/revisionLog" Target="revisionLog403.xml"/><Relationship Id="rId437" Type="http://schemas.openxmlformats.org/officeDocument/2006/relationships/revisionLog" Target="revisionLog382.xml"/><Relationship Id="rId479" Type="http://schemas.openxmlformats.org/officeDocument/2006/relationships/revisionLog" Target="revisionLog424.xml"/><Relationship Id="rId283" Type="http://schemas.openxmlformats.org/officeDocument/2006/relationships/revisionLog" Target="revisionLog228.xml"/><Relationship Id="rId339" Type="http://schemas.openxmlformats.org/officeDocument/2006/relationships/revisionLog" Target="revisionLog284.xml"/><Relationship Id="rId318" Type="http://schemas.openxmlformats.org/officeDocument/2006/relationships/revisionLog" Target="revisionLog263.xml"/><Relationship Id="rId490" Type="http://schemas.openxmlformats.org/officeDocument/2006/relationships/revisionLog" Target="revisionLog10.xml"/><Relationship Id="rId504" Type="http://schemas.openxmlformats.org/officeDocument/2006/relationships/revisionLog" Target="revisionLog24.xml"/><Relationship Id="rId525" Type="http://schemas.openxmlformats.org/officeDocument/2006/relationships/revisionLog" Target="revisionLog45.xml"/><Relationship Id="rId371" Type="http://schemas.openxmlformats.org/officeDocument/2006/relationships/revisionLog" Target="revisionLog316.xml"/><Relationship Id="rId406" Type="http://schemas.openxmlformats.org/officeDocument/2006/relationships/revisionLog" Target="revisionLog351.xml"/><Relationship Id="rId350" Type="http://schemas.openxmlformats.org/officeDocument/2006/relationships/revisionLog" Target="revisionLog295.xml"/><Relationship Id="rId469" Type="http://schemas.openxmlformats.org/officeDocument/2006/relationships/revisionLog" Target="revisionLog414.xml"/><Relationship Id="rId392" Type="http://schemas.openxmlformats.org/officeDocument/2006/relationships/revisionLog" Target="revisionLog337.xml"/><Relationship Id="rId448" Type="http://schemas.openxmlformats.org/officeDocument/2006/relationships/revisionLog" Target="revisionLog393.xml"/><Relationship Id="rId427" Type="http://schemas.openxmlformats.org/officeDocument/2006/relationships/revisionLog" Target="revisionLog372.xml"/><Relationship Id="rId329" Type="http://schemas.openxmlformats.org/officeDocument/2006/relationships/revisionLog" Target="revisionLog274.xml"/><Relationship Id="rId294" Type="http://schemas.openxmlformats.org/officeDocument/2006/relationships/revisionLog" Target="revisionLog239.xml"/><Relationship Id="rId308" Type="http://schemas.openxmlformats.org/officeDocument/2006/relationships/revisionLog" Target="revisionLog253.xml"/><Relationship Id="rId480" Type="http://schemas.openxmlformats.org/officeDocument/2006/relationships/revisionLog" Target="revisionLog425.xml"/><Relationship Id="rId273" Type="http://schemas.openxmlformats.org/officeDocument/2006/relationships/revisionLog" Target="revisionLog218.xml"/><Relationship Id="rId515" Type="http://schemas.openxmlformats.org/officeDocument/2006/relationships/revisionLog" Target="revisionLog35.xml"/><Relationship Id="rId361" Type="http://schemas.openxmlformats.org/officeDocument/2006/relationships/revisionLog" Target="revisionLog306.xml"/><Relationship Id="rId340" Type="http://schemas.openxmlformats.org/officeDocument/2006/relationships/revisionLog" Target="revisionLog285.xml"/><Relationship Id="rId438" Type="http://schemas.openxmlformats.org/officeDocument/2006/relationships/revisionLog" Target="revisionLog383.xml"/><Relationship Id="rId417" Type="http://schemas.openxmlformats.org/officeDocument/2006/relationships/revisionLog" Target="revisionLog362.xml"/><Relationship Id="rId459" Type="http://schemas.openxmlformats.org/officeDocument/2006/relationships/revisionLog" Target="revisionLog404.xml"/><Relationship Id="rId382" Type="http://schemas.openxmlformats.org/officeDocument/2006/relationships/revisionLog" Target="revisionLog327.xml"/><Relationship Id="rId284" Type="http://schemas.openxmlformats.org/officeDocument/2006/relationships/revisionLog" Target="revisionLog229.xml"/><Relationship Id="rId505" Type="http://schemas.openxmlformats.org/officeDocument/2006/relationships/revisionLog" Target="revisionLog25.xml"/><Relationship Id="rId319" Type="http://schemas.openxmlformats.org/officeDocument/2006/relationships/revisionLog" Target="revisionLog264.xml"/><Relationship Id="rId470" Type="http://schemas.openxmlformats.org/officeDocument/2006/relationships/revisionLog" Target="revisionLog415.xml"/><Relationship Id="rId491" Type="http://schemas.openxmlformats.org/officeDocument/2006/relationships/revisionLog" Target="revisionLog11.xml"/><Relationship Id="rId526" Type="http://schemas.openxmlformats.org/officeDocument/2006/relationships/revisionLog" Target="revisionLog46.xml"/><Relationship Id="rId330" Type="http://schemas.openxmlformats.org/officeDocument/2006/relationships/revisionLog" Target="revisionLog275.xml"/><Relationship Id="rId407" Type="http://schemas.openxmlformats.org/officeDocument/2006/relationships/revisionLog" Target="revisionLog352.xml"/><Relationship Id="rId372" Type="http://schemas.openxmlformats.org/officeDocument/2006/relationships/revisionLog" Target="revisionLog317.xml"/><Relationship Id="rId428" Type="http://schemas.openxmlformats.org/officeDocument/2006/relationships/revisionLog" Target="revisionLog373.xml"/><Relationship Id="rId449" Type="http://schemas.openxmlformats.org/officeDocument/2006/relationships/revisionLog" Target="revisionLog394.xml"/><Relationship Id="rId393" Type="http://schemas.openxmlformats.org/officeDocument/2006/relationships/revisionLog" Target="revisionLog338.xml"/><Relationship Id="rId351" Type="http://schemas.openxmlformats.org/officeDocument/2006/relationships/revisionLog" Target="revisionLog296.xml"/><Relationship Id="rId309" Type="http://schemas.openxmlformats.org/officeDocument/2006/relationships/revisionLog" Target="revisionLog254.xml"/><Relationship Id="rId274" Type="http://schemas.openxmlformats.org/officeDocument/2006/relationships/revisionLog" Target="revisionLog219.xml"/><Relationship Id="rId460" Type="http://schemas.openxmlformats.org/officeDocument/2006/relationships/revisionLog" Target="revisionLog405.xml"/><Relationship Id="rId295" Type="http://schemas.openxmlformats.org/officeDocument/2006/relationships/revisionLog" Target="revisionLog240.xml"/><Relationship Id="rId481" Type="http://schemas.openxmlformats.org/officeDocument/2006/relationships/revisionLog" Target="revisionLog1.xml"/><Relationship Id="rId516" Type="http://schemas.openxmlformats.org/officeDocument/2006/relationships/revisionLog" Target="revisionLog36.xml"/><Relationship Id="rId320" Type="http://schemas.openxmlformats.org/officeDocument/2006/relationships/revisionLog" Target="revisionLog265.xml"/><Relationship Id="rId439" Type="http://schemas.openxmlformats.org/officeDocument/2006/relationships/revisionLog" Target="revisionLog384.xml"/><Relationship Id="rId362" Type="http://schemas.openxmlformats.org/officeDocument/2006/relationships/revisionLog" Target="revisionLog307.xml"/><Relationship Id="rId341" Type="http://schemas.openxmlformats.org/officeDocument/2006/relationships/revisionLog" Target="revisionLog286.xml"/><Relationship Id="rId383" Type="http://schemas.openxmlformats.org/officeDocument/2006/relationships/revisionLog" Target="revisionLog328.xml"/><Relationship Id="rId418" Type="http://schemas.openxmlformats.org/officeDocument/2006/relationships/revisionLog" Target="revisionLog363.xml"/><Relationship Id="rId471" Type="http://schemas.openxmlformats.org/officeDocument/2006/relationships/revisionLog" Target="revisionLog416.xml"/><Relationship Id="rId264" Type="http://schemas.openxmlformats.org/officeDocument/2006/relationships/revisionLog" Target="revisionLog209.xml"/><Relationship Id="rId285" Type="http://schemas.openxmlformats.org/officeDocument/2006/relationships/revisionLog" Target="revisionLog230.xml"/><Relationship Id="rId450" Type="http://schemas.openxmlformats.org/officeDocument/2006/relationships/revisionLog" Target="revisionLog395.xml"/><Relationship Id="rId506" Type="http://schemas.openxmlformats.org/officeDocument/2006/relationships/revisionLog" Target="revisionLog26.xml"/><Relationship Id="rId310" Type="http://schemas.openxmlformats.org/officeDocument/2006/relationships/revisionLog" Target="revisionLog255.xml"/><Relationship Id="rId492" Type="http://schemas.openxmlformats.org/officeDocument/2006/relationships/revisionLog" Target="revisionLog12.xml"/><Relationship Id="rId527" Type="http://schemas.openxmlformats.org/officeDocument/2006/relationships/revisionLog" Target="revisionLog47.xml"/><Relationship Id="rId352" Type="http://schemas.openxmlformats.org/officeDocument/2006/relationships/revisionLog" Target="revisionLog297.xml"/><Relationship Id="rId429" Type="http://schemas.openxmlformats.org/officeDocument/2006/relationships/revisionLog" Target="revisionLog374.xml"/><Relationship Id="rId408" Type="http://schemas.openxmlformats.org/officeDocument/2006/relationships/revisionLog" Target="revisionLog353.xml"/><Relationship Id="rId394" Type="http://schemas.openxmlformats.org/officeDocument/2006/relationships/revisionLog" Target="revisionLog339.xml"/><Relationship Id="rId373" Type="http://schemas.openxmlformats.org/officeDocument/2006/relationships/revisionLog" Target="revisionLog318.xml"/><Relationship Id="rId331" Type="http://schemas.openxmlformats.org/officeDocument/2006/relationships/revisionLog" Target="revisionLog276.xml"/><Relationship Id="rId440" Type="http://schemas.openxmlformats.org/officeDocument/2006/relationships/revisionLog" Target="revisionLog385.xml"/><Relationship Id="rId461" Type="http://schemas.openxmlformats.org/officeDocument/2006/relationships/revisionLog" Target="revisionLog406.xml"/><Relationship Id="rId275" Type="http://schemas.openxmlformats.org/officeDocument/2006/relationships/revisionLog" Target="revisionLog220.xml"/><Relationship Id="rId296" Type="http://schemas.openxmlformats.org/officeDocument/2006/relationships/revisionLog" Target="revisionLog241.xml"/><Relationship Id="rId300" Type="http://schemas.openxmlformats.org/officeDocument/2006/relationships/revisionLog" Target="revisionLog245.xml"/><Relationship Id="rId482" Type="http://schemas.openxmlformats.org/officeDocument/2006/relationships/revisionLog" Target="revisionLog2.xml"/><Relationship Id="rId517" Type="http://schemas.openxmlformats.org/officeDocument/2006/relationships/revisionLog" Target="revisionLog37.xml"/><Relationship Id="rId321" Type="http://schemas.openxmlformats.org/officeDocument/2006/relationships/revisionLog" Target="revisionLog266.xml"/><Relationship Id="rId419" Type="http://schemas.openxmlformats.org/officeDocument/2006/relationships/revisionLog" Target="revisionLog364.xml"/><Relationship Id="rId384" Type="http://schemas.openxmlformats.org/officeDocument/2006/relationships/revisionLog" Target="revisionLog329.xml"/><Relationship Id="rId363" Type="http://schemas.openxmlformats.org/officeDocument/2006/relationships/revisionLog" Target="revisionLog308.xml"/><Relationship Id="rId342" Type="http://schemas.openxmlformats.org/officeDocument/2006/relationships/revisionLog" Target="revisionLog287.xml"/><Relationship Id="rId430" Type="http://schemas.openxmlformats.org/officeDocument/2006/relationships/revisionLog" Target="revisionLog375.xml"/><Relationship Id="rId265" Type="http://schemas.openxmlformats.org/officeDocument/2006/relationships/revisionLog" Target="revisionLog210.xml"/><Relationship Id="rId286" Type="http://schemas.openxmlformats.org/officeDocument/2006/relationships/revisionLog" Target="revisionLog231.xml"/><Relationship Id="rId451" Type="http://schemas.openxmlformats.org/officeDocument/2006/relationships/revisionLog" Target="revisionLog396.xml"/><Relationship Id="rId472" Type="http://schemas.openxmlformats.org/officeDocument/2006/relationships/revisionLog" Target="revisionLog417.xml"/><Relationship Id="rId493" Type="http://schemas.openxmlformats.org/officeDocument/2006/relationships/revisionLog" Target="revisionLog13.xml"/><Relationship Id="rId507" Type="http://schemas.openxmlformats.org/officeDocument/2006/relationships/revisionLog" Target="revisionLog27.xml"/><Relationship Id="rId528" Type="http://schemas.openxmlformats.org/officeDocument/2006/relationships/revisionLog" Target="revisionLog48.xml"/><Relationship Id="rId332" Type="http://schemas.openxmlformats.org/officeDocument/2006/relationships/revisionLog" Target="revisionLog277.xml"/><Relationship Id="rId374" Type="http://schemas.openxmlformats.org/officeDocument/2006/relationships/revisionLog" Target="revisionLog319.xml"/><Relationship Id="rId353" Type="http://schemas.openxmlformats.org/officeDocument/2006/relationships/revisionLog" Target="revisionLog298.xml"/><Relationship Id="rId409" Type="http://schemas.openxmlformats.org/officeDocument/2006/relationships/revisionLog" Target="revisionLog354.xml"/><Relationship Id="rId395" Type="http://schemas.openxmlformats.org/officeDocument/2006/relationships/revisionLog" Target="revisionLog340.xml"/><Relationship Id="rId311" Type="http://schemas.openxmlformats.org/officeDocument/2006/relationships/revisionLog" Target="revisionLog256.xml"/><Relationship Id="rId420" Type="http://schemas.openxmlformats.org/officeDocument/2006/relationships/revisionLog" Target="revisionLog365.xml"/><Relationship Id="rId462" Type="http://schemas.openxmlformats.org/officeDocument/2006/relationships/revisionLog" Target="revisionLog407.xml"/><Relationship Id="rId276" Type="http://schemas.openxmlformats.org/officeDocument/2006/relationships/revisionLog" Target="revisionLog221.xml"/><Relationship Id="rId297" Type="http://schemas.openxmlformats.org/officeDocument/2006/relationships/revisionLog" Target="revisionLog242.xml"/><Relationship Id="rId441" Type="http://schemas.openxmlformats.org/officeDocument/2006/relationships/revisionLog" Target="revisionLog386.xml"/><Relationship Id="rId483" Type="http://schemas.openxmlformats.org/officeDocument/2006/relationships/revisionLog" Target="revisionLog3.xml"/><Relationship Id="rId518" Type="http://schemas.openxmlformats.org/officeDocument/2006/relationships/revisionLog" Target="revisionLog38.xml"/><Relationship Id="rId301" Type="http://schemas.openxmlformats.org/officeDocument/2006/relationships/revisionLog" Target="revisionLog246.xml"/><Relationship Id="rId322" Type="http://schemas.openxmlformats.org/officeDocument/2006/relationships/revisionLog" Target="revisionLog267.xml"/><Relationship Id="rId343" Type="http://schemas.openxmlformats.org/officeDocument/2006/relationships/revisionLog" Target="revisionLog288.xml"/><Relationship Id="rId364" Type="http://schemas.openxmlformats.org/officeDocument/2006/relationships/revisionLog" Target="revisionLog309.xml"/><Relationship Id="rId385" Type="http://schemas.openxmlformats.org/officeDocument/2006/relationships/revisionLog" Target="revisionLog330.xml"/><Relationship Id="rId473" Type="http://schemas.openxmlformats.org/officeDocument/2006/relationships/revisionLog" Target="revisionLog418.xml"/><Relationship Id="rId452" Type="http://schemas.openxmlformats.org/officeDocument/2006/relationships/revisionLog" Target="revisionLog397.xml"/><Relationship Id="rId266" Type="http://schemas.openxmlformats.org/officeDocument/2006/relationships/revisionLog" Target="revisionLog211.xml"/><Relationship Id="rId287" Type="http://schemas.openxmlformats.org/officeDocument/2006/relationships/revisionLog" Target="revisionLog232.xml"/><Relationship Id="rId410" Type="http://schemas.openxmlformats.org/officeDocument/2006/relationships/revisionLog" Target="revisionLog355.xml"/><Relationship Id="rId431" Type="http://schemas.openxmlformats.org/officeDocument/2006/relationships/revisionLog" Target="revisionLog376.xml"/><Relationship Id="rId494" Type="http://schemas.openxmlformats.org/officeDocument/2006/relationships/revisionLog" Target="revisionLog14.xml"/><Relationship Id="rId508" Type="http://schemas.openxmlformats.org/officeDocument/2006/relationships/revisionLog" Target="revisionLog28.xml"/><Relationship Id="rId529" Type="http://schemas.openxmlformats.org/officeDocument/2006/relationships/revisionLog" Target="revisionLog49.xml"/><Relationship Id="rId354" Type="http://schemas.openxmlformats.org/officeDocument/2006/relationships/revisionLog" Target="revisionLog299.xml"/><Relationship Id="rId312" Type="http://schemas.openxmlformats.org/officeDocument/2006/relationships/revisionLog" Target="revisionLog257.xml"/><Relationship Id="rId333" Type="http://schemas.openxmlformats.org/officeDocument/2006/relationships/revisionLog" Target="revisionLog278.xml"/><Relationship Id="rId375" Type="http://schemas.openxmlformats.org/officeDocument/2006/relationships/revisionLog" Target="revisionLog320.xml"/><Relationship Id="rId396" Type="http://schemas.openxmlformats.org/officeDocument/2006/relationships/revisionLog" Target="revisionLog341.xml"/><Relationship Id="rId463" Type="http://schemas.openxmlformats.org/officeDocument/2006/relationships/revisionLog" Target="revisionLog408.xml"/><Relationship Id="rId442" Type="http://schemas.openxmlformats.org/officeDocument/2006/relationships/revisionLog" Target="revisionLog387.xml"/><Relationship Id="rId421" Type="http://schemas.openxmlformats.org/officeDocument/2006/relationships/revisionLog" Target="revisionLog366.xml"/><Relationship Id="rId277" Type="http://schemas.openxmlformats.org/officeDocument/2006/relationships/revisionLog" Target="revisionLog222.xml"/><Relationship Id="rId298" Type="http://schemas.openxmlformats.org/officeDocument/2006/relationships/revisionLog" Target="revisionLog243.xml"/><Relationship Id="rId400" Type="http://schemas.openxmlformats.org/officeDocument/2006/relationships/revisionLog" Target="revisionLog345.xml"/><Relationship Id="rId484" Type="http://schemas.openxmlformats.org/officeDocument/2006/relationships/revisionLog" Target="revisionLog4.xml"/><Relationship Id="rId519" Type="http://schemas.openxmlformats.org/officeDocument/2006/relationships/revisionLog" Target="revisionLog39.xml"/><Relationship Id="rId302" Type="http://schemas.openxmlformats.org/officeDocument/2006/relationships/revisionLog" Target="revisionLog247.xml"/><Relationship Id="rId323" Type="http://schemas.openxmlformats.org/officeDocument/2006/relationships/revisionLog" Target="revisionLog268.xml"/><Relationship Id="rId344" Type="http://schemas.openxmlformats.org/officeDocument/2006/relationships/revisionLog" Target="revisionLog289.xml"/><Relationship Id="rId530" Type="http://schemas.openxmlformats.org/officeDocument/2006/relationships/revisionLog" Target="revisionLog50.xml"/><Relationship Id="rId386" Type="http://schemas.openxmlformats.org/officeDocument/2006/relationships/revisionLog" Target="revisionLog331.xml"/><Relationship Id="rId365" Type="http://schemas.openxmlformats.org/officeDocument/2006/relationships/revisionLog" Target="revisionLog310.xml"/><Relationship Id="rId474" Type="http://schemas.openxmlformats.org/officeDocument/2006/relationships/revisionLog" Target="revisionLog419.xml"/><Relationship Id="rId453" Type="http://schemas.openxmlformats.org/officeDocument/2006/relationships/revisionLog" Target="revisionLog398.xml"/><Relationship Id="rId432" Type="http://schemas.openxmlformats.org/officeDocument/2006/relationships/revisionLog" Target="revisionLog377.xml"/><Relationship Id="rId411" Type="http://schemas.openxmlformats.org/officeDocument/2006/relationships/revisionLog" Target="revisionLog356.xml"/><Relationship Id="rId267" Type="http://schemas.openxmlformats.org/officeDocument/2006/relationships/revisionLog" Target="revisionLog212.xml"/><Relationship Id="rId288" Type="http://schemas.openxmlformats.org/officeDocument/2006/relationships/revisionLog" Target="revisionLog233.xml"/><Relationship Id="rId509" Type="http://schemas.openxmlformats.org/officeDocument/2006/relationships/revisionLog" Target="revisionLog29.xml"/><Relationship Id="rId495" Type="http://schemas.openxmlformats.org/officeDocument/2006/relationships/revisionLog" Target="revisionLog15.xml"/><Relationship Id="rId313" Type="http://schemas.openxmlformats.org/officeDocument/2006/relationships/revisionLog" Target="revisionLog258.xml"/><Relationship Id="rId334" Type="http://schemas.openxmlformats.org/officeDocument/2006/relationships/revisionLog" Target="revisionLog279.xml"/><Relationship Id="rId397" Type="http://schemas.openxmlformats.org/officeDocument/2006/relationships/revisionLog" Target="revisionLog342.xml"/><Relationship Id="rId376" Type="http://schemas.openxmlformats.org/officeDocument/2006/relationships/revisionLog" Target="revisionLog321.xml"/><Relationship Id="rId355" Type="http://schemas.openxmlformats.org/officeDocument/2006/relationships/revisionLog" Target="revisionLog300.xml"/><Relationship Id="rId520" Type="http://schemas.openxmlformats.org/officeDocument/2006/relationships/revisionLog" Target="revisionLog40.xml"/><Relationship Id="rId464" Type="http://schemas.openxmlformats.org/officeDocument/2006/relationships/revisionLog" Target="revisionLog409.xml"/><Relationship Id="rId443" Type="http://schemas.openxmlformats.org/officeDocument/2006/relationships/revisionLog" Target="revisionLog388.xml"/><Relationship Id="rId422" Type="http://schemas.openxmlformats.org/officeDocument/2006/relationships/revisionLog" Target="revisionLog367.xml"/><Relationship Id="rId401" Type="http://schemas.openxmlformats.org/officeDocument/2006/relationships/revisionLog" Target="revisionLog346.xml"/><Relationship Id="rId278" Type="http://schemas.openxmlformats.org/officeDocument/2006/relationships/revisionLog" Target="revisionLog223.xml"/><Relationship Id="rId303" Type="http://schemas.openxmlformats.org/officeDocument/2006/relationships/revisionLog" Target="revisionLog248.xml"/><Relationship Id="rId485" Type="http://schemas.openxmlformats.org/officeDocument/2006/relationships/revisionLog" Target="revisionLog5.xml"/><Relationship Id="rId345" Type="http://schemas.openxmlformats.org/officeDocument/2006/relationships/revisionLog" Target="revisionLog290.xml"/><Relationship Id="rId387" Type="http://schemas.openxmlformats.org/officeDocument/2006/relationships/revisionLog" Target="revisionLog332.xml"/><Relationship Id="rId510" Type="http://schemas.openxmlformats.org/officeDocument/2006/relationships/revisionLog" Target="revisionLog30.xml"/><Relationship Id="rId412" Type="http://schemas.openxmlformats.org/officeDocument/2006/relationships/revisionLog" Target="revisionLog35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41734D5-4788-41EE-BAF2-89C761B58FF2}" diskRevisions="1" revisionId="5988" version="4">
  <header guid="{FA3E8698-524B-4266-84D3-8F4CAE9615CA}" dateTime="2019-06-27T11:53:59" maxSheetId="2" userName="ovidiu.dumitrache" r:id="rId264" minRId="2174" maxRId="2175">
    <sheetIdMap count="1">
      <sheetId val="1"/>
    </sheetIdMap>
  </header>
  <header guid="{5920F7A1-376B-42C3-B65A-9FBADE65C955}" dateTime="2019-06-27T16:06:40" maxSheetId="2" userName="roxana.barbu" r:id="rId265" minRId="2178" maxRId="2210">
    <sheetIdMap count="1">
      <sheetId val="1"/>
    </sheetIdMap>
  </header>
  <header guid="{24F9E27E-6AF0-4E23-A4FE-547A941A52FD}" dateTime="2019-06-27T16:07:08" maxSheetId="2" userName="roxana.barbu" r:id="rId266" minRId="2213" maxRId="2215">
    <sheetIdMap count="1">
      <sheetId val="1"/>
    </sheetIdMap>
  </header>
  <header guid="{F24C0DCD-D6F9-46F4-AAFB-CA8FE6A221AB}" dateTime="2019-06-27T16:10:43" maxSheetId="2" userName="roxana.barbu" r:id="rId267" minRId="2216">
    <sheetIdMap count="1">
      <sheetId val="1"/>
    </sheetIdMap>
  </header>
  <header guid="{7B4DE2B8-88A5-4EE2-9657-F5E6C3F6817B}" dateTime="2019-06-27T17:24:58" maxSheetId="2" userName="ovidiu.dumitrache" r:id="rId268" minRId="2219" maxRId="2235">
    <sheetIdMap count="1">
      <sheetId val="1"/>
    </sheetIdMap>
  </header>
  <header guid="{18FBF6A3-75A3-4147-9795-917185430EDE}" dateTime="2019-06-27T17:35:35" maxSheetId="2" userName="maria.petre" r:id="rId269" minRId="2238" maxRId="2245">
    <sheetIdMap count="1">
      <sheetId val="1"/>
    </sheetIdMap>
  </header>
  <header guid="{CA094943-BAD4-460F-9EAA-E61197526A9B}" dateTime="2019-06-27T17:42:18" maxSheetId="2" userName="maria.petre" r:id="rId270" minRId="2248" maxRId="2282">
    <sheetIdMap count="1">
      <sheetId val="1"/>
    </sheetIdMap>
  </header>
  <header guid="{D2146DB2-6FCD-4A7B-B9C3-F0993952D42A}" dateTime="2019-06-27T17:42:40" maxSheetId="2" userName="maria.petre" r:id="rId271" minRId="2285" maxRId="2303">
    <sheetIdMap count="1">
      <sheetId val="1"/>
    </sheetIdMap>
  </header>
  <header guid="{471F13E1-B7A6-49D7-B40E-80AC6563719E}" dateTime="2019-06-27T17:44:06" maxSheetId="2" userName="maria.petre" r:id="rId272" minRId="2304">
    <sheetIdMap count="1">
      <sheetId val="1"/>
    </sheetIdMap>
  </header>
  <header guid="{2F5C6865-066A-43E8-97B3-F8ABC17FED4D}" dateTime="2019-06-27T17:52:46" maxSheetId="2" userName="maria.petre" r:id="rId273" minRId="2307" maxRId="2360">
    <sheetIdMap count="1">
      <sheetId val="1"/>
    </sheetIdMap>
  </header>
  <header guid="{9C0A55E3-59F1-4BED-96EE-143FA35738EE}" dateTime="2019-06-27T18:00:22" maxSheetId="2" userName="maria.petre" r:id="rId274" minRId="2363" maxRId="2415">
    <sheetIdMap count="1">
      <sheetId val="1"/>
    </sheetIdMap>
  </header>
  <header guid="{F32EBDAC-AB9F-4AB3-B0D7-21B3C98F0809}" dateTime="2019-06-27T18:29:01" maxSheetId="2" userName="cristian.airinei" r:id="rId275" minRId="2416" maxRId="2423">
    <sheetIdMap count="1">
      <sheetId val="1"/>
    </sheetIdMap>
  </header>
  <header guid="{CA063C37-EC23-4EE0-ACF1-DCEA5F59E194}" dateTime="2019-06-28T10:25:14" maxSheetId="2" userName="georgiana.dobre" r:id="rId276" minRId="2426" maxRId="2442">
    <sheetIdMap count="1">
      <sheetId val="1"/>
    </sheetIdMap>
  </header>
  <header guid="{E13B2759-7BE7-49C4-BF64-2F384074D53A}" dateTime="2019-06-28T12:27:43" maxSheetId="2" userName="mariana.moraru" r:id="rId277" minRId="2445" maxRId="2478">
    <sheetIdMap count="1">
      <sheetId val="1"/>
    </sheetIdMap>
  </header>
  <header guid="{77049372-3004-48CA-9B7C-5A2268F63677}" dateTime="2019-07-01T11:05:22" maxSheetId="2" userName="luminita.jipa" r:id="rId278">
    <sheetIdMap count="1">
      <sheetId val="1"/>
    </sheetIdMap>
  </header>
  <header guid="{44E70C7C-CC4C-400D-AC3A-3CA91C086376}" dateTime="2019-07-01T14:14:00" maxSheetId="2" userName="roxana.barbu" r:id="rId279" minRId="2483" maxRId="2492">
    <sheetIdMap count="1">
      <sheetId val="1"/>
    </sheetIdMap>
  </header>
  <header guid="{BF23EC4B-7D5B-4AC3-9888-88FB0A081E38}" dateTime="2019-07-01T14:23:22" maxSheetId="2" userName="roxana.barbu" r:id="rId280" minRId="2495" maxRId="2518">
    <sheetIdMap count="1">
      <sheetId val="1"/>
    </sheetIdMap>
  </header>
  <header guid="{28C10C62-B9EE-45C6-B542-07765D342BA8}" dateTime="2019-07-01T14:26:52" maxSheetId="2" userName="roxana.barbu" r:id="rId281" minRId="2519">
    <sheetIdMap count="1">
      <sheetId val="1"/>
    </sheetIdMap>
  </header>
  <header guid="{A63F72A3-D741-43DA-BD2B-C859C854B404}" dateTime="2019-07-01T17:26:24" maxSheetId="2" userName="luminita.jipa" r:id="rId282" minRId="2520" maxRId="2588">
    <sheetIdMap count="1">
      <sheetId val="1"/>
    </sheetIdMap>
  </header>
  <header guid="{0DB41133-63BF-4975-A33C-721B94D7535A}" dateTime="2019-07-01T17:45:03" maxSheetId="2" userName="roxana.barbu" r:id="rId283" minRId="2591" maxRId="2626">
    <sheetIdMap count="1">
      <sheetId val="1"/>
    </sheetIdMap>
  </header>
  <header guid="{30D7AFFD-D790-400D-9833-2C31D4218CD8}" dateTime="2019-07-02T10:52:37" maxSheetId="2" userName="georgiana.dobre" r:id="rId284" minRId="2629" maxRId="2633">
    <sheetIdMap count="1">
      <sheetId val="1"/>
    </sheetIdMap>
  </header>
  <header guid="{146EDB58-51A4-486E-9607-65B51464AA2B}" dateTime="2019-07-02T10:55:38" maxSheetId="2" userName="vlad.pereteanu" r:id="rId285">
    <sheetIdMap count="1">
      <sheetId val="1"/>
    </sheetIdMap>
  </header>
  <header guid="{DD995BB6-58F0-4D0C-98E1-923D237BBB03}" dateTime="2019-07-02T14:16:08" maxSheetId="2" userName="luminita.jipa" r:id="rId286">
    <sheetIdMap count="1">
      <sheetId val="1"/>
    </sheetIdMap>
  </header>
  <header guid="{5CF85C96-55EF-4C60-A084-001886D73F2A}" dateTime="2019-07-02T17:24:18" maxSheetId="2" userName="luminita.jipa" r:id="rId287" minRId="2640" maxRId="2731">
    <sheetIdMap count="1">
      <sheetId val="1"/>
    </sheetIdMap>
  </header>
  <header guid="{49950E76-7B66-40DB-93E4-27DF049D7B83}" dateTime="2019-07-02T17:54:09" maxSheetId="2" userName="luminita.jipa" r:id="rId288" minRId="2732">
    <sheetIdMap count="1">
      <sheetId val="1"/>
    </sheetIdMap>
  </header>
  <header guid="{2F5AC2FD-78E3-4B3D-B198-C848AC7CB1B9}" dateTime="2019-07-03T14:10:55" maxSheetId="2" userName="vlad.pereteanu" r:id="rId289" minRId="2733" maxRId="2734">
    <sheetIdMap count="1">
      <sheetId val="1"/>
    </sheetIdMap>
  </header>
  <header guid="{B2F029A1-6948-4610-9FF7-01E198489C44}" dateTime="2019-07-03T16:58:31" maxSheetId="2" userName="elisabeta.trifan" r:id="rId290">
    <sheetIdMap count="1">
      <sheetId val="1"/>
    </sheetIdMap>
  </header>
  <header guid="{203A32AB-E920-4273-9750-01374972DB75}" dateTime="2019-07-04T17:39:41" maxSheetId="2" userName="vlad.pereteanu" r:id="rId291">
    <sheetIdMap count="1">
      <sheetId val="1"/>
    </sheetIdMap>
  </header>
  <header guid="{4CDDFA6D-4339-47F9-8E81-B42973D6A0E7}" dateTime="2019-07-04T17:40:19" maxSheetId="2" userName="elisabeta.trifan" r:id="rId292" minRId="2741" maxRId="2744">
    <sheetIdMap count="1">
      <sheetId val="1"/>
    </sheetIdMap>
  </header>
  <header guid="{C7BF0EC7-E0BA-4A34-888A-EF5FB05FBDE5}" dateTime="2019-07-04T17:40:44" maxSheetId="2" userName="elisabeta.trifan" r:id="rId293" minRId="2747">
    <sheetIdMap count="1">
      <sheetId val="1"/>
    </sheetIdMap>
  </header>
  <header guid="{2B46F3BA-F35C-45D4-B982-78B33A1CA80E}" dateTime="2019-07-04T17:41:38" maxSheetId="2" userName="elisabeta.trifan" r:id="rId294" minRId="2748" maxRId="2750">
    <sheetIdMap count="1">
      <sheetId val="1"/>
    </sheetIdMap>
  </header>
  <header guid="{C0583EC5-A547-4CD9-B078-57BB28655552}" dateTime="2019-07-04T17:41:47" maxSheetId="2" userName="elisabeta.trifan" r:id="rId295" minRId="2751">
    <sheetIdMap count="1">
      <sheetId val="1"/>
    </sheetIdMap>
  </header>
  <header guid="{DFB0CFEB-0224-4927-9BA2-2851D3BC53EE}" dateTime="2019-07-04T17:42:16" maxSheetId="2" userName="elisabeta.trifan" r:id="rId296" minRId="2752">
    <sheetIdMap count="1">
      <sheetId val="1"/>
    </sheetIdMap>
  </header>
  <header guid="{7C119DF3-B6BF-4834-898B-8582DCDC44E6}" dateTime="2019-07-04T17:42:44" maxSheetId="2" userName="elisabeta.trifan" r:id="rId297" minRId="2753">
    <sheetIdMap count="1">
      <sheetId val="1"/>
    </sheetIdMap>
  </header>
  <header guid="{E37C4012-E070-4D5B-80E8-6F6C86B091FA}" dateTime="2019-07-04T17:43:08" maxSheetId="2" userName="elisabeta.trifan" r:id="rId298" minRId="2754">
    <sheetIdMap count="1">
      <sheetId val="1"/>
    </sheetIdMap>
  </header>
  <header guid="{4CF8F168-6B27-4263-AC8D-F024EA7D92AB}" dateTime="2019-07-04T17:45:07" maxSheetId="2" userName="vlad.pereteanu" r:id="rId299">
    <sheetIdMap count="1">
      <sheetId val="1"/>
    </sheetIdMap>
  </header>
  <header guid="{CB72A9FC-6064-4E91-B96F-3B5B710FA20A}" dateTime="2019-07-04T17:45:34" maxSheetId="2" userName="elisabeta.trifan" r:id="rId300" minRId="2757">
    <sheetIdMap count="1">
      <sheetId val="1"/>
    </sheetIdMap>
  </header>
  <header guid="{B0969B5F-D4FE-43A1-BD6B-3FD90F8EC496}" dateTime="2019-07-05T09:49:04" maxSheetId="2" userName="elisabeta.trifan" r:id="rId301" minRId="2758" maxRId="2760">
    <sheetIdMap count="1">
      <sheetId val="1"/>
    </sheetIdMap>
  </header>
  <header guid="{F25FF6C3-A23B-4A33-82A5-317422A2B7A2}" dateTime="2019-07-05T09:49:33" maxSheetId="2" userName="elisabeta.trifan" r:id="rId302" minRId="2763">
    <sheetIdMap count="1">
      <sheetId val="1"/>
    </sheetIdMap>
  </header>
  <header guid="{D7B9742D-226F-4977-9A47-B79465BECC9B}" dateTime="2019-07-05T10:05:11" maxSheetId="2" userName="daniela.voicu" r:id="rId303" minRId="2764">
    <sheetIdMap count="1">
      <sheetId val="1"/>
    </sheetIdMap>
  </header>
  <header guid="{34019B9F-9062-4B89-8729-69DB3C1196AF}" dateTime="2019-07-05T14:14:58" maxSheetId="2" userName="elisabeta.trifan" r:id="rId304" minRId="2767">
    <sheetIdMap count="1">
      <sheetId val="1"/>
    </sheetIdMap>
  </header>
  <header guid="{46946B18-C97C-4E9F-8830-02B90220F40C}" dateTime="2019-07-05T14:17:48" maxSheetId="2" userName="elisabeta.trifan" r:id="rId305" minRId="2770">
    <sheetIdMap count="1">
      <sheetId val="1"/>
    </sheetIdMap>
  </header>
  <header guid="{54BF232F-4444-40BB-AD03-358681588B9F}" dateTime="2019-07-05T14:18:28" maxSheetId="2" userName="elisabeta.trifan" r:id="rId306" minRId="2771">
    <sheetIdMap count="1">
      <sheetId val="1"/>
    </sheetIdMap>
  </header>
  <header guid="{35424D6B-9096-4A91-8FB1-57971722FD8C}" dateTime="2019-07-05T14:19:52" maxSheetId="2" userName="elisabeta.trifan" r:id="rId307" minRId="2772">
    <sheetIdMap count="1">
      <sheetId val="1"/>
    </sheetIdMap>
  </header>
  <header guid="{22581533-C1E8-46D5-8A89-2E3FEC435F14}" dateTime="2019-07-05T15:23:41" maxSheetId="2" userName="diana.joita" r:id="rId308" minRId="2773" maxRId="2776">
    <sheetIdMap count="1">
      <sheetId val="1"/>
    </sheetIdMap>
  </header>
  <header guid="{E0353035-6ADA-4D32-B981-A4E041BD9744}" dateTime="2019-07-08T16:03:43" maxSheetId="2" userName="elisabeta.trifan" r:id="rId309" minRId="2779" maxRId="2787">
    <sheetIdMap count="1">
      <sheetId val="1"/>
    </sheetIdMap>
  </header>
  <header guid="{C715C96B-CB2D-4D45-B23D-BA2412E2B324}" dateTime="2019-07-08T16:04:09" maxSheetId="2" userName="elisabeta.trifan" r:id="rId310" minRId="2790" maxRId="2794">
    <sheetIdMap count="1">
      <sheetId val="1"/>
    </sheetIdMap>
  </header>
  <header guid="{3DD3AADF-9F3F-4099-AB3A-DEAACDA6362C}" dateTime="2019-07-08T16:05:06" maxSheetId="2" userName="elisabeta.trifan" r:id="rId311" minRId="2795" maxRId="2797">
    <sheetIdMap count="1">
      <sheetId val="1"/>
    </sheetIdMap>
  </header>
  <header guid="{58734A18-FE8B-41C0-AB1A-FCA7B570EC1E}" dateTime="2019-07-08T16:05:10" maxSheetId="2" userName="elisabeta.trifan" r:id="rId312" minRId="2798">
    <sheetIdMap count="1">
      <sheetId val="1"/>
    </sheetIdMap>
  </header>
  <header guid="{CCAFAA81-1A3D-4308-9A8F-CD1AA277D3F0}" dateTime="2019-07-08T16:06:56" maxSheetId="2" userName="elisabeta.trifan" r:id="rId313" minRId="2799">
    <sheetIdMap count="1">
      <sheetId val="1"/>
    </sheetIdMap>
  </header>
  <header guid="{E15D6A1A-2A05-42AB-A940-4CA3A69CE6B4}" dateTime="2019-07-08T16:07:04" maxSheetId="2" userName="elisabeta.trifan" r:id="rId314" minRId="2802">
    <sheetIdMap count="1">
      <sheetId val="1"/>
    </sheetIdMap>
  </header>
  <header guid="{BD9109F3-6E1F-413D-9B42-AF3D20BF7B60}" dateTime="2019-07-08T16:07:31" maxSheetId="2" userName="elisabeta.trifan" r:id="rId315" minRId="2803">
    <sheetIdMap count="1">
      <sheetId val="1"/>
    </sheetIdMap>
  </header>
  <header guid="{2F0D7F0A-C7EE-48FB-97EC-9A41F3D25D0C}" dateTime="2019-07-08T16:07:35" maxSheetId="2" userName="elisabeta.trifan" r:id="rId316" minRId="2804">
    <sheetIdMap count="1">
      <sheetId val="1"/>
    </sheetIdMap>
  </header>
  <header guid="{FEDD1AA1-3841-46F0-9C5D-F227F7BDA2BA}" dateTime="2019-07-08T16:07:50" maxSheetId="2" userName="elisabeta.trifan" r:id="rId317" minRId="2805" maxRId="2808">
    <sheetIdMap count="1">
      <sheetId val="1"/>
    </sheetIdMap>
  </header>
  <header guid="{639C2657-E5A8-4D8F-B789-B8A356504AFC}" dateTime="2019-07-08T16:09:00" maxSheetId="2" userName="elisabeta.trifan" r:id="rId318" minRId="2809" maxRId="2812">
    <sheetIdMap count="1">
      <sheetId val="1"/>
    </sheetIdMap>
  </header>
  <header guid="{8649A587-EEC4-4CCF-9940-0DF439140F3B}" dateTime="2019-07-08T16:09:46" maxSheetId="2" userName="elisabeta.trifan" r:id="rId319" minRId="2813" maxRId="2816">
    <sheetIdMap count="1">
      <sheetId val="1"/>
    </sheetIdMap>
  </header>
  <header guid="{D915B64B-E4D1-4BD0-8E85-35592978CA17}" dateTime="2019-07-08T16:10:09" maxSheetId="2" userName="elisabeta.trifan" r:id="rId320" minRId="2817" maxRId="2824">
    <sheetIdMap count="1">
      <sheetId val="1"/>
    </sheetIdMap>
  </header>
  <header guid="{FE64F3EA-C4F1-40E2-9565-A672EF9CFA14}" dateTime="2019-07-08T16:10:23" maxSheetId="2" userName="elisabeta.trifan" r:id="rId321" minRId="2825" maxRId="2827">
    <sheetIdMap count="1">
      <sheetId val="1"/>
    </sheetIdMap>
  </header>
  <header guid="{2082EE0B-4491-4EEC-A5C3-5B89276D1AE9}" dateTime="2019-07-09T09:33:45" maxSheetId="2" userName="roxana.barbu" r:id="rId322" minRId="2828" maxRId="2844">
    <sheetIdMap count="1">
      <sheetId val="1"/>
    </sheetIdMap>
  </header>
  <header guid="{57263143-B7E5-49EC-8148-AA5807423F06}" dateTime="2019-07-09T09:38:09" maxSheetId="2" userName="roxana.barbu" r:id="rId323" minRId="2847" maxRId="2863">
    <sheetIdMap count="1">
      <sheetId val="1"/>
    </sheetIdMap>
  </header>
  <header guid="{41B41B59-8962-46BE-B627-E366665FACCB}" dateTime="2019-07-09T09:40:05" maxSheetId="2" userName="roxana.barbu" r:id="rId324" minRId="2864" maxRId="2872">
    <sheetIdMap count="1">
      <sheetId val="1"/>
    </sheetIdMap>
  </header>
  <header guid="{548A8B4C-9AAC-4AEB-B576-76E5129C8AC5}" dateTime="2019-07-09T10:24:50" maxSheetId="2" userName="mariana.moraru" r:id="rId325" minRId="2873" maxRId="2912">
    <sheetIdMap count="1">
      <sheetId val="1"/>
    </sheetIdMap>
  </header>
  <header guid="{55824AB1-AAAF-4E7E-BB66-87F18556979B}" dateTime="2019-07-09T10:36:38" maxSheetId="2" userName="raluca.georgescu" r:id="rId326" minRId="2915" maxRId="2919">
    <sheetIdMap count="1">
      <sheetId val="1"/>
    </sheetIdMap>
  </header>
  <header guid="{137AAF5F-97D7-4D00-BB74-541A6D520FB3}" dateTime="2019-07-09T10:56:12" maxSheetId="2" userName="raluca.georgescu" r:id="rId327" minRId="2922" maxRId="2927">
    <sheetIdMap count="1">
      <sheetId val="1"/>
    </sheetIdMap>
  </header>
  <header guid="{01B40AAD-4A12-49D3-8E6F-A0661371E363}" dateTime="2019-07-09T10:58:01" maxSheetId="2" userName="raluca.georgescu" r:id="rId328">
    <sheetIdMap count="1">
      <sheetId val="1"/>
    </sheetIdMap>
  </header>
  <header guid="{47D268F2-E981-414E-92DC-D9095F965D38}" dateTime="2019-07-09T15:28:31" maxSheetId="2" userName="daniela.voicu" r:id="rId329" minRId="2930">
    <sheetIdMap count="1">
      <sheetId val="1"/>
    </sheetIdMap>
  </header>
  <header guid="{F598CF0D-1E1D-448A-B60A-76ADE578E2AB}" dateTime="2019-07-09T15:30:55" maxSheetId="2" userName="daniela.voicu" r:id="rId330" minRId="2933">
    <sheetIdMap count="1">
      <sheetId val="1"/>
    </sheetIdMap>
  </header>
  <header guid="{8F7E0132-4674-4E06-83F0-22A26F1A3516}" dateTime="2019-07-09T15:32:03" maxSheetId="2" userName="daniela.voicu" r:id="rId331" minRId="2934">
    <sheetIdMap count="1">
      <sheetId val="1"/>
    </sheetIdMap>
  </header>
  <header guid="{32B4EEB7-F249-4151-91FD-6764C920CF0A}" dateTime="2019-07-09T15:50:28" maxSheetId="2" userName="mihaela.nicolae" r:id="rId332" minRId="2935" maxRId="2938">
    <sheetIdMap count="1">
      <sheetId val="1"/>
    </sheetIdMap>
  </header>
  <header guid="{9EFED24F-A010-4BBE-99E0-E3DC5F33F8A5}" dateTime="2019-07-09T15:53:41" maxSheetId="2" userName="mihaela.nicolae" r:id="rId333" minRId="2941" maxRId="2945">
    <sheetIdMap count="1">
      <sheetId val="1"/>
    </sheetIdMap>
  </header>
  <header guid="{AC1E2F63-A4A1-4EF8-9310-131F6AFAF4D5}" dateTime="2019-07-09T16:21:16" maxSheetId="2" userName="mihaela.nicolae" r:id="rId334" minRId="2946">
    <sheetIdMap count="1">
      <sheetId val="1"/>
    </sheetIdMap>
  </header>
  <header guid="{74944171-A908-4951-ABE2-C3458695221C}" dateTime="2019-07-09T16:39:49" maxSheetId="2" userName="mihaela.nicolae" r:id="rId335" minRId="2947" maxRId="2973">
    <sheetIdMap count="1">
      <sheetId val="1"/>
    </sheetIdMap>
  </header>
  <header guid="{30BE7B4C-1619-4E0B-B335-4B8FE6A219F8}" dateTime="2019-07-09T17:32:21" maxSheetId="2" userName="ovidiu.dumitrache" r:id="rId336" minRId="2974" maxRId="2979">
    <sheetIdMap count="1">
      <sheetId val="1"/>
    </sheetIdMap>
  </header>
  <header guid="{1C6645E5-7ECF-401D-AEE2-2B12699921C0}" dateTime="2019-07-09T17:36:14" maxSheetId="2" userName="maria.petre" r:id="rId337" minRId="2982" maxRId="2995">
    <sheetIdMap count="1">
      <sheetId val="1"/>
    </sheetIdMap>
  </header>
  <header guid="{4619255B-0785-443C-BB92-3F724691B294}" dateTime="2019-07-09T17:37:33" maxSheetId="2" userName="maria.petre" r:id="rId338" minRId="2998" maxRId="3000">
    <sheetIdMap count="1">
      <sheetId val="1"/>
    </sheetIdMap>
  </header>
  <header guid="{8ACFAFB1-A181-4438-B534-1D8735ED67F6}" dateTime="2019-07-09T17:37:57" maxSheetId="2" userName="maria.petre" r:id="rId339" minRId="3001">
    <sheetIdMap count="1">
      <sheetId val="1"/>
    </sheetIdMap>
  </header>
  <header guid="{0A4E3BFA-7373-4681-A45A-373FB06D00B8}" dateTime="2019-07-09T17:39:15" maxSheetId="2" userName="maria.petre" r:id="rId340" minRId="3002">
    <sheetIdMap count="1">
      <sheetId val="1"/>
    </sheetIdMap>
  </header>
  <header guid="{4F0B57E4-5A2C-4877-81AD-F6A9204D793A}" dateTime="2019-07-09T17:40:09" maxSheetId="2" userName="maria.petre" r:id="rId341" minRId="3003">
    <sheetIdMap count="1">
      <sheetId val="1"/>
    </sheetIdMap>
  </header>
  <header guid="{F04F40FA-3C98-4638-A112-D0536018A898}" dateTime="2019-07-09T17:42:42" maxSheetId="2" userName="maria.petre" r:id="rId342" minRId="3006" maxRId="3044">
    <sheetIdMap count="1">
      <sheetId val="1"/>
    </sheetIdMap>
  </header>
  <header guid="{E0E2E3A7-5616-486C-8F22-E0A331CC5282}" dateTime="2019-07-10T09:48:55" maxSheetId="2" userName="diana.joita" r:id="rId343" minRId="3045">
    <sheetIdMap count="1">
      <sheetId val="1"/>
    </sheetIdMap>
  </header>
  <header guid="{823CF67B-86B2-4430-A24B-72B25B0161EB}" dateTime="2019-07-10T09:58:42" maxSheetId="2" userName="diana.joita" r:id="rId344" minRId="3048" maxRId="3049">
    <sheetIdMap count="1">
      <sheetId val="1"/>
    </sheetIdMap>
  </header>
  <header guid="{C43E08D1-0A99-4027-8931-94368B9CCA5E}" dateTime="2019-07-10T10:02:22" maxSheetId="2" userName="maria.petre" r:id="rId345" minRId="3050" maxRId="3056">
    <sheetIdMap count="1">
      <sheetId val="1"/>
    </sheetIdMap>
  </header>
  <header guid="{18A7EE9B-0A47-414D-8982-722D88C336FE}" dateTime="2019-07-10T10:09:09" maxSheetId="2" userName="maria.petre" r:id="rId346" minRId="3059" maxRId="3085">
    <sheetIdMap count="1">
      <sheetId val="1"/>
    </sheetIdMap>
  </header>
  <header guid="{C32D1B8E-0FA7-4803-B9BF-6F5B303390AE}" dateTime="2019-07-10T10:09:19" maxSheetId="2" userName="maria.petre" r:id="rId347" minRId="3086">
    <sheetIdMap count="1">
      <sheetId val="1"/>
    </sheetIdMap>
  </header>
  <header guid="{2291E10F-51AD-4746-86A5-04074DA4147C}" dateTime="2019-07-10T10:18:23" maxSheetId="2" userName="maria.petre" r:id="rId348" minRId="3087">
    <sheetIdMap count="1">
      <sheetId val="1"/>
    </sheetIdMap>
  </header>
  <header guid="{E6CB8A6F-5977-4289-B92F-A40097AB558C}" dateTime="2019-07-10T10:19:09" maxSheetId="2" userName="maria.petre" r:id="rId349" minRId="3088">
    <sheetIdMap count="1">
      <sheetId val="1"/>
    </sheetIdMap>
  </header>
  <header guid="{1C9E0B7A-5CE9-490D-9173-703CA53DA396}" dateTime="2019-07-11T15:13:16" maxSheetId="2" userName="mihaela.nicolae" r:id="rId350" minRId="3089">
    <sheetIdMap count="1">
      <sheetId val="1"/>
    </sheetIdMap>
  </header>
  <header guid="{325899B2-97DF-427C-9BB0-A52A4926F172}" dateTime="2019-07-11T15:13:45" maxSheetId="2" userName="mihaela.nicolae" r:id="rId351" minRId="3092">
    <sheetIdMap count="1">
      <sheetId val="1"/>
    </sheetIdMap>
  </header>
  <header guid="{1E7D7D40-EE6C-44B7-9366-F3FD45AEE0E2}" dateTime="2019-07-11T15:30:05" maxSheetId="2" userName="diana.joita" r:id="rId352" minRId="3093">
    <sheetIdMap count="1">
      <sheetId val="1"/>
    </sheetIdMap>
  </header>
  <header guid="{21454787-4DFF-43D1-8C19-36529B7AE340}" dateTime="2019-07-11T16:58:11" maxSheetId="2" userName="mihaela.vasilescu" r:id="rId353" minRId="3096">
    <sheetIdMap count="1">
      <sheetId val="1"/>
    </sheetIdMap>
  </header>
  <header guid="{487E1E65-B105-436A-9510-8E09F811A205}" dateTime="2019-07-11T19:22:35" maxSheetId="2" userName="maria.petre" r:id="rId354">
    <sheetIdMap count="1">
      <sheetId val="1"/>
    </sheetIdMap>
  </header>
  <header guid="{ABD7E0A6-6EB3-4912-B47D-EAA5EFDE1C62}" dateTime="2019-07-11T19:27:19" maxSheetId="2" userName="maria.petre" r:id="rId355" minRId="3101" maxRId="3168">
    <sheetIdMap count="1">
      <sheetId val="1"/>
    </sheetIdMap>
  </header>
  <header guid="{0C48DAD4-DFDB-4DE8-8C3A-485E61862DDD}" dateTime="2019-07-11T19:30:19" maxSheetId="2" userName="maria.petre" r:id="rId356" minRId="3171" maxRId="3176">
    <sheetIdMap count="1">
      <sheetId val="1"/>
    </sheetIdMap>
  </header>
  <header guid="{C7419320-3358-4350-A955-6F8DE6D657BF}" dateTime="2019-07-11T19:32:00" maxSheetId="2" userName="maria.petre" r:id="rId357" minRId="3177" maxRId="3180">
    <sheetIdMap count="1">
      <sheetId val="1"/>
    </sheetIdMap>
  </header>
  <header guid="{2FC9DBF2-7346-44D5-B28A-2D2B075C9490}" dateTime="2019-07-11T19:32:38" maxSheetId="2" userName="maria.petre" r:id="rId358" minRId="3181">
    <sheetIdMap count="1">
      <sheetId val="1"/>
    </sheetIdMap>
  </header>
  <header guid="{47BD5964-7331-4B89-AC5C-8865B87EEFEB}" dateTime="2019-07-11T19:34:33" maxSheetId="2" userName="maria.petre" r:id="rId359" minRId="3182" maxRId="3184">
    <sheetIdMap count="1">
      <sheetId val="1"/>
    </sheetIdMap>
  </header>
  <header guid="{0A6261CC-297E-432B-B0F9-60FE7F615560}" dateTime="2019-07-11T19:35:00" maxSheetId="2" userName="maria.petre" r:id="rId360" minRId="3187" maxRId="3189">
    <sheetIdMap count="1">
      <sheetId val="1"/>
    </sheetIdMap>
  </header>
  <header guid="{B6318755-CD30-48B1-ABC6-ED04C2ECA808}" dateTime="2019-07-11T19:36:09" maxSheetId="2" userName="maria.petre" r:id="rId361" minRId="3190">
    <sheetIdMap count="1">
      <sheetId val="1"/>
    </sheetIdMap>
  </header>
  <header guid="{D65E68A7-41E5-4959-80D8-2AAC96505628}" dateTime="2019-07-11T19:37:57" maxSheetId="2" userName="maria.petre" r:id="rId362" minRId="3193" maxRId="3211">
    <sheetIdMap count="1">
      <sheetId val="1"/>
    </sheetIdMap>
  </header>
  <header guid="{6E2574C4-1AC8-4CB4-B95D-7F7FEF29CC3A}" dateTime="2019-07-11T19:42:52" maxSheetId="2" userName="maria.petre" r:id="rId363" minRId="3214">
    <sheetIdMap count="1">
      <sheetId val="1"/>
    </sheetIdMap>
  </header>
  <header guid="{25280495-446C-4E07-97D8-F27B0BD88206}" dateTime="2019-07-12T09:24:29" maxSheetId="2" userName="daniela.voicu" r:id="rId364">
    <sheetIdMap count="1">
      <sheetId val="1"/>
    </sheetIdMap>
  </header>
  <header guid="{BC3747A0-100F-4A66-BB1E-AD977F5E56C2}" dateTime="2019-07-12T09:55:56" maxSheetId="2" userName="raluca.georgescu" r:id="rId365" minRId="3217">
    <sheetIdMap count="1">
      <sheetId val="1"/>
    </sheetIdMap>
  </header>
  <header guid="{FDC66CF6-0A8A-4EBA-A702-B495327AB21E}" dateTime="2019-07-12T10:08:59" maxSheetId="2" userName="raluca.georgescu" r:id="rId366">
    <sheetIdMap count="1">
      <sheetId val="1"/>
    </sheetIdMap>
  </header>
  <header guid="{7EE62B5F-C0D4-47B9-8D9A-5FC2EDAB2B61}" dateTime="2019-07-12T10:09:25" maxSheetId="2" userName="raluca.georgescu" r:id="rId367" minRId="3220">
    <sheetIdMap count="1">
      <sheetId val="1"/>
    </sheetIdMap>
  </header>
  <header guid="{EF39EF07-AC07-40F5-81E4-94141B2AF099}" dateTime="2019-07-12T10:09:56" maxSheetId="2" userName="raluca.georgescu" r:id="rId368" minRId="3221">
    <sheetIdMap count="1">
      <sheetId val="1"/>
    </sheetIdMap>
  </header>
  <header guid="{49C7F093-DE58-44C1-907F-AF46E40D4389}" dateTime="2019-07-12T10:11:03" maxSheetId="2" userName="raluca.georgescu" r:id="rId369" minRId="3222">
    <sheetIdMap count="1">
      <sheetId val="1"/>
    </sheetIdMap>
  </header>
  <header guid="{08AB899F-36F3-4E0D-8614-F615FD19E647}" dateTime="2019-07-12T10:12:03" maxSheetId="2" userName="raluca.georgescu" r:id="rId370" minRId="3223" maxRId="3224">
    <sheetIdMap count="1">
      <sheetId val="1"/>
    </sheetIdMap>
  </header>
  <header guid="{2CC9E72A-89DC-4505-82A5-8EFF3051B955}" dateTime="2019-07-12T10:19:42" maxSheetId="2" userName="raluca.georgescu" r:id="rId371">
    <sheetIdMap count="1">
      <sheetId val="1"/>
    </sheetIdMap>
  </header>
  <header guid="{3E6866D5-8D26-4222-96B2-0B76CF968FC7}" dateTime="2019-07-12T11:30:18" maxSheetId="2" userName="diana.joita" r:id="rId372">
    <sheetIdMap count="1">
      <sheetId val="1"/>
    </sheetIdMap>
  </header>
  <header guid="{91A6A4D0-DA5D-4990-BCBD-0E9C2CD4C9A0}" dateTime="2019-07-12T13:18:27" maxSheetId="2" userName="ovidiu.dumitrache" r:id="rId373" minRId="3229" maxRId="3234">
    <sheetIdMap count="1">
      <sheetId val="1"/>
    </sheetIdMap>
  </header>
  <header guid="{E5844A47-F62E-4BFB-BA9F-28C4D8B32F93}" dateTime="2019-07-12T13:52:21" maxSheetId="2" userName="roxana.barbu" r:id="rId374" minRId="3237" maxRId="3274">
    <sheetIdMap count="1">
      <sheetId val="1"/>
    </sheetIdMap>
  </header>
  <header guid="{2F627A88-FDF2-43E5-B828-AC77F08D295B}" dateTime="2019-07-12T13:56:49" maxSheetId="2" userName="roxana.barbu" r:id="rId375" minRId="3277" maxRId="3278">
    <sheetIdMap count="1">
      <sheetId val="1"/>
    </sheetIdMap>
  </header>
  <header guid="{2923FAE4-A24B-4097-9F59-026F03CA5DFF}" dateTime="2019-07-12T13:56:47" maxSheetId="2" userName="elisabeta.trifan" r:id="rId376" minRId="3281" maxRId="3282">
    <sheetIdMap count="1">
      <sheetId val="1"/>
    </sheetIdMap>
  </header>
  <header guid="{25E66A4B-C69D-4B35-A3B2-F35885001E51}" dateTime="2019-07-12T13:56:59" maxSheetId="2" userName="elisabeta.trifan" r:id="rId377" minRId="3285" maxRId="3286">
    <sheetIdMap count="1">
      <sheetId val="1"/>
    </sheetIdMap>
  </header>
  <header guid="{180778BB-47F0-4028-9B09-79760E973501}" dateTime="2019-07-12T13:57:16" maxSheetId="2" userName="elisabeta.trifan" r:id="rId378" minRId="3287" maxRId="3288">
    <sheetIdMap count="1">
      <sheetId val="1"/>
    </sheetIdMap>
  </header>
  <header guid="{B64D9E1F-1AB1-43A9-AB06-A31DBB773CF9}" dateTime="2019-07-12T13:58:25" maxSheetId="2" userName="elisabeta.trifan" r:id="rId379" minRId="3289">
    <sheetIdMap count="1">
      <sheetId val="1"/>
    </sheetIdMap>
  </header>
  <header guid="{0CBB7D01-9FFA-46B6-AB0E-9B4F7902C805}" dateTime="2019-07-12T14:00:37" maxSheetId="2" userName="elisabeta.trifan" r:id="rId380" minRId="3290">
    <sheetIdMap count="1">
      <sheetId val="1"/>
    </sheetIdMap>
  </header>
  <header guid="{3DAA586F-C5CF-4152-ADA7-6C0A2094A95B}" dateTime="2019-07-12T14:00:44" maxSheetId="2" userName="elisabeta.trifan" r:id="rId381" minRId="3291" maxRId="3292">
    <sheetIdMap count="1">
      <sheetId val="1"/>
    </sheetIdMap>
  </header>
  <header guid="{BCB8F220-8ECE-4CC8-8491-FDD84E04A98A}" dateTime="2019-07-12T14:01:37" maxSheetId="2" userName="elisabeta.trifan" r:id="rId382" minRId="3293" maxRId="3294">
    <sheetIdMap count="1">
      <sheetId val="1"/>
    </sheetIdMap>
  </header>
  <header guid="{2EEEC4EC-8DE7-4710-B08F-EEB70F50C727}" dateTime="2019-07-12T14:02:03" maxSheetId="2" userName="elisabeta.trifan" r:id="rId383" minRId="3295">
    <sheetIdMap count="1">
      <sheetId val="1"/>
    </sheetIdMap>
  </header>
  <header guid="{D91B177A-C2BE-4E6D-825A-B605BA4FA730}" dateTime="2019-07-12T14:05:41" maxSheetId="2" userName="elisabeta.trifan" r:id="rId384" minRId="3296" maxRId="3299">
    <sheetIdMap count="1">
      <sheetId val="1"/>
    </sheetIdMap>
  </header>
  <header guid="{B14A3D7B-4FB5-4161-8C46-6DA867E3F7BE}" dateTime="2019-07-12T14:05:57" maxSheetId="2" userName="elisabeta.trifan" r:id="rId385" minRId="3300" maxRId="3301">
    <sheetIdMap count="1">
      <sheetId val="1"/>
    </sheetIdMap>
  </header>
  <header guid="{5B66934E-3D45-4624-A7A5-CCA3A17149A5}" dateTime="2019-07-12T14:06:18" maxSheetId="2" userName="elisabeta.trifan" r:id="rId386">
    <sheetIdMap count="1">
      <sheetId val="1"/>
    </sheetIdMap>
  </header>
  <header guid="{C23FB263-817D-4825-86A7-5BB977FCBE34}" dateTime="2019-07-12T14:07:41" maxSheetId="2" userName="elisabeta.trifan" r:id="rId387" minRId="3302" maxRId="3309">
    <sheetIdMap count="1">
      <sheetId val="1"/>
    </sheetIdMap>
  </header>
  <header guid="{23725EFB-6A71-4C40-9C1F-38855576BF19}" dateTime="2019-07-12T14:08:17" maxSheetId="2" userName="elisabeta.trifan" r:id="rId388" minRId="3310" maxRId="3311">
    <sheetIdMap count="1">
      <sheetId val="1"/>
    </sheetIdMap>
  </header>
  <header guid="{030DCF12-CA9E-4687-A91B-76032E802118}" dateTime="2019-07-12T14:08:40" maxSheetId="2" userName="elisabeta.trifan" r:id="rId389" minRId="3312" maxRId="3318">
    <sheetIdMap count="1">
      <sheetId val="1"/>
    </sheetIdMap>
  </header>
  <header guid="{F272E1F7-B2CE-444A-94BC-5C7723081300}" dateTime="2019-07-12T14:11:13" maxSheetId="2" userName="elisabeta.trifan" r:id="rId390">
    <sheetIdMap count="1">
      <sheetId val="1"/>
    </sheetIdMap>
  </header>
  <header guid="{6DB9182F-EB40-4659-A97E-816EDEF6D8EF}" dateTime="2019-07-15T12:12:15" maxSheetId="2" userName="maria.petre" r:id="rId391" minRId="3321">
    <sheetIdMap count="1">
      <sheetId val="1"/>
    </sheetIdMap>
  </header>
  <header guid="{97A3FEE7-FAF7-4B21-8C61-D6DAE1062386}" dateTime="2019-07-15T12:12:54" maxSheetId="2" userName="maria.petre" r:id="rId392" minRId="3324" maxRId="3329">
    <sheetIdMap count="1">
      <sheetId val="1"/>
    </sheetIdMap>
  </header>
  <header guid="{ACBCB3A8-CB34-4D81-B128-CF483BE9E7F2}" dateTime="2019-07-15T12:13:22" maxSheetId="2" userName="maria.petre" r:id="rId393" minRId="3330">
    <sheetIdMap count="1">
      <sheetId val="1"/>
    </sheetIdMap>
  </header>
  <header guid="{27383B8B-2684-4466-9991-17E97B606D7C}" dateTime="2019-07-15T12:18:07" maxSheetId="2" userName="maria.petre" r:id="rId394" minRId="3331" maxRId="3365">
    <sheetIdMap count="1">
      <sheetId val="1"/>
    </sheetIdMap>
  </header>
  <header guid="{34326A2D-8BAF-45AA-8565-1255EFEF40AD}" dateTime="2019-07-15T12:18:55" maxSheetId="2" userName="maria.petre" r:id="rId395" minRId="3366" maxRId="3384">
    <sheetIdMap count="1">
      <sheetId val="1"/>
    </sheetIdMap>
  </header>
  <header guid="{BE4F6652-D8E8-4551-8DB5-11C6C7CBF689}" dateTime="2019-07-15T12:20:03" maxSheetId="2" userName="maria.petre" r:id="rId396" minRId="3385">
    <sheetIdMap count="1">
      <sheetId val="1"/>
    </sheetIdMap>
  </header>
  <header guid="{20003FFA-3525-4C89-8C75-F6E4512408A8}" dateTime="2019-07-15T13:30:01" maxSheetId="2" userName="mariana.moraru" r:id="rId397" minRId="3386" maxRId="3441">
    <sheetIdMap count="1">
      <sheetId val="1"/>
    </sheetIdMap>
  </header>
  <header guid="{FC9761D7-D59F-47B3-86CD-6267A7D57840}" dateTime="2019-07-17T13:17:46" maxSheetId="2" userName="ana.ionescu" r:id="rId398" minRId="3444" maxRId="3478">
    <sheetIdMap count="1">
      <sheetId val="1"/>
    </sheetIdMap>
  </header>
  <header guid="{6635B6F1-DE37-409E-B7C7-220789B03DED}" dateTime="2019-07-17T13:18:06" maxSheetId="2" userName="ana.ionescu" r:id="rId399" minRId="3481" maxRId="3488">
    <sheetIdMap count="1">
      <sheetId val="1"/>
    </sheetIdMap>
  </header>
  <header guid="{48BA1BFE-C77B-42F9-AE39-AFF93EB58F0B}" dateTime="2019-07-17T13:20:48" maxSheetId="2" userName="ana.ionescu" r:id="rId400" minRId="3489">
    <sheetIdMap count="1">
      <sheetId val="1"/>
    </sheetIdMap>
  </header>
  <header guid="{32A889AD-6E1B-41B7-90B2-5057D9F94869}" dateTime="2019-07-17T16:22:59" maxSheetId="2" userName="daniela.voicu" r:id="rId401" minRId="3490" maxRId="3491">
    <sheetIdMap count="1">
      <sheetId val="1"/>
    </sheetIdMap>
  </header>
  <header guid="{B642C879-D976-4ABF-B8D7-BFF58FF1FBFE}" dateTime="2019-07-17T16:23:54" maxSheetId="2" userName="daniela.voicu" r:id="rId402" minRId="3494" maxRId="3495">
    <sheetIdMap count="1">
      <sheetId val="1"/>
    </sheetIdMap>
  </header>
  <header guid="{EC832CDE-12D4-415E-A7F3-22A475622D9D}" dateTime="2019-07-17T16:28:14" maxSheetId="2" userName="daniela.voicu" r:id="rId403" minRId="3496" maxRId="3497">
    <sheetIdMap count="1">
      <sheetId val="1"/>
    </sheetIdMap>
  </header>
  <header guid="{D72F8511-1187-472E-9DBE-05636969FC8B}" dateTime="2019-07-17T17:58:23" maxSheetId="2" userName="diana.joita" r:id="rId404" minRId="3498" maxRId="3543">
    <sheetIdMap count="1">
      <sheetId val="1"/>
    </sheetIdMap>
  </header>
  <header guid="{D36A1773-75FF-41EE-9F04-17B5C6D41A95}" dateTime="2019-07-17T18:00:58" maxSheetId="2" userName="diana.joita" r:id="rId405" minRId="3546">
    <sheetIdMap count="1">
      <sheetId val="1"/>
    </sheetIdMap>
  </header>
  <header guid="{48AFDCB4-04EB-479C-B0A0-3860448574FF}" dateTime="2019-07-18T09:31:33" maxSheetId="2" userName="mihaela.vasilescu" r:id="rId406">
    <sheetIdMap count="1">
      <sheetId val="1"/>
    </sheetIdMap>
  </header>
  <header guid="{2CDCDF2A-3F19-4611-AE13-0D7FCF12A29E}" dateTime="2019-07-18T10:09:03" maxSheetId="2" userName="mihaela.vasilescu" r:id="rId407" minRId="3549" maxRId="3554">
    <sheetIdMap count="1">
      <sheetId val="1"/>
    </sheetIdMap>
  </header>
  <header guid="{8267BAA4-98B4-4EC6-8190-091F98EA1FAB}" dateTime="2019-07-18T10:10:03" maxSheetId="2" userName="mihaela.vasilescu" r:id="rId408">
    <sheetIdMap count="1">
      <sheetId val="1"/>
    </sheetIdMap>
  </header>
  <header guid="{904F48C5-3B48-49D7-B40A-8DB5B97A5430}" dateTime="2019-07-18T10:18:31" maxSheetId="2" userName="mihaela.vasilescu" r:id="rId409" minRId="3557" maxRId="3562">
    <sheetIdMap count="1">
      <sheetId val="1"/>
    </sheetIdMap>
  </header>
  <header guid="{97C9FA24-AC27-4BEC-8511-8142E8F6E416}" dateTime="2019-07-18T10:19:13" maxSheetId="2" userName="mihaela.vasilescu" r:id="rId410">
    <sheetIdMap count="1">
      <sheetId val="1"/>
    </sheetIdMap>
  </header>
  <header guid="{5A5428DF-1E37-4A62-8663-28D355F6EC8C}" dateTime="2019-07-19T10:05:38" maxSheetId="2" userName="maria.petre" r:id="rId411">
    <sheetIdMap count="1">
      <sheetId val="1"/>
    </sheetIdMap>
  </header>
  <header guid="{F11C1236-9F7B-4AB3-A5A5-3C935F0E058E}" dateTime="2019-07-19T11:08:40" maxSheetId="2" userName="sorin.deca" r:id="rId412" minRId="3565">
    <sheetIdMap count="1">
      <sheetId val="1"/>
    </sheetIdMap>
  </header>
  <header guid="{057D7C3E-2D97-420A-B692-C39E034FE6A0}" dateTime="2019-07-19T11:10:03" maxSheetId="2" userName="sorin.deca" r:id="rId413" minRId="3568">
    <sheetIdMap count="1">
      <sheetId val="1"/>
    </sheetIdMap>
  </header>
  <header guid="{AB556BDA-ACF5-4507-B88D-CE33EF380D1E}" dateTime="2019-07-19T11:29:26" maxSheetId="2" userName="sorin.deca" r:id="rId414" minRId="3571" maxRId="3578">
    <sheetIdMap count="1">
      <sheetId val="1"/>
    </sheetIdMap>
  </header>
  <header guid="{C908706E-E6EB-4F3B-84E0-B7A9C23A1337}" dateTime="2019-07-19T12:37:27" maxSheetId="2" userName="maria.petre" r:id="rId415" minRId="3581" maxRId="3600">
    <sheetIdMap count="1">
      <sheetId val="1"/>
    </sheetIdMap>
  </header>
  <header guid="{27374957-BF7C-4112-A3E5-D119D9695AED}" dateTime="2019-07-19T12:38:55" maxSheetId="2" userName="maria.petre" r:id="rId416" minRId="3603" maxRId="3607">
    <sheetIdMap count="1">
      <sheetId val="1"/>
    </sheetIdMap>
  </header>
  <header guid="{7156A1E6-8ABA-48B5-AF2A-E7BDF7E30516}" dateTime="2019-07-19T12:40:24" maxSheetId="2" userName="maria.petre" r:id="rId417" minRId="3608" maxRId="3618">
    <sheetIdMap count="1">
      <sheetId val="1"/>
    </sheetIdMap>
  </header>
  <header guid="{4A95E665-CBCD-4CB7-9933-5B8BF4174950}" dateTime="2019-07-19T12:40:42" maxSheetId="2" userName="maria.petre" r:id="rId418" minRId="3621" maxRId="3626">
    <sheetIdMap count="1">
      <sheetId val="1"/>
    </sheetIdMap>
  </header>
  <header guid="{AB6E95F1-97C1-43D3-B763-4D081D7E9586}" dateTime="2019-07-19T12:41:20" maxSheetId="2" userName="maria.petre" r:id="rId419" minRId="3627" maxRId="3628">
    <sheetIdMap count="1">
      <sheetId val="1"/>
    </sheetIdMap>
  </header>
  <header guid="{D2DCA2B5-BFBB-4F85-9867-625014FAB6BB}" dateTime="2019-07-19T12:43:40" maxSheetId="2" userName="maria.petre" r:id="rId420" minRId="3629" maxRId="3631">
    <sheetIdMap count="1">
      <sheetId val="1"/>
    </sheetIdMap>
  </header>
  <header guid="{9A8B9D9F-52B6-4F8A-9BBA-A8A8CB58F674}" dateTime="2019-07-19T12:45:54" maxSheetId="2" userName="maria.petre" r:id="rId421" minRId="3632" maxRId="3645">
    <sheetIdMap count="1">
      <sheetId val="1"/>
    </sheetIdMap>
  </header>
  <header guid="{948C81CC-348A-4ECA-AA11-8A26A1FCC132}" dateTime="2019-07-19T12:47:49" maxSheetId="2" userName="maria.petre" r:id="rId422" minRId="3648">
    <sheetIdMap count="1">
      <sheetId val="1"/>
    </sheetIdMap>
  </header>
  <header guid="{6FA73E2A-B978-48EB-9FC3-BC97AAF13836}" dateTime="2019-07-19T14:07:49" maxSheetId="2" userName="maria.petre" r:id="rId423">
    <sheetIdMap count="1">
      <sheetId val="1"/>
    </sheetIdMap>
  </header>
  <header guid="{69411BD3-7C37-46FD-AB99-2FC894F6F087}" dateTime="2019-07-19T14:14:57" maxSheetId="2" userName="maria.petre" r:id="rId424">
    <sheetIdMap count="1">
      <sheetId val="1"/>
    </sheetIdMap>
  </header>
  <header guid="{F710BC44-8E29-47C8-8985-7D9645816EA7}" dateTime="2019-07-19T14:19:22" maxSheetId="2" userName="maria.petre" r:id="rId425" minRId="3653">
    <sheetIdMap count="1">
      <sheetId val="1"/>
    </sheetIdMap>
  </header>
  <header guid="{A559F6A4-79F6-4AD1-9B40-8AB2F2AF9FE1}" dateTime="2019-07-19T14:19:49" maxSheetId="2" userName="mariana.moraru" r:id="rId426" minRId="3656" maxRId="3709">
    <sheetIdMap count="1">
      <sheetId val="1"/>
    </sheetIdMap>
  </header>
  <header guid="{B90C73FB-524F-47EE-80A2-C461F580178D}" dateTime="2019-07-19T14:26:19" maxSheetId="2" userName="maria.petre" r:id="rId427" minRId="3712">
    <sheetIdMap count="1">
      <sheetId val="1"/>
    </sheetIdMap>
  </header>
  <header guid="{AA3A7F44-AF40-4440-B083-5B178E141B16}" dateTime="2019-07-19T14:26:45" maxSheetId="2" userName="maria.petre" r:id="rId428">
    <sheetIdMap count="1">
      <sheetId val="1"/>
    </sheetIdMap>
  </header>
  <header guid="{89B50274-B8BA-49D8-83A6-AAF90B9EAB50}" dateTime="2019-07-19T14:48:27" maxSheetId="2" userName="elisabeta.trifan" r:id="rId429" minRId="3715">
    <sheetIdMap count="1">
      <sheetId val="1"/>
    </sheetIdMap>
  </header>
  <header guid="{B1BC4A31-FA3E-473D-B9E8-948F3581A644}" dateTime="2019-07-22T09:52:58" maxSheetId="2" userName="elisabeta.trifan" r:id="rId430">
    <sheetIdMap count="1">
      <sheetId val="1"/>
    </sheetIdMap>
  </header>
  <header guid="{BD9CB41C-5EF8-4E52-8AFD-965C768B075B}" dateTime="2019-07-22T10:00:36" maxSheetId="2" userName="elisabeta.trifan" r:id="rId431" minRId="3720" maxRId="3721">
    <sheetIdMap count="1">
      <sheetId val="1"/>
    </sheetIdMap>
  </header>
  <header guid="{7F16D9AD-0747-4A32-8FD7-2656B070BFE1}" dateTime="2019-07-22T10:01:50" maxSheetId="2" userName="elisabeta.trifan" r:id="rId432" minRId="3722">
    <sheetIdMap count="1">
      <sheetId val="1"/>
    </sheetIdMap>
  </header>
  <header guid="{351E3EBE-419C-45E6-AEA6-7C0D865C1E43}" dateTime="2019-07-22T10:02:48" maxSheetId="2" userName="elisabeta.trifan" r:id="rId433" minRId="3723" maxRId="3756">
    <sheetIdMap count="1">
      <sheetId val="1"/>
    </sheetIdMap>
  </header>
  <header guid="{CD5A0E28-06FB-4040-A41E-1D31D768D9F0}" dateTime="2019-07-22T10:03:25" maxSheetId="2" userName="elisabeta.trifan" r:id="rId434" minRId="3757" maxRId="3758">
    <sheetIdMap count="1">
      <sheetId val="1"/>
    </sheetIdMap>
  </header>
  <header guid="{E81B9FFC-F9C5-4CF0-9DAC-DF563856A134}" dateTime="2019-07-22T10:03:32" maxSheetId="2" userName="elisabeta.trifan" r:id="rId435" minRId="3759">
    <sheetIdMap count="1">
      <sheetId val="1"/>
    </sheetIdMap>
  </header>
  <header guid="{0DAADC32-1730-484E-95BD-FF9986A7CEDA}" dateTime="2019-07-22T10:04:30" maxSheetId="2" userName="elisabeta.trifan" r:id="rId436" minRId="3760" maxRId="3761">
    <sheetIdMap count="1">
      <sheetId val="1"/>
    </sheetIdMap>
  </header>
  <header guid="{90240B48-F4EA-4EDE-854E-0623D5592152}" dateTime="2019-07-22T10:05:36" maxSheetId="2" userName="elisabeta.trifan" r:id="rId437" minRId="3762" maxRId="3795">
    <sheetIdMap count="1">
      <sheetId val="1"/>
    </sheetIdMap>
  </header>
  <header guid="{1DC40506-69DD-4E07-AD73-5B9095DFAFDC}" dateTime="2019-07-22T10:06:32" maxSheetId="2" userName="elisabeta.trifan" r:id="rId438" minRId="3796">
    <sheetIdMap count="1">
      <sheetId val="1"/>
    </sheetIdMap>
  </header>
  <header guid="{F0597495-ECAA-42A9-B23A-7FCAF9751769}" dateTime="2019-07-22T10:11:16" maxSheetId="2" userName="elisabeta.trifan" r:id="rId439" minRId="3797" maxRId="3813">
    <sheetIdMap count="1">
      <sheetId val="1"/>
    </sheetIdMap>
  </header>
  <header guid="{C285AC8B-41CA-4676-8590-FE7D7B371B85}" dateTime="2019-07-22T10:11:43" maxSheetId="2" userName="elisabeta.trifan" r:id="rId440" minRId="3814" maxRId="3832">
    <sheetIdMap count="1">
      <sheetId val="1"/>
    </sheetIdMap>
  </header>
  <header guid="{7F866C97-652E-4FE5-B5AB-453300306617}" dateTime="2019-07-22T10:13:02" maxSheetId="2" userName="elisabeta.trifan" r:id="rId441" minRId="3833" maxRId="3851">
    <sheetIdMap count="1">
      <sheetId val="1"/>
    </sheetIdMap>
  </header>
  <header guid="{D07A668A-EFA7-4358-B243-04027C27D9BD}" dateTime="2019-07-22T10:13:32" maxSheetId="2" userName="elisabeta.trifan" r:id="rId442" minRId="3852" maxRId="3870">
    <sheetIdMap count="1">
      <sheetId val="1"/>
    </sheetIdMap>
  </header>
  <header guid="{6DD1CAC1-7093-4459-B0C6-3240A07D4266}" dateTime="2019-07-22T10:16:28" maxSheetId="2" userName="elisabeta.trifan" r:id="rId443" minRId="3871" maxRId="3891">
    <sheetIdMap count="1">
      <sheetId val="1"/>
    </sheetIdMap>
  </header>
  <header guid="{6D0A92FB-A932-476B-A131-2DD43CD6FE19}" dateTime="2019-07-22T10:17:13" maxSheetId="2" userName="elisabeta.trifan" r:id="rId444" minRId="3892" maxRId="3895">
    <sheetIdMap count="1">
      <sheetId val="1"/>
    </sheetIdMap>
  </header>
  <header guid="{716B9EA7-0592-41B4-B6FE-8E380A4C610F}" dateTime="2019-07-22T10:17:52" maxSheetId="2" userName="elisabeta.trifan" r:id="rId445" minRId="3896" maxRId="3914">
    <sheetIdMap count="1">
      <sheetId val="1"/>
    </sheetIdMap>
  </header>
  <header guid="{D89EBB1D-2A9E-4EF3-B739-B97BDAB446EF}" dateTime="2019-07-22T10:18:45" maxSheetId="2" userName="elisabeta.trifan" r:id="rId446" minRId="3915" maxRId="3933">
    <sheetIdMap count="1">
      <sheetId val="1"/>
    </sheetIdMap>
  </header>
  <header guid="{7B978CAE-8A12-4615-9BFE-E0FCC9B7C9AE}" dateTime="2019-07-22T10:19:20" maxSheetId="2" userName="elisabeta.trifan" r:id="rId447" minRId="3934" maxRId="3952">
    <sheetIdMap count="1">
      <sheetId val="1"/>
    </sheetIdMap>
  </header>
  <header guid="{E04E5477-B3DF-44F4-B3A7-77804EE9586A}" dateTime="2019-07-22T10:21:34" maxSheetId="2" userName="elisabeta.trifan" r:id="rId448" minRId="3953" maxRId="3990">
    <sheetIdMap count="1">
      <sheetId val="1"/>
    </sheetIdMap>
  </header>
  <header guid="{1AB10C38-AD43-483C-8F53-13F9BAB4E68C}" dateTime="2019-07-22T10:22:08" maxSheetId="2" userName="elisabeta.trifan" r:id="rId449" minRId="3991" maxRId="4009">
    <sheetIdMap count="1">
      <sheetId val="1"/>
    </sheetIdMap>
  </header>
  <header guid="{AD5CB468-5B95-4C76-9F22-6CC0D10162DD}" dateTime="2019-07-22T10:23:38" maxSheetId="2" userName="elisabeta.trifan" r:id="rId450" minRId="4010" maxRId="4028">
    <sheetIdMap count="1">
      <sheetId val="1"/>
    </sheetIdMap>
  </header>
  <header guid="{D680AE1F-0149-48AD-8AD2-B0B644ACA276}" dateTime="2019-07-22T10:24:29" maxSheetId="2" userName="elisabeta.trifan" r:id="rId451">
    <sheetIdMap count="1">
      <sheetId val="1"/>
    </sheetIdMap>
  </header>
  <header guid="{3E014436-065A-4B13-BF33-A689D48E9217}" dateTime="2019-07-22T10:24:46" maxSheetId="2" userName="elisabeta.trifan" r:id="rId452" minRId="4029" maxRId="4047">
    <sheetIdMap count="1">
      <sheetId val="1"/>
    </sheetIdMap>
  </header>
  <header guid="{44E571DD-14F5-42CE-B16A-DA35F12ACDDF}" dateTime="2019-07-22T10:25:09" maxSheetId="2" userName="elisabeta.trifan" r:id="rId453" minRId="4048" maxRId="4066">
    <sheetIdMap count="1">
      <sheetId val="1"/>
    </sheetIdMap>
  </header>
  <header guid="{0916ACC4-6FAD-4286-8F7D-E9045BBF4161}" dateTime="2019-07-22T10:25:39" maxSheetId="2" userName="elisabeta.trifan" r:id="rId454" minRId="4067" maxRId="4085">
    <sheetIdMap count="1">
      <sheetId val="1"/>
    </sheetIdMap>
  </header>
  <header guid="{CDAF3F89-1090-4366-93F7-7D8DD534521D}" dateTime="2019-07-22T10:28:57" maxSheetId="2" userName="elisabeta.trifan" r:id="rId455" minRId="4086" maxRId="4104">
    <sheetIdMap count="1">
      <sheetId val="1"/>
    </sheetIdMap>
  </header>
  <header guid="{5DF3F9D3-EB85-4690-BF75-0D2191560F43}" dateTime="2019-07-22T10:29:21" maxSheetId="2" userName="elisabeta.trifan" r:id="rId456" minRId="4105" maxRId="4123">
    <sheetIdMap count="1">
      <sheetId val="1"/>
    </sheetIdMap>
  </header>
  <header guid="{FD44453D-6EDA-4879-A5FB-8E1DD503FBE4}" dateTime="2019-07-22T10:30:25" maxSheetId="2" userName="elisabeta.trifan" r:id="rId457" minRId="4124" maxRId="4142">
    <sheetIdMap count="1">
      <sheetId val="1"/>
    </sheetIdMap>
  </header>
  <header guid="{5007F12F-9836-476B-B00B-556F9C6CDB10}" dateTime="2019-07-22T10:30:45" maxSheetId="2" userName="elisabeta.trifan" r:id="rId458" minRId="4143" maxRId="4161">
    <sheetIdMap count="1">
      <sheetId val="1"/>
    </sheetIdMap>
  </header>
  <header guid="{8007DAFB-8A51-45C5-BBB6-B6688CCAE778}" dateTime="2019-07-22T10:32:24" maxSheetId="2" userName="elisabeta.trifan" r:id="rId459">
    <sheetIdMap count="1">
      <sheetId val="1"/>
    </sheetIdMap>
  </header>
  <header guid="{116C8F83-7FD3-43D7-93B0-D03C7ABE5B4E}" dateTime="2019-07-22T10:32:42" maxSheetId="2" userName="elisabeta.trifan" r:id="rId460" minRId="4162" maxRId="4180">
    <sheetIdMap count="1">
      <sheetId val="1"/>
    </sheetIdMap>
  </header>
  <header guid="{9574B5FC-7743-4841-AB01-9EFEEBA29453}" dateTime="2019-07-22T10:32:45" maxSheetId="2" userName="elisabeta.trifan" r:id="rId461">
    <sheetIdMap count="1">
      <sheetId val="1"/>
    </sheetIdMap>
  </header>
  <header guid="{324FD3F9-1C91-4509-82C0-67F6ED3B4073}" dateTime="2019-07-22T10:33:10" maxSheetId="2" userName="elisabeta.trifan" r:id="rId462" minRId="4181" maxRId="4199">
    <sheetIdMap count="1">
      <sheetId val="1"/>
    </sheetIdMap>
  </header>
  <header guid="{1CC665E9-4878-4F67-9026-6C9F3C91211A}" dateTime="2019-07-22T10:33:48" maxSheetId="2" userName="elisabeta.trifan" r:id="rId463">
    <sheetIdMap count="1">
      <sheetId val="1"/>
    </sheetIdMap>
  </header>
  <header guid="{7DE3C1E5-0C2B-4E51-940F-F3ED399A7664}" dateTime="2019-07-22T10:34:22" maxSheetId="2" userName="elisabeta.trifan" r:id="rId464" minRId="4200" maxRId="4218">
    <sheetIdMap count="1">
      <sheetId val="1"/>
    </sheetIdMap>
  </header>
  <header guid="{8FB271F2-AC89-43F4-B7E6-4A958ECD686B}" dateTime="2019-07-22T10:36:51" maxSheetId="2" userName="elisabeta.trifan" r:id="rId465" minRId="4219" maxRId="4237">
    <sheetIdMap count="1">
      <sheetId val="1"/>
    </sheetIdMap>
  </header>
  <header guid="{5226B9BF-00BF-4E61-A312-AC265A8B2C78}" dateTime="2019-07-22T10:40:29" maxSheetId="2" userName="elisabeta.trifan" r:id="rId466">
    <sheetIdMap count="1">
      <sheetId val="1"/>
    </sheetIdMap>
  </header>
  <header guid="{46921FE2-7F84-4346-A489-23239058F446}" dateTime="2019-07-22T10:41:06" maxSheetId="2" userName="elisabeta.trifan" r:id="rId467">
    <sheetIdMap count="1">
      <sheetId val="1"/>
    </sheetIdMap>
  </header>
  <header guid="{F2654531-2AB0-4259-9659-9BE1E0807B38}" dateTime="2019-07-22T10:42:49" maxSheetId="2" userName="elisabeta.trifan" r:id="rId468" minRId="4238">
    <sheetIdMap count="1">
      <sheetId val="1"/>
    </sheetIdMap>
  </header>
  <header guid="{FCF2093E-FD19-457A-8BFC-C8AACDA5E00D}" dateTime="2019-07-22T10:43:29" maxSheetId="2" userName="elisabeta.trifan" r:id="rId469" minRId="4239" maxRId="4240">
    <sheetIdMap count="1">
      <sheetId val="1"/>
    </sheetIdMap>
  </header>
  <header guid="{B6869225-4A81-4178-A5D9-AC92BF89BEE6}" dateTime="2019-07-22T10:45:11" maxSheetId="2" userName="elisabeta.trifan" r:id="rId470" minRId="4241" maxRId="4293">
    <sheetIdMap count="1">
      <sheetId val="1"/>
    </sheetIdMap>
  </header>
  <header guid="{03152552-C65B-4A35-ACF8-5AEBEAE49E5E}" dateTime="2019-07-22T10:46:14" maxSheetId="2" userName="elisabeta.trifan" r:id="rId471" minRId="4294">
    <sheetIdMap count="1">
      <sheetId val="1"/>
    </sheetIdMap>
  </header>
  <header guid="{C5DC5607-9D48-4A42-A7CD-E359B82DB3A7}" dateTime="2019-07-22T10:47:12" maxSheetId="2" userName="elisabeta.trifan" r:id="rId472" minRId="4295" maxRId="4298">
    <sheetIdMap count="1">
      <sheetId val="1"/>
    </sheetIdMap>
  </header>
  <header guid="{7E9AD83D-B60B-439E-80D2-E757AE3C4CEA}" dateTime="2019-07-22T10:48:19" maxSheetId="2" userName="elisabeta.trifan" r:id="rId473" minRId="4299" maxRId="4332">
    <sheetIdMap count="1">
      <sheetId val="1"/>
    </sheetIdMap>
  </header>
  <header guid="{B69A2569-E986-475B-B7F4-776F7781EE43}" dateTime="2019-07-22T10:49:19" maxSheetId="2" userName="elisabeta.trifan" r:id="rId474" minRId="4333" maxRId="4367">
    <sheetIdMap count="1">
      <sheetId val="1"/>
    </sheetIdMap>
  </header>
  <header guid="{2FB106D5-0E2B-418B-A461-860F40C5C17E}" dateTime="2019-07-22T10:49:41" maxSheetId="2" userName="elisabeta.trifan" r:id="rId475" minRId="4368" maxRId="4386">
    <sheetIdMap count="1">
      <sheetId val="1"/>
    </sheetIdMap>
  </header>
  <header guid="{0FE08548-EAFA-458C-9CD1-919EB825648B}" dateTime="2019-07-22T10:49:56" maxSheetId="2" userName="elisabeta.trifan" r:id="rId476" minRId="4387">
    <sheetIdMap count="1">
      <sheetId val="1"/>
    </sheetIdMap>
  </header>
  <header guid="{546FBD77-50AC-424B-804B-4A591C7FFEFE}" dateTime="2019-07-22T10:52:38" maxSheetId="2" userName="elisabeta.trifan" r:id="rId477" minRId="4388" maxRId="4391">
    <sheetIdMap count="1">
      <sheetId val="1"/>
    </sheetIdMap>
  </header>
  <header guid="{3766FF69-8C9A-4570-A984-4032A6204669}" dateTime="2019-07-22T10:53:09" maxSheetId="2" userName="elisabeta.trifan" r:id="rId478" minRId="4392">
    <sheetIdMap count="1">
      <sheetId val="1"/>
    </sheetIdMap>
  </header>
  <header guid="{A1324EC2-4392-405C-8FD7-455C7B5600F1}" dateTime="2019-07-22T10:54:01" maxSheetId="2" userName="elisabeta.trifan" r:id="rId479" minRId="4393" maxRId="4405">
    <sheetIdMap count="1">
      <sheetId val="1"/>
    </sheetIdMap>
  </header>
  <header guid="{55726231-BBD7-4C08-B552-F081BDE59AF0}" dateTime="2019-07-22T11:08:11" maxSheetId="2" userName="elisabeta.trifan" r:id="rId480" minRId="4406" maxRId="4551">
    <sheetIdMap count="1">
      <sheetId val="1"/>
    </sheetIdMap>
  </header>
  <header guid="{0B7794BE-E236-45A1-BECB-7BBB158E54DE}" dateTime="2019-07-22T11:52:29" maxSheetId="2" userName="elisabeta.trifan" r:id="rId481">
    <sheetIdMap count="1">
      <sheetId val="1"/>
    </sheetIdMap>
  </header>
  <header guid="{B03478FC-AEEB-4743-8E19-33165C4B265E}" dateTime="2019-07-22T11:52:43" maxSheetId="2" userName="elisabeta.trifan" r:id="rId482">
    <sheetIdMap count="1">
      <sheetId val="1"/>
    </sheetIdMap>
  </header>
  <header guid="{438F1BAE-F114-4D4D-A191-3566E7425AA7}" dateTime="2019-07-22T11:54:10" maxSheetId="2" userName="elisabeta.trifan" r:id="rId483">
    <sheetIdMap count="1">
      <sheetId val="1"/>
    </sheetIdMap>
  </header>
  <header guid="{CE362098-1C1E-47C6-A602-4CE380575CE1}" dateTime="2019-07-22T11:55:03" maxSheetId="2" userName="elisabeta.trifan" r:id="rId484">
    <sheetIdMap count="1">
      <sheetId val="1"/>
    </sheetIdMap>
  </header>
  <header guid="{31073FA2-2B16-4209-BFBD-92FE3801F8AF}" dateTime="2019-07-22T14:35:01" maxSheetId="2" userName="ovidiu.dumitrache" r:id="rId485" minRId="4554" maxRId="4561">
    <sheetIdMap count="1">
      <sheetId val="1"/>
    </sheetIdMap>
  </header>
  <header guid="{EC1D33C8-ED56-4F70-BB81-C281E08AFA11}" dateTime="2019-07-23T10:39:16" maxSheetId="2" userName="cristian.airinei" r:id="rId486" minRId="4564" maxRId="4565">
    <sheetIdMap count="1">
      <sheetId val="1"/>
    </sheetIdMap>
  </header>
  <header guid="{897034BA-7B8A-4B65-8D08-8EDEB0648B9E}" dateTime="2019-07-23T12:04:47" maxSheetId="2" userName="raluca.georgescu" r:id="rId487" minRId="4568" maxRId="4571">
    <sheetIdMap count="1">
      <sheetId val="1"/>
    </sheetIdMap>
  </header>
  <header guid="{3B46EE8A-D93C-472F-8A5E-FB6438C93C2B}" dateTime="2019-07-23T12:11:27" maxSheetId="2" userName="raluca.georgescu" r:id="rId488" minRId="4574" maxRId="4577">
    <sheetIdMap count="1">
      <sheetId val="1"/>
    </sheetIdMap>
  </header>
  <header guid="{E1AF9EB8-96C8-4CC7-9041-89B27858405C}" dateTime="2019-07-23T12:21:15" maxSheetId="2" userName="raluca.georgescu" r:id="rId489" minRId="4580" maxRId="4586">
    <sheetIdMap count="1">
      <sheetId val="1"/>
    </sheetIdMap>
  </header>
  <header guid="{6E63764C-8339-4FC6-B896-CE724F51BDD4}" dateTime="2019-07-23T12:22:01" maxSheetId="2" userName="raluca.georgescu" r:id="rId490" minRId="4589">
    <sheetIdMap count="1">
      <sheetId val="1"/>
    </sheetIdMap>
  </header>
  <header guid="{84D7884B-4469-485B-841F-304D7FEE8CC9}" dateTime="2019-07-24T11:02:47" maxSheetId="2" userName="vlad.pereteanu" r:id="rId491">
    <sheetIdMap count="1">
      <sheetId val="1"/>
    </sheetIdMap>
  </header>
  <header guid="{0C754578-FFCE-4191-ACE1-6513E0171613}" dateTime="2019-07-24T11:26:02" maxSheetId="2" userName="vlad.pereteanu" r:id="rId492" minRId="4592">
    <sheetIdMap count="1">
      <sheetId val="1"/>
    </sheetIdMap>
  </header>
  <header guid="{8537CA29-7E4E-4328-915D-4A1EBCD86CF1}" dateTime="2019-07-24T16:47:14" maxSheetId="2" userName="diana.joita" r:id="rId493" minRId="4595">
    <sheetIdMap count="1">
      <sheetId val="1"/>
    </sheetIdMap>
  </header>
  <header guid="{1ACB458E-AF44-4499-80C9-812110CF9039}" dateTime="2019-07-24T16:50:58" maxSheetId="2" userName="diana.joita" r:id="rId494">
    <sheetIdMap count="1">
      <sheetId val="1"/>
    </sheetIdMap>
  </header>
  <header guid="{96296908-0541-4883-A155-82510C2C857E}" dateTime="2019-07-25T15:46:23" maxSheetId="2" userName="elisabeta.trifan" r:id="rId495" minRId="4600" maxRId="4606">
    <sheetIdMap count="1">
      <sheetId val="1"/>
    </sheetIdMap>
  </header>
  <header guid="{C36D5BA4-0C0E-4A58-A3AF-D09B82EE74FE}" dateTime="2019-07-25T15:46:48" maxSheetId="2" userName="elisabeta.trifan" r:id="rId496" minRId="4609" maxRId="4611">
    <sheetIdMap count="1">
      <sheetId val="1"/>
    </sheetIdMap>
  </header>
  <header guid="{4BFB0455-6A39-4EE1-B5B9-D22A237BF9CB}" dateTime="2019-07-25T15:47:33" maxSheetId="2" userName="elisabeta.trifan" r:id="rId497" minRId="4612">
    <sheetIdMap count="1">
      <sheetId val="1"/>
    </sheetIdMap>
  </header>
  <header guid="{AE89499E-F926-4BA1-8EA9-1D4C3599E7B0}" dateTime="2019-07-25T15:47:41" maxSheetId="2" userName="elisabeta.trifan" r:id="rId498" minRId="4613">
    <sheetIdMap count="1">
      <sheetId val="1"/>
    </sheetIdMap>
  </header>
  <header guid="{5D8E758C-028B-425E-A470-867B09EF4495}" dateTime="2019-07-25T15:47:58" maxSheetId="2" userName="elisabeta.trifan" r:id="rId499" minRId="4614" maxRId="4615">
    <sheetIdMap count="1">
      <sheetId val="1"/>
    </sheetIdMap>
  </header>
  <header guid="{F8A2010E-8B4C-4C6E-9B02-E8A187D4D81C}" dateTime="2019-07-25T15:48:11" maxSheetId="2" userName="elisabeta.trifan" r:id="rId500" minRId="4616" maxRId="4619">
    <sheetIdMap count="1">
      <sheetId val="1"/>
    </sheetIdMap>
  </header>
  <header guid="{19FAA0DD-5764-4E15-B710-57E75C72863D}" dateTime="2019-07-25T15:49:35" maxSheetId="2" userName="elisabeta.trifan" r:id="rId501" minRId="4620" maxRId="4623">
    <sheetIdMap count="1">
      <sheetId val="1"/>
    </sheetIdMap>
  </header>
  <header guid="{9BDC604E-2D5A-4EC0-823E-57FC5ED272A2}" dateTime="2019-07-25T15:51:04" maxSheetId="2" userName="elisabeta.trifan" r:id="rId502" minRId="4624" maxRId="4639">
    <sheetIdMap count="1">
      <sheetId val="1"/>
    </sheetIdMap>
  </header>
  <header guid="{7A2508AB-6C35-4E5B-9F30-76C104B13601}" dateTime="2019-07-25T15:51:27" maxSheetId="2" userName="elisabeta.trifan" r:id="rId503" minRId="4640" maxRId="4642">
    <sheetIdMap count="1">
      <sheetId val="1"/>
    </sheetIdMap>
  </header>
  <header guid="{4BECEDBB-6192-427E-B8D3-DE7492D024A6}" dateTime="2019-07-25T16:18:34" maxSheetId="2" userName="mariana.moraru" r:id="rId504" minRId="4643" maxRId="4679">
    <sheetIdMap count="1">
      <sheetId val="1"/>
    </sheetIdMap>
  </header>
  <header guid="{0C79C487-8FFE-422A-9521-3E3D605913E9}" dateTime="2019-07-25T16:18:43" maxSheetId="2" userName="georgiana.dobre" r:id="rId505" minRId="4682" maxRId="4686">
    <sheetIdMap count="1">
      <sheetId val="1"/>
    </sheetIdMap>
  </header>
  <header guid="{63D20A5E-9F22-4BB6-A422-C6B234B2D064}" dateTime="2019-07-25T16:19:59" maxSheetId="2" userName="georgiana.dobre" r:id="rId506" minRId="4689" maxRId="4690">
    <sheetIdMap count="1">
      <sheetId val="1"/>
    </sheetIdMap>
  </header>
  <header guid="{BF791009-0B1D-4770-B230-F038C86C78B9}" dateTime="2019-07-25T16:21:20" maxSheetId="2" userName="mariana.moraru" r:id="rId507" minRId="4691" maxRId="4692">
    <sheetIdMap count="1">
      <sheetId val="1"/>
    </sheetIdMap>
  </header>
  <header guid="{930D8A8A-3672-43BB-AF25-316ABA6B95E4}" dateTime="2019-07-25T16:21:25" maxSheetId="2" userName="daniela.voicu" r:id="rId508" minRId="4693">
    <sheetIdMap count="1">
      <sheetId val="1"/>
    </sheetIdMap>
  </header>
  <header guid="{560B1235-EBB4-43B7-8D88-BD3ADDD0210F}" dateTime="2019-07-25T16:23:18" maxSheetId="2" userName="daniela.voicu" r:id="rId509" minRId="4696">
    <sheetIdMap count="1">
      <sheetId val="1"/>
    </sheetIdMap>
  </header>
  <header guid="{E0A16B02-9810-4B9B-8000-98E46D8A90A6}" dateTime="2019-07-25T16:29:45" maxSheetId="2" userName="mariana.moraru" r:id="rId510" minRId="4699" maxRId="4701">
    <sheetIdMap count="1">
      <sheetId val="1"/>
    </sheetIdMap>
  </header>
  <header guid="{E907C603-79DA-4171-8F13-F476DF8021DA}" dateTime="2019-07-25T16:40:39" maxSheetId="2" userName="daniela.voicu" r:id="rId511" minRId="4702" maxRId="4717">
    <sheetIdMap count="1">
      <sheetId val="1"/>
    </sheetIdMap>
  </header>
  <header guid="{440E07A3-2E06-40AC-8FF0-05676B2CD81D}" dateTime="2019-07-25T16:40:41" maxSheetId="2" userName="mariana.moraru" r:id="rId512" minRId="4720" maxRId="4725">
    <sheetIdMap count="1">
      <sheetId val="1"/>
    </sheetIdMap>
  </header>
  <header guid="{D6FBF70F-EF69-4E16-87D0-F2741434B699}" dateTime="2019-07-25T17:19:13" maxSheetId="2" userName="daniela.voicu" r:id="rId513" minRId="4726" maxRId="4746">
    <sheetIdMap count="1">
      <sheetId val="1"/>
    </sheetIdMap>
  </header>
  <header guid="{C8F1F9DA-34C6-4ACF-B5B5-5C2348E6E088}" dateTime="2019-07-25T17:34:28" maxSheetId="2" userName="maria.petre" r:id="rId514" minRId="4747" maxRId="4789">
    <sheetIdMap count="1">
      <sheetId val="1"/>
    </sheetIdMap>
  </header>
  <header guid="{6DAF8605-EB6D-4FBF-846F-E6A5DDD1E67D}" dateTime="2019-07-26T09:01:39" maxSheetId="2" userName="otilia.chirita" r:id="rId515" minRId="4792">
    <sheetIdMap count="1">
      <sheetId val="1"/>
    </sheetIdMap>
  </header>
  <header guid="{6BEA432E-8589-4AD2-AB24-46E6A7545947}" dateTime="2019-07-26T09:58:59" maxSheetId="2" userName="maria.petre" r:id="rId516">
    <sheetIdMap count="1">
      <sheetId val="1"/>
    </sheetIdMap>
  </header>
  <header guid="{949A220C-AD15-4FB6-AD53-E3D18D80374F}" dateTime="2019-07-26T10:01:19" maxSheetId="2" userName="maria.petre" r:id="rId517" minRId="4797">
    <sheetIdMap count="1">
      <sheetId val="1"/>
    </sheetIdMap>
  </header>
  <header guid="{2BCC5732-1793-4ECB-B8C1-979C7FEABB39}" dateTime="2019-07-26T10:02:11" maxSheetId="2" userName="diana.joita" r:id="rId518" minRId="4798" maxRId="4799">
    <sheetIdMap count="1">
      <sheetId val="1"/>
    </sheetIdMap>
  </header>
  <header guid="{C209E565-C4EE-45B7-B7D7-A0BE718C8E2D}" dateTime="2019-07-26T10:02:15" maxSheetId="2" userName="otilia.chirita" r:id="rId519" minRId="4802">
    <sheetIdMap count="1">
      <sheetId val="1"/>
    </sheetIdMap>
  </header>
  <header guid="{5146D0CE-BB13-4C6A-8675-12D210E214C7}" dateTime="2019-07-26T10:06:29" maxSheetId="2" userName="maria.petre" r:id="rId520" minRId="4805">
    <sheetIdMap count="1">
      <sheetId val="1"/>
    </sheetIdMap>
  </header>
  <header guid="{531B3783-CD5E-4BA1-B3C7-E851289CAC1E}" dateTime="2019-07-26T10:22:01" maxSheetId="2" userName="maria.petre" r:id="rId521" minRId="4808" maxRId="4824">
    <sheetIdMap count="1">
      <sheetId val="1"/>
    </sheetIdMap>
  </header>
  <header guid="{A843BC9B-69D6-4859-B8BD-A42317944826}" dateTime="2019-07-26T10:30:16" maxSheetId="2" userName="maria.petre" r:id="rId522" minRId="4827" maxRId="4829">
    <sheetIdMap count="1">
      <sheetId val="1"/>
    </sheetIdMap>
  </header>
  <header guid="{8EBA28FA-CE63-457C-8670-14D3F717B743}" dateTime="2019-07-26T10:30:48" maxSheetId="2" userName="maria.petre" r:id="rId523" minRId="4830" maxRId="4832">
    <sheetIdMap count="1">
      <sheetId val="1"/>
    </sheetIdMap>
  </header>
  <header guid="{0664E8E5-FCB6-45A8-8B9A-3C3213B82348}" dateTime="2019-07-26T10:35:17" maxSheetId="2" userName="maria.petre" r:id="rId524" minRId="4833" maxRId="4854">
    <sheetIdMap count="1">
      <sheetId val="1"/>
    </sheetIdMap>
  </header>
  <header guid="{8D9C6B77-CBB4-4B4F-8295-C9E9C09F714C}" dateTime="2019-07-26T10:42:39" maxSheetId="2" userName="corina.pelmus" r:id="rId525">
    <sheetIdMap count="1">
      <sheetId val="1"/>
    </sheetIdMap>
  </header>
  <header guid="{FA9688C7-172C-4B53-93A2-F473517C500E}" dateTime="2019-07-26T12:46:58" maxSheetId="2" userName="otilia.chirita" r:id="rId526" minRId="4859">
    <sheetIdMap count="1">
      <sheetId val="1"/>
    </sheetIdMap>
  </header>
  <header guid="{30766DFA-5B22-4430-AC1C-A2FFBB6D3200}" dateTime="2019-07-26T13:08:15" maxSheetId="2" userName="otilia.chirita" r:id="rId527" minRId="4862">
    <sheetIdMap count="1">
      <sheetId val="1"/>
    </sheetIdMap>
  </header>
  <header guid="{571DD14B-84A1-48FC-A588-BF56946F6673}" dateTime="2019-07-26T13:49:34" maxSheetId="2" userName="viorel.zlotariu" r:id="rId528" minRId="4863" maxRId="5573">
    <sheetIdMap count="1">
      <sheetId val="1"/>
    </sheetIdMap>
  </header>
  <header guid="{B1F10E04-E1FC-4DC7-AC0B-18716FB65220}" dateTime="2019-07-26T14:08:50" maxSheetId="2" userName="viorel.zlotariu" r:id="rId529" minRId="5576" maxRId="5987">
    <sheetIdMap count="1">
      <sheetId val="1"/>
    </sheetIdMap>
  </header>
  <header guid="{741734D5-4788-41EE-BAF2-89C761B58FF2}" dateTime="2019-07-26T14:09:37" maxSheetId="2" userName="viorel.zlotariu" r:id="rId530" minRId="5988">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09:H309">
    <dxf>
      <border>
        <top style="thin">
          <color indexed="64"/>
        </top>
        <bottom style="thin">
          <color indexed="64"/>
        </bottom>
        <horizontal style="thin">
          <color indexed="64"/>
        </horizontal>
      </border>
    </dxf>
  </rfmt>
  <rcv guid="{36624B2D-80F9-4F79-AC4A-B3547C36F23F}" action="delete"/>
  <rdn rId="0" localSheetId="1" customView="1" name="Z_36624B2D_80F9_4F79_AC4A_B3547C36F23F_.wvu.PrintArea" hidden="1" oldHidden="1">
    <formula>Sheet1!$A$1:$AL$485</formula>
    <oldFormula>Sheet1!$A$1:$AL$485</oldFormula>
  </rdn>
  <rdn rId="0" localSheetId="1" customView="1" name="Z_36624B2D_80F9_4F79_AC4A_B3547C36F23F_.wvu.FilterData" hidden="1" oldHidden="1">
    <formula>Sheet1!$A$1:$AL$452</formula>
    <oldFormula>Sheet1!$A$1:$AL$452</oldFormula>
  </rdn>
  <rcv guid="{36624B2D-80F9-4F79-AC4A-B3547C36F23F}"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89" sId="1">
    <nc r="AI433" t="inlineStr">
      <is>
        <t>AA1/22.07.2019</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AA4DFE-88B1-4674-95ED-5FCD7A50BC22}" action="delete"/>
  <rdn rId="0" localSheetId="1" customView="1" name="Z_5AAA4DFE_88B1_4674_95ED_5FCD7A50BC22_.wvu.PrintArea" hidden="1" oldHidden="1">
    <formula>Sheet1!$A$1:$AL$485</formula>
    <oldFormula>Sheet1!$A$1:$AL$485</oldFormula>
  </rdn>
  <rdn rId="0" localSheetId="1" customView="1" name="Z_5AAA4DFE_88B1_4674_95ED_5FCD7A50BC22_.wvu.FilterData" hidden="1" oldHidden="1">
    <formula>Sheet1!$A$1:$AL$452</formula>
    <oldFormula>Sheet1!$A$1:$AL$452</oldFormula>
  </rdn>
  <rcv guid="{5AAA4DFE-88B1-4674-95ED-5FCD7A50BC22}"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92" sId="1">
    <oc r="F179" t="inlineStr">
      <is>
        <t>CP 12 more/2018</t>
      </is>
    </oc>
    <nc r="F179" t="inlineStr">
      <is>
        <t>CP 12 less/2018</t>
      </is>
    </nc>
  </rcc>
  <rcv guid="{5AAA4DFE-88B1-4674-95ED-5FCD7A50BC22}" action="delete"/>
  <rdn rId="0" localSheetId="1" customView="1" name="Z_5AAA4DFE_88B1_4674_95ED_5FCD7A50BC22_.wvu.PrintArea" hidden="1" oldHidden="1">
    <formula>Sheet1!$A$1:$AL$485</formula>
    <oldFormula>Sheet1!$A$1:$AL$485</oldFormula>
  </rdn>
  <rdn rId="0" localSheetId="1" customView="1" name="Z_5AAA4DFE_88B1_4674_95ED_5FCD7A50BC22_.wvu.FilterData" hidden="1" oldHidden="1">
    <formula>Sheet1!$A$1:$AL$452</formula>
    <oldFormula>Sheet1!$A$1:$AL$452</oldFormula>
  </rdn>
  <rcv guid="{5AAA4DFE-88B1-4674-95ED-5FCD7A50BC22}"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95" sId="1">
    <oc r="AH199" t="inlineStr">
      <is>
        <t xml:space="preserve"> în implementare</t>
      </is>
    </oc>
    <nc r="AH199" t="inlineStr">
      <is>
        <t>finalizat</t>
      </is>
    </nc>
  </rcc>
  <rcv guid="{905D93EA-5662-45AB-8995-A9908B3E5D52}" action="delete"/>
  <rdn rId="0" localSheetId="1" customView="1" name="Z_905D93EA_5662_45AB_8995_A9908B3E5D52_.wvu.PrintArea" hidden="1" oldHidden="1">
    <formula>Sheet1!$A$1:$AL$485</formula>
    <oldFormula>Sheet1!$A$1:$AL$485</oldFormula>
  </rdn>
  <rdn rId="0" localSheetId="1" customView="1" name="Z_905D93EA_5662_45AB_8995_A9908B3E5D52_.wvu.FilterData" hidden="1" oldHidden="1">
    <formula>Sheet1!$C$1:$C$496</formula>
    <oldFormula>Sheet1!$C$1:$C$492</oldFormula>
  </rdn>
  <rcv guid="{905D93EA-5662-45AB-8995-A9908B3E5D52}"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05D93EA-5662-45AB-8995-A9908B3E5D52}" action="delete"/>
  <rdn rId="0" localSheetId="1" customView="1" name="Z_905D93EA_5662_45AB_8995_A9908B3E5D52_.wvu.PrintArea" hidden="1" oldHidden="1">
    <formula>Sheet1!$A$1:$AL$485</formula>
    <oldFormula>Sheet1!$A$1:$AL$485</oldFormula>
  </rdn>
  <rdn rId="0" localSheetId="1" customView="1" name="Z_905D93EA_5662_45AB_8995_A9908B3E5D52_.wvu.FilterData" hidden="1" oldHidden="1">
    <formula>Sheet1!$C$1:$C$496</formula>
    <oldFormula>Sheet1!$C$1:$C$496</oldFormula>
  </rdn>
  <rcv guid="{905D93EA-5662-45AB-8995-A9908B3E5D52}"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600" sId="1" ref="A213:XFD213" action="insertRow">
    <undo index="65535" exp="area" ref3D="1" dr="$H$1:$N$1048576" dn="Z_65B035E3_87FA_46C5_996E_864F2C8D0EBC_.wvu.Cols" sId="1"/>
  </rrc>
  <rcc rId="4601" sId="1">
    <nc r="A213">
      <v>2</v>
    </nc>
  </rcc>
  <rcc rId="4602" sId="1">
    <nc r="C213">
      <v>626</v>
    </nc>
  </rcc>
  <rcc rId="4603" sId="1">
    <nc r="B213">
      <v>128093</v>
    </nc>
  </rcc>
  <rcc rId="4604" sId="1">
    <nc r="D213" t="inlineStr">
      <is>
        <t>ET</t>
      </is>
    </nc>
  </rcc>
  <rcc rId="4605" sId="1">
    <nc r="E213" t="inlineStr">
      <is>
        <t>AP2/11i /2.1</t>
      </is>
    </nc>
  </rcc>
  <rcc rId="4606" sId="1" xfDxf="1" dxf="1">
    <nc r="F213" t="inlineStr">
      <is>
        <t>CP 12 less/2018</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cv guid="{36624B2D-80F9-4F79-AC4A-B3547C36F23F}" action="delete"/>
  <rdn rId="0" localSheetId="1" customView="1" name="Z_36624B2D_80F9_4F79_AC4A_B3547C36F23F_.wvu.PrintArea" hidden="1" oldHidden="1">
    <formula>Sheet1!$A$1:$AL$486</formula>
    <oldFormula>Sheet1!$A$1:$AL$486</oldFormula>
  </rdn>
  <rdn rId="0" localSheetId="1" customView="1" name="Z_36624B2D_80F9_4F79_AC4A_B3547C36F23F_.wvu.FilterData" hidden="1" oldHidden="1">
    <formula>Sheet1!$A$1:$AL$453</formula>
    <oldFormula>Sheet1!$A$1:$AL$453</oldFormula>
  </rdn>
  <rcv guid="{36624B2D-80F9-4F79-AC4A-B3547C36F23F}"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09" sId="1">
    <nc r="G213" t="inlineStr">
      <is>
        <t>APLICAT - Administratie Publica Locala Informatizata, Calitativa si Accesibila Tuturor la Suceava</t>
      </is>
    </nc>
  </rcc>
  <rcc rId="4610" sId="1">
    <nc r="H213" t="inlineStr">
      <is>
        <t>Municipiul Suceava</t>
      </is>
    </nc>
  </rcc>
  <rcc rId="4611" sId="1">
    <nc r="I213" t="inlineStr">
      <is>
        <t>n.a</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13">
    <dxf>
      <alignment horizontal="left"/>
    </dxf>
  </rfmt>
  <rcc rId="4612" sId="1">
    <nc r="J213" t="inlineStr">
      <is>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13" sId="1" numFmtId="19">
    <nc r="K213">
      <v>43670</v>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14" sId="1" numFmtId="19">
    <nc r="L213">
      <v>44401</v>
    </nc>
  </rcc>
  <rcc rId="4615" sId="1">
    <nc r="N213">
      <v>1</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22:H322">
    <dxf>
      <border>
        <top style="thin">
          <color indexed="64"/>
        </top>
        <bottom style="thin">
          <color indexed="64"/>
        </bottom>
        <horizontal style="thin">
          <color indexed="64"/>
        </horizontal>
      </border>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16" sId="1">
    <nc r="O213" t="inlineStr">
      <is>
        <t>Suceava</t>
      </is>
    </nc>
  </rcc>
  <rcc rId="4617" sId="1">
    <nc r="P213" t="inlineStr">
      <is>
        <t>Suceava</t>
      </is>
    </nc>
  </rcc>
  <rcc rId="4618" sId="1">
    <nc r="Q213" t="inlineStr">
      <is>
        <t>APL</t>
      </is>
    </nc>
  </rcc>
  <rcc rId="4619" sId="1">
    <nc r="R213"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4" sId="1" numFmtId="4">
    <oc r="U322">
      <v>453708.1</v>
    </oc>
    <nc r="U322">
      <v>453708.11</v>
    </nc>
  </rcc>
  <rcc rId="2175" sId="1" numFmtId="4">
    <oc r="AA322">
      <v>113427.02</v>
    </oc>
    <nc r="AA322">
      <v>113427.01</v>
    </nc>
  </rcc>
  <rcv guid="{FE50EAC0-52A5-4C33-B973-65E93D03D3EA}" action="delete"/>
  <rdn rId="0" localSheetId="1" customView="1" name="Z_FE50EAC0_52A5_4C33_B973_65E93D03D3EA_.wvu.PrintArea" hidden="1" oldHidden="1">
    <formula>Sheet1!$A$1:$AL$460</formula>
    <oldFormula>Sheet1!$A$1:$AL$460</oldFormula>
  </rdn>
  <rdn rId="0" localSheetId="1" customView="1" name="Z_FE50EAC0_52A5_4C33_B973_65E93D03D3EA_.wvu.FilterData" hidden="1" oldHidden="1">
    <formula>Sheet1!$A$1:$AL$429</formula>
    <oldFormula>Sheet1!$A$1:$AL$429</oldFormula>
  </rdn>
  <rcv guid="{FE50EAC0-52A5-4C33-B973-65E93D03D3EA}"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20" sId="1" numFmtId="4">
    <nc r="T213">
      <v>2360805.2999999998</v>
    </nc>
  </rcc>
  <rcc rId="4621" sId="1" numFmtId="4">
    <nc r="U213">
      <v>0</v>
    </nc>
  </rcc>
  <rcc rId="4622" sId="1">
    <nc r="S213">
      <f>T213+U213</f>
    </nc>
  </rcc>
  <rcc rId="4623" sId="1">
    <oc r="S214">
      <f>SUM(S212:S212)</f>
    </oc>
    <nc r="S214">
      <f>SUM(S212:S213)</f>
    </nc>
  </rcc>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78" sId="1" ref="A88:XFD88" action="insertRow">
    <undo index="65535" exp="area" ref3D="1" dr="$H$1:$N$1048576" dn="Z_65B035E3_87FA_46C5_996E_864F2C8D0EBC_.wvu.Cols" sId="1"/>
  </rrc>
  <rcc rId="2179" sId="1">
    <nc r="C88">
      <v>629</v>
    </nc>
  </rcc>
  <rcc rId="2180" sId="1">
    <nc r="B88">
      <v>128473</v>
    </nc>
  </rcc>
  <rcc rId="2181" sId="1">
    <nc r="D88" t="inlineStr">
      <is>
        <t>RB</t>
      </is>
    </nc>
  </rcc>
  <rcc rId="2182" sId="1">
    <nc r="E88">
      <f>$E$195</f>
    </nc>
  </rcc>
  <rcc rId="2183" sId="1" odxf="1" dxf="1">
    <nc r="F88" t="inlineStr">
      <is>
        <t>CP 12 less/2018</t>
      </is>
    </nc>
    <odxf>
      <font>
        <b val="0"/>
        <sz val="12"/>
      </font>
    </odxf>
    <ndxf>
      <font>
        <b/>
        <sz val="12"/>
      </font>
    </ndxf>
  </rcc>
  <rfmt sheetId="1" sqref="G88" start="0" length="0">
    <dxf>
      <font>
        <sz val="11"/>
        <color theme="1"/>
        <name val="Calibri"/>
        <family val="2"/>
        <charset val="238"/>
        <scheme val="minor"/>
      </font>
      <alignment horizontal="general" vertical="bottom" wrapText="0"/>
      <border outline="0">
        <left/>
        <right/>
        <top/>
        <bottom/>
      </border>
    </dxf>
  </rfmt>
  <rfmt sheetId="1" xfDxf="1" sqref="G88" start="0" length="0">
    <dxf>
      <font>
        <b/>
        <name val="Trebuchet MS"/>
        <scheme val="none"/>
      </font>
    </dxf>
  </rfmt>
  <rcc rId="2184" sId="1" odxf="1" dxf="1">
    <nc r="G88" t="inlineStr">
      <is>
        <t>Creșterea transparenței decizionale si simplificarea procedurilor administrative pentru cetățeni - ANTO-CIIC</t>
      </is>
    </nc>
    <ndxf>
      <font>
        <b val="0"/>
        <sz val="12"/>
        <color auto="1"/>
        <name val="Trebuchet MS"/>
        <scheme val="none"/>
      </font>
      <alignment horizontal="left" vertical="center" wrapText="1"/>
      <border outline="0">
        <left style="thin">
          <color indexed="64"/>
        </left>
        <right style="thin">
          <color indexed="64"/>
        </right>
        <top style="thin">
          <color indexed="64"/>
        </top>
        <bottom style="thin">
          <color indexed="64"/>
        </bottom>
      </border>
    </ndxf>
  </rcc>
  <rcc rId="2185" sId="1">
    <nc r="H88" t="inlineStr">
      <is>
        <t>Municipiul Cluj Napoca</t>
      </is>
    </nc>
  </rcc>
  <rcc rId="2186" sId="1">
    <nc r="I88" t="inlineStr">
      <is>
        <t>n.a.</t>
      </is>
    </nc>
  </rcc>
  <rcc rId="2187" sId="1" numFmtId="19">
    <nc r="K88">
      <v>43640</v>
    </nc>
  </rcc>
  <rcc rId="2188" sId="1" numFmtId="19">
    <nc r="L88">
      <v>44554</v>
    </nc>
  </rcc>
  <rcc rId="2189" sId="1" numFmtId="4">
    <nc r="T88">
      <v>2773068.05</v>
    </nc>
  </rcc>
  <rcc rId="2190" sId="1" numFmtId="4">
    <nc r="U88">
      <v>0</v>
    </nc>
  </rcc>
  <rcc rId="2191" sId="1" numFmtId="4">
    <nc r="W88">
      <v>424116.29</v>
    </nc>
  </rcc>
  <rcc rId="2192" sId="1" numFmtId="4">
    <nc r="X88">
      <v>0</v>
    </nc>
  </rcc>
  <rcc rId="2193" sId="1" numFmtId="4">
    <nc r="Z88">
      <v>65248.66</v>
    </nc>
  </rcc>
  <rcc rId="2194" sId="1" numFmtId="4">
    <nc r="AA88">
      <v>0</v>
    </nc>
  </rcc>
  <rcc rId="2195" sId="1" numFmtId="4">
    <nc r="AC88">
      <v>0</v>
    </nc>
  </rcc>
  <rcc rId="2196" sId="1" numFmtId="4">
    <nc r="AD88">
      <v>0</v>
    </nc>
  </rcc>
  <rcc rId="2197" sId="1">
    <nc r="M88">
      <f>S88/AE88*100</f>
    </nc>
  </rcc>
  <rcc rId="2198" sId="1">
    <nc r="N88">
      <v>6</v>
    </nc>
  </rcc>
  <rcc rId="2199" sId="1">
    <nc r="O88" t="inlineStr">
      <is>
        <t>Cluj</t>
      </is>
    </nc>
  </rcc>
  <rcc rId="2200" sId="1">
    <nc r="P88" t="inlineStr">
      <is>
        <t>Cluj Napoca</t>
      </is>
    </nc>
  </rcc>
  <rcc rId="2201" sId="1">
    <nc r="Q88" t="inlineStr">
      <is>
        <t>APL</t>
      </is>
    </nc>
  </rcc>
  <rcc rId="2202" sId="1">
    <nc r="R88" t="inlineStr">
      <is>
        <t>119 - Investiții în capacitatea instituțională și în eficiența administrațiilor și a serviciilor publice la nivel național, regional și local, în perspectiva realizării de reforme, a unei mai bune legiferări și a bunei guvernanțe</t>
      </is>
    </nc>
  </rcc>
  <rcc rId="2203" sId="1">
    <nc r="S88">
      <f>T88+U88</f>
    </nc>
  </rcc>
  <rcc rId="2204" sId="1">
    <nc r="V88">
      <f>W88+X88</f>
    </nc>
  </rcc>
  <rcc rId="2205" sId="1">
    <nc r="Y88">
      <f>Z88+AA88</f>
    </nc>
  </rcc>
  <rcc rId="2206" sId="1">
    <nc r="AB88">
      <f>AC88+AD88</f>
    </nc>
  </rcc>
  <rcc rId="2207" sId="1">
    <nc r="AE88">
      <f>S88+V88+Y88+AB88</f>
    </nc>
  </rcc>
  <rcc rId="2208" sId="1">
    <nc r="AG88">
      <f>AE88+AF88</f>
    </nc>
  </rcc>
  <rcc rId="2209" sId="1" numFmtId="4">
    <nc r="AF88">
      <v>0</v>
    </nc>
  </rcc>
  <rcc rId="2210" sId="1">
    <nc r="AH88" t="inlineStr">
      <is>
        <t>in implementare</t>
      </is>
    </nc>
  </rcc>
  <rcv guid="{53ED3D47-B2C0-43A1-9A1E-F030D529F74C}" action="delete"/>
  <rdn rId="0" localSheetId="1" customView="1" name="Z_53ED3D47_B2C0_43A1_9A1E_F030D529F74C_.wvu.PrintArea" hidden="1" oldHidden="1">
    <formula>Sheet1!$A$1:$AL$461</formula>
    <oldFormula>Sheet1!$A$1:$AL$461</oldFormula>
  </rdn>
  <rdn rId="0" localSheetId="1" customView="1" name="Z_53ED3D47_B2C0_43A1_9A1E_F030D529F74C_.wvu.FilterData" hidden="1" oldHidden="1">
    <formula>Sheet1!$A$6:$AL$461</formula>
    <oldFormula>Sheet1!$A$6:$AL$461</oldFormula>
  </rdn>
  <rcv guid="{53ED3D47-B2C0-43A1-9A1E-F030D529F74C}" action="add"/>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3" sId="1" numFmtId="4">
    <oc r="AF88">
      <v>0</v>
    </oc>
    <nc r="AF88">
      <v>102340</v>
    </nc>
  </rcc>
  <rcc rId="2214" sId="1">
    <nc r="A88">
      <v>6</v>
    </nc>
  </rcc>
  <rcc rId="2215" sId="1">
    <oc r="A89">
      <v>6</v>
    </oc>
    <nc r="A89">
      <v>7</v>
    </nc>
  </rcc>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88" start="0" length="0">
    <dxf>
      <border>
        <left style="thin">
          <color indexed="64"/>
        </left>
      </border>
    </dxf>
  </rfmt>
  <rfmt sheetId="1" sqref="A88:E8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89" start="0" length="0">
    <dxf>
      <border>
        <left style="thin">
          <color indexed="64"/>
        </left>
      </border>
    </dxf>
  </rfmt>
  <rfmt sheetId="1" sqref="A89:B89">
    <dxf>
      <border>
        <left style="thin">
          <color indexed="64"/>
        </left>
        <right style="thin">
          <color indexed="64"/>
        </right>
        <top style="thin">
          <color indexed="64"/>
        </top>
        <bottom style="thin">
          <color indexed="64"/>
        </bottom>
        <vertical style="thin">
          <color indexed="64"/>
        </vertical>
        <horizontal style="thin">
          <color indexed="64"/>
        </horizontal>
      </border>
    </dxf>
  </rfmt>
  <rcc rId="2216" sId="1">
    <nc r="J88" t="inlineStr">
      <is>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is>
    </nc>
  </rcc>
  <rcv guid="{53ED3D47-B2C0-43A1-9A1E-F030D529F74C}" action="delete"/>
  <rdn rId="0" localSheetId="1" customView="1" name="Z_53ED3D47_B2C0_43A1_9A1E_F030D529F74C_.wvu.PrintArea" hidden="1" oldHidden="1">
    <formula>Sheet1!$A$1:$AL$461</formula>
    <oldFormula>Sheet1!$A$1:$AL$461</oldFormula>
  </rdn>
  <rdn rId="0" localSheetId="1" customView="1" name="Z_53ED3D47_B2C0_43A1_9A1E_F030D529F74C_.wvu.FilterData" hidden="1" oldHidden="1">
    <formula>Sheet1!$A$6:$AL$461</formula>
    <oldFormula>Sheet1!$A$6:$AL$461</oldFormula>
  </rdn>
  <rcv guid="{53ED3D47-B2C0-43A1-9A1E-F030D529F74C}" action="add"/>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19" sId="1" ref="A428:XFD428" action="insertRow">
    <undo index="65535" exp="area" ref3D="1" dr="$H$1:$N$1048576" dn="Z_65B035E3_87FA_46C5_996E_864F2C8D0EBC_.wvu.Cols" sId="1"/>
  </rrc>
  <rcc rId="2220" sId="1">
    <nc r="A428">
      <v>193</v>
    </nc>
  </rcc>
  <rcc rId="2221" sId="1">
    <nc r="B428">
      <v>116178</v>
    </nc>
  </rcc>
  <rcc rId="2222" sId="1">
    <nc r="C428">
      <v>403</v>
    </nc>
  </rcc>
  <rcc rId="2223" sId="1">
    <nc r="D428" t="inlineStr">
      <is>
        <t>GD</t>
      </is>
    </nc>
  </rcc>
  <rcc rId="2224" sId="1" odxf="1" dxf="1">
    <nc r="E428" t="inlineStr">
      <is>
        <t>AP1/11i /1.1</t>
      </is>
    </nc>
    <odxf>
      <border outline="0">
        <left/>
        <right/>
        <top/>
        <bottom/>
      </border>
    </odxf>
    <ndxf>
      <border outline="0">
        <left style="thin">
          <color indexed="64"/>
        </left>
        <right style="thin">
          <color indexed="64"/>
        </right>
        <top style="thin">
          <color indexed="64"/>
        </top>
        <bottom style="thin">
          <color indexed="64"/>
        </bottom>
      </border>
    </ndxf>
  </rcc>
  <rcc rId="2225" sId="1" odxf="1" dxf="1">
    <nc r="F428" t="inlineStr">
      <is>
        <t>IP8/2017 (MySMIS:
POCA/129/1/1)</t>
      </is>
    </nc>
    <odxf>
      <border outline="0">
        <left/>
        <right/>
        <top/>
        <bottom/>
      </border>
    </odxf>
    <ndxf>
      <border outline="0">
        <left style="thin">
          <color indexed="64"/>
        </left>
        <right style="thin">
          <color indexed="64"/>
        </right>
        <top style="thin">
          <color indexed="64"/>
        </top>
        <bottom style="thin">
          <color indexed="64"/>
        </bottom>
      </border>
    </ndxf>
  </rcc>
  <rcc rId="2226" sId="1">
    <nc r="G428" t="inlineStr">
      <is>
        <t>Armonizarea cadrului legislativ pentru implementarea planului de reformă în sănătate</t>
      </is>
    </nc>
  </rcc>
  <rcc rId="2227" sId="1">
    <nc r="H428" t="inlineStr">
      <is>
        <t>MINISTERUL SĂNĂTĂȚII</t>
      </is>
    </nc>
  </rcc>
  <rcc rId="2228" sId="1">
    <nc r="I428" t="inlineStr">
      <is>
        <t>n.a.</t>
      </is>
    </nc>
  </rcc>
  <rcc rId="2229" sId="1" numFmtId="19">
    <nc r="K428">
      <v>43640</v>
    </nc>
  </rcc>
  <rcc rId="2230" sId="1" numFmtId="19">
    <nc r="L428">
      <v>44432</v>
    </nc>
  </rcc>
  <rcc rId="2231" sId="1" odxf="1" dxf="1">
    <nc r="N428" t="inlineStr">
      <is>
        <t xml:space="preserve"> Proiect cu acoperire națională</t>
      </is>
    </nc>
    <odxf>
      <border outline="0">
        <left/>
        <right/>
        <top/>
        <bottom/>
      </border>
    </odxf>
    <ndxf>
      <border outline="0">
        <left style="thin">
          <color indexed="64"/>
        </left>
        <right style="thin">
          <color indexed="64"/>
        </right>
        <top style="thin">
          <color indexed="64"/>
        </top>
        <bottom style="thin">
          <color indexed="64"/>
        </bottom>
      </border>
    </ndxf>
  </rcc>
  <rcc rId="2232" sId="1" odxf="1" dxf="1">
    <nc r="O428" t="inlineStr">
      <is>
        <t>București</t>
      </is>
    </nc>
    <odxf>
      <border outline="0">
        <left/>
        <right/>
        <top/>
        <bottom/>
      </border>
    </odxf>
    <ndxf>
      <border outline="0">
        <left style="thin">
          <color indexed="64"/>
        </left>
        <right style="thin">
          <color indexed="64"/>
        </right>
        <top style="thin">
          <color indexed="64"/>
        </top>
        <bottom style="thin">
          <color indexed="64"/>
        </bottom>
      </border>
    </ndxf>
  </rcc>
  <rcc rId="2233" sId="1" odxf="1" dxf="1">
    <nc r="P428" t="inlineStr">
      <is>
        <t>Bucuresti</t>
      </is>
    </nc>
    <odxf>
      <border outline="0">
        <left/>
        <right/>
        <top/>
        <bottom/>
      </border>
    </odxf>
    <ndxf>
      <border outline="0">
        <left style="thin">
          <color indexed="64"/>
        </left>
        <right style="thin">
          <color indexed="64"/>
        </right>
        <top style="thin">
          <color indexed="64"/>
        </top>
        <bottom style="thin">
          <color indexed="64"/>
        </bottom>
      </border>
    </ndxf>
  </rcc>
  <rcc rId="2234" sId="1" odxf="1" dxf="1">
    <nc r="Q428" t="inlineStr">
      <is>
        <t>APC</t>
      </is>
    </nc>
    <odxf>
      <border outline="0">
        <left/>
        <right/>
        <top/>
        <bottom/>
      </border>
    </odxf>
    <ndxf>
      <border outline="0">
        <left style="thin">
          <color indexed="64"/>
        </left>
        <right style="thin">
          <color indexed="64"/>
        </right>
        <top style="thin">
          <color indexed="64"/>
        </top>
        <bottom style="thin">
          <color indexed="64"/>
        </bottom>
      </border>
    </ndxf>
  </rcc>
  <rfmt sheetId="1" sqref="R428" start="0" length="0">
    <dxf>
      <border outline="0">
        <left style="thin">
          <color indexed="64"/>
        </left>
        <right style="thin">
          <color indexed="64"/>
        </right>
        <top style="thin">
          <color indexed="64"/>
        </top>
        <bottom style="thin">
          <color indexed="64"/>
        </bottom>
      </border>
    </dxf>
  </rfmt>
  <rcc rId="2235" sId="1">
    <nc r="R428" t="inlineStr">
      <is>
        <t>129 - Investiții în capacitatea instituțională și în eficiența administrațiilor și a serviciilor publice la nivel național, regional și local, în perspectiva realizării de reforme, a unei mai bune legiferări și a bunei guvernanțe</t>
      </is>
    </nc>
  </rcc>
  <rcv guid="{FE50EAC0-52A5-4C33-B973-65E93D03D3EA}" action="delete"/>
  <rdn rId="0" localSheetId="1" customView="1" name="Z_FE50EAC0_52A5_4C33_B973_65E93D03D3EA_.wvu.PrintArea" hidden="1" oldHidden="1">
    <formula>Sheet1!$A$1:$AL$462</formula>
    <oldFormula>Sheet1!$A$1:$AL$462</oldFormula>
  </rdn>
  <rdn rId="0" localSheetId="1" customView="1" name="Z_FE50EAC0_52A5_4C33_B973_65E93D03D3EA_.wvu.FilterData" hidden="1" oldHidden="1">
    <formula>Sheet1!$A$1:$AL$431</formula>
    <oldFormula>Sheet1!$A$1:$AL$431</oldFormula>
  </rdn>
  <rcv guid="{FE50EAC0-52A5-4C33-B973-65E93D03D3EA}" action="add"/>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38" sId="1" ref="A178:XFD178" action="insertRow">
    <undo index="65535" exp="area" ref3D="1" dr="$H$1:$N$1048576" dn="Z_65B035E3_87FA_46C5_996E_864F2C8D0EBC_.wvu.Cols" sId="1"/>
  </rrc>
  <rcc rId="2239" sId="1">
    <nc r="A178">
      <v>5</v>
    </nc>
  </rcc>
  <rcc rId="2240" sId="1">
    <nc r="D178" t="inlineStr">
      <is>
        <t>MP</t>
      </is>
    </nc>
  </rcc>
  <rcc rId="2241" sId="1">
    <nc r="B178">
      <v>129261</v>
    </nc>
  </rcc>
  <rcc rId="2242" sId="1">
    <nc r="C178">
      <v>648</v>
    </nc>
  </rcc>
  <rcc rId="2243" sId="1">
    <nc r="F178" t="inlineStr">
      <is>
        <t>CP 12 less/2018</t>
      </is>
    </nc>
  </rcc>
  <rcc rId="2244" sId="1">
    <nc r="E178" t="inlineStr">
      <is>
        <t>AP 2/11i/2.1</t>
      </is>
    </nc>
  </rcc>
  <rcc rId="2245" sId="1">
    <oc r="E149" t="inlineStr">
      <is>
        <t>AP 2/11i/2.2</t>
      </is>
    </oc>
    <nc r="E149" t="inlineStr">
      <is>
        <t>AP 2/11i/2.1</t>
      </is>
    </nc>
  </rcc>
  <rcv guid="{7C1B4D6D-D666-48DD-AB17-E00791B6F0B6}" action="delete"/>
  <rdn rId="0" localSheetId="1" customView="1" name="Z_7C1B4D6D_D666_48DD_AB17_E00791B6F0B6_.wvu.PrintArea" hidden="1" oldHidden="1">
    <formula>Sheet1!$A$1:$AL$463</formula>
    <oldFormula>Sheet1!$A$1:$AL$463</oldFormula>
  </rdn>
  <rdn rId="0" localSheetId="1" customView="1" name="Z_7C1B4D6D_D666_48DD_AB17_E00791B6F0B6_.wvu.FilterData" hidden="1" oldHidden="1">
    <formula>Sheet1!$A$6:$DG$432</formula>
    <oldFormula>Sheet1!$A$6:$DG$432</oldFormula>
  </rdn>
  <rcv guid="{7C1B4D6D-D666-48DD-AB17-E00791B6F0B6}" action="add"/>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8" sId="1">
    <nc r="H178" t="inlineStr">
      <is>
        <t>Municpiul Câmpina
/PROGRAME DE FINANTARE, RELATII INTERNATIONALE SI PROTOCOL</t>
      </is>
    </nc>
  </rcc>
  <rcc rId="2249" sId="1">
    <nc r="I178" t="inlineStr">
      <is>
        <t>n.a</t>
      </is>
    </nc>
  </rcc>
  <rcc rId="2250" sId="1">
    <nc r="G178" t="inlineStr">
      <is>
        <t>Soluții informatice integrate pentru simplificarea procedurilor administrative si reducerea birocrației la nivelul Municipiului Câmpina</t>
      </is>
    </nc>
  </rcc>
  <rcc rId="2251" sId="1" numFmtId="19">
    <nc r="K178">
      <v>43643</v>
    </nc>
  </rcc>
  <rcc rId="2252" sId="1" numFmtId="19">
    <nc r="L178">
      <v>44192</v>
    </nc>
  </rcc>
  <rcc rId="2253" sId="1">
    <nc r="M178">
      <f>S178/AE178*100</f>
    </nc>
  </rcc>
  <rcc rId="2254" sId="1">
    <nc r="N178">
      <v>3</v>
    </nc>
  </rcc>
  <rcc rId="2255" sId="1">
    <nc r="O178" t="inlineStr">
      <is>
        <t>Prahova</t>
      </is>
    </nc>
  </rcc>
  <rcc rId="2256" sId="1">
    <nc r="P178" t="inlineStr">
      <is>
        <t>Județul Prahova</t>
      </is>
    </nc>
  </rcc>
  <rcc rId="2257" sId="1">
    <nc r="Q178" t="inlineStr">
      <is>
        <t>APL</t>
      </is>
    </nc>
  </rcc>
  <rcc rId="2258" sId="1">
    <nc r="R178" t="inlineStr">
      <is>
        <t>119 - Investiții în capacitatea instituțională și în eficiența administrațiilor și a serviciilor publice la nivel național, regional și local, în perspectiva realizării de reforme, a unei mai bune legiferări și a bunei guvernanțe</t>
      </is>
    </nc>
  </rcc>
  <rcc rId="2259" sId="1">
    <nc r="S178">
      <f>T178+U178</f>
    </nc>
  </rcc>
  <rcc rId="2260" sId="1">
    <nc r="V178">
      <f>W178+X178</f>
    </nc>
  </rcc>
  <rcc rId="2261" sId="1">
    <nc r="Y178">
      <f>Z178+AA178</f>
    </nc>
  </rcc>
  <rcc rId="2262" sId="1" numFmtId="4">
    <nc r="T178">
      <v>2486907.71</v>
    </nc>
  </rcc>
  <rcc rId="2263" sId="1" endOfListFormulaUpdate="1">
    <oc r="T179">
      <f>SUM(T174:T177)</f>
    </oc>
    <nc r="T179">
      <f>SUM(T174:T178)</f>
    </nc>
  </rcc>
  <rcc rId="2264" sId="1" numFmtId="4">
    <nc r="U178">
      <v>0</v>
    </nc>
  </rcc>
  <rcc rId="2265" sId="1" endOfListFormulaUpdate="1">
    <oc r="U179">
      <f>SUM(U174:U177)</f>
    </oc>
    <nc r="U179">
      <f>SUM(U174:U178)</f>
    </nc>
  </rcc>
  <rcc rId="2266" sId="1" numFmtId="4">
    <nc r="W178">
      <v>380350.59</v>
    </nc>
  </rcc>
  <rcc rId="2267" sId="1" endOfListFormulaUpdate="1">
    <oc r="W179">
      <f>SUM(W174:W177)</f>
    </oc>
    <nc r="W179">
      <f>SUM(W174:W178)</f>
    </nc>
  </rcc>
  <rcc rId="2268" sId="1" numFmtId="4">
    <nc r="X178">
      <v>0</v>
    </nc>
  </rcc>
  <rcc rId="2269" sId="1" endOfListFormulaUpdate="1">
    <oc r="X179">
      <f>SUM(X174:X177)</f>
    </oc>
    <nc r="X179">
      <f>SUM(X174:X178)</f>
    </nc>
  </rcc>
  <rcc rId="2270" sId="1" numFmtId="4">
    <nc r="Z178">
      <v>58515.48</v>
    </nc>
  </rcc>
  <rcc rId="2271" sId="1" numFmtId="4">
    <nc r="AA178">
      <v>0</v>
    </nc>
  </rcc>
  <rcc rId="2272" sId="1">
    <nc r="AB178">
      <f>AC178+AD178</f>
    </nc>
  </rcc>
  <rfmt sheetId="1" s="1" sqref="AC176" start="0" length="0">
    <dxf>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76" start="0" length="0">
    <dxf>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C177:AD178">
    <dxf>
      <fill>
        <patternFill patternType="solid">
          <bgColor rgb="FFFFFF00"/>
        </patternFill>
      </fill>
    </dxf>
  </rfmt>
  <rcc rId="2273" sId="1" numFmtId="4">
    <nc r="AC177">
      <v>0</v>
    </nc>
  </rcc>
  <rcc rId="2274" sId="1" numFmtId="4">
    <nc r="AD177">
      <v>0</v>
    </nc>
  </rcc>
  <rfmt sheetId="1" sqref="AC177:AD177">
    <dxf>
      <alignment vertical="center"/>
    </dxf>
  </rfmt>
  <rcc rId="2275" sId="1" numFmtId="4">
    <nc r="AC178">
      <v>0</v>
    </nc>
  </rcc>
  <rcc rId="2276" sId="1" numFmtId="4">
    <nc r="AD178">
      <v>0</v>
    </nc>
  </rcc>
  <rfmt sheetId="1" sqref="AC178:AD178">
    <dxf>
      <alignment vertical="center"/>
    </dxf>
  </rfmt>
  <rcc rId="2277" sId="1">
    <nc r="AE178">
      <f>S178+V178+Y178+AB178</f>
    </nc>
  </rcc>
  <rcc rId="2278" sId="1" numFmtId="4">
    <nc r="AF177">
      <v>0</v>
    </nc>
  </rcc>
  <rcc rId="2279" sId="1" numFmtId="4">
    <nc r="AF178">
      <v>0</v>
    </nc>
  </rcc>
  <rfmt sheetId="1" sqref="AF177:AF178">
    <dxf>
      <numFmt numFmtId="169" formatCode="#,##0.0"/>
    </dxf>
  </rfmt>
  <rfmt sheetId="1" sqref="AF177:AF178">
    <dxf>
      <numFmt numFmtId="4" formatCode="#,##0.00"/>
    </dxf>
  </rfmt>
  <rcc rId="2280" sId="1">
    <nc r="AG178">
      <f>AE178+AF178</f>
    </nc>
  </rcc>
  <rcc rId="2281" sId="1">
    <nc r="AH177" t="inlineStr">
      <is>
        <t xml:space="preserve"> în implementare</t>
      </is>
    </nc>
  </rcc>
  <rcc rId="2282" sId="1">
    <nc r="AH178" t="inlineStr">
      <is>
        <t xml:space="preserve"> în implementare</t>
      </is>
    </nc>
  </rcc>
  <rcv guid="{7C1B4D6D-D666-48DD-AB17-E00791B6F0B6}" action="delete"/>
  <rdn rId="0" localSheetId="1" customView="1" name="Z_7C1B4D6D_D666_48DD_AB17_E00791B6F0B6_.wvu.PrintArea" hidden="1" oldHidden="1">
    <formula>Sheet1!$A$1:$AL$463</formula>
    <oldFormula>Sheet1!$A$1:$AL$463</oldFormula>
  </rdn>
  <rdn rId="0" localSheetId="1" customView="1" name="Z_7C1B4D6D_D666_48DD_AB17_E00791B6F0B6_.wvu.FilterData" hidden="1" oldHidden="1">
    <formula>Sheet1!$A$6:$DG$432</formula>
    <oldFormula>Sheet1!$A$6:$DG$432</oldFormula>
  </rdn>
  <rcv guid="{7C1B4D6D-D666-48DD-AB17-E00791B6F0B6}" action="add"/>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85" sId="1">
    <oc r="S179">
      <f>SUM(S174:S177)</f>
    </oc>
    <nc r="S179">
      <f>SUM(S174:S178)</f>
    </nc>
  </rcc>
  <rcc rId="2286" sId="1">
    <oc r="T179">
      <f>SUM(T174:T178)</f>
    </oc>
    <nc r="T179">
      <f>SUM(T174:T178)</f>
    </nc>
  </rcc>
  <rcc rId="2287" sId="1">
    <oc r="U179">
      <f>SUM(U174:U178)</f>
    </oc>
    <nc r="U179">
      <f>SUM(U174:U178)</f>
    </nc>
  </rcc>
  <rcc rId="2288" sId="1">
    <oc r="V179">
      <f>SUM(V174:V177)</f>
    </oc>
    <nc r="V179">
      <f>SUM(V174:V178)</f>
    </nc>
  </rcc>
  <rcc rId="2289" sId="1">
    <oc r="W179">
      <f>SUM(W174:W178)</f>
    </oc>
    <nc r="W179">
      <f>SUM(W174:W178)</f>
    </nc>
  </rcc>
  <rcc rId="2290" sId="1">
    <oc r="X179">
      <f>SUM(X174:X178)</f>
    </oc>
    <nc r="X179">
      <f>SUM(X174:X178)</f>
    </nc>
  </rcc>
  <rcc rId="2291" sId="1">
    <oc r="Y179">
      <f>SUM(Y174:Y177)</f>
    </oc>
    <nc r="Y179">
      <f>SUM(Y174:Y178)</f>
    </nc>
  </rcc>
  <rcc rId="2292" sId="1">
    <oc r="Z179">
      <f>SUM(Z174:Z177)</f>
    </oc>
    <nc r="Z179">
      <f>SUM(Z174:Z178)</f>
    </nc>
  </rcc>
  <rcc rId="2293" sId="1">
    <oc r="AA179">
      <f>SUM(AA174:AA177)</f>
    </oc>
    <nc r="AA179">
      <f>SUM(AA174:AA178)</f>
    </nc>
  </rcc>
  <rcc rId="2294" sId="1">
    <oc r="AB179">
      <f>SUM(AB174:AB177)</f>
    </oc>
    <nc r="AB179">
      <f>SUM(AB174:AB178)</f>
    </nc>
  </rcc>
  <rcc rId="2295" sId="1" odxf="1" dxf="1">
    <oc r="AC179">
      <f>SUM(AC174:AC177)</f>
    </oc>
    <nc r="AC179">
      <f>SUM(AC174:AC178)</f>
    </nc>
    <odxf>
      <font>
        <b val="0"/>
        <sz val="12"/>
        <color auto="1"/>
      </font>
      <numFmt numFmtId="166" formatCode="#,##0.00_ ;\-#,##0.00\ "/>
      <fill>
        <patternFill>
          <bgColor rgb="FFFFFF00"/>
        </patternFill>
      </fill>
    </odxf>
    <ndxf>
      <font>
        <b/>
        <sz val="12"/>
        <color auto="1"/>
      </font>
      <numFmt numFmtId="4" formatCode="#,##0.00"/>
      <fill>
        <patternFill>
          <bgColor theme="9" tint="0.59999389629810485"/>
        </patternFill>
      </fill>
    </ndxf>
  </rcc>
  <rcc rId="2296" sId="1" odxf="1" dxf="1">
    <oc r="AD179">
      <f>SUM(AD174:AD177)</f>
    </oc>
    <nc r="AD179">
      <f>SUM(AD174:AD178)</f>
    </nc>
    <odxf>
      <font>
        <b val="0"/>
        <sz val="12"/>
        <color auto="1"/>
      </font>
      <numFmt numFmtId="166" formatCode="#,##0.00_ ;\-#,##0.00\ "/>
      <fill>
        <patternFill>
          <bgColor rgb="FFFFFF00"/>
        </patternFill>
      </fill>
    </odxf>
    <ndxf>
      <font>
        <b/>
        <sz val="12"/>
        <color auto="1"/>
      </font>
      <numFmt numFmtId="4" formatCode="#,##0.00"/>
      <fill>
        <patternFill>
          <bgColor theme="9" tint="0.59999389629810485"/>
        </patternFill>
      </fill>
    </ndxf>
  </rcc>
  <rcc rId="2297" sId="1">
    <oc r="AE179">
      <f>SUM(AE174:AE177)</f>
    </oc>
    <nc r="AE179">
      <f>SUM(AE174:AE178)</f>
    </nc>
  </rcc>
  <rcc rId="2298" sId="1">
    <oc r="AF179">
      <f>SUM(AF174:AF177)</f>
    </oc>
    <nc r="AF179">
      <f>SUM(AF174:AF178)</f>
    </nc>
  </rcc>
  <rcc rId="2299" sId="1">
    <oc r="AG179">
      <f>SUM(AG174:AG177)</f>
    </oc>
    <nc r="AG179">
      <f>SUM(AG174:AG178)</f>
    </nc>
  </rcc>
  <rcc rId="2300" sId="1">
    <nc r="AH179">
      <f>SUM(AH174:AH178)</f>
    </nc>
  </rcc>
  <rcc rId="2301" sId="1">
    <oc r="AI179">
      <f>SUM(AI174:AI177)</f>
    </oc>
    <nc r="AI179">
      <f>SUM(AI174:AI178)</f>
    </nc>
  </rcc>
  <rcc rId="2302" sId="1">
    <oc r="AJ179">
      <f>SUM(AJ174:AJ177)</f>
    </oc>
    <nc r="AJ179">
      <f>SUM(AJ174:AJ178)</f>
    </nc>
  </rcc>
  <rcc rId="2303" sId="1">
    <oc r="AK179">
      <f>SUM(AK174:AK177)</f>
    </oc>
    <nc r="AK179">
      <f>SUM(AK174:AK178)</f>
    </nc>
  </rcc>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04" sId="1" odxf="1" dxf="1">
    <nc r="J178" t="inlineStr">
      <is>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is>
    </nc>
    <ndxf>
      <alignment vertical="center"/>
    </ndxf>
  </rcc>
  <rcv guid="{7C1B4D6D-D666-48DD-AB17-E00791B6F0B6}" action="delete"/>
  <rdn rId="0" localSheetId="1" customView="1" name="Z_7C1B4D6D_D666_48DD_AB17_E00791B6F0B6_.wvu.PrintArea" hidden="1" oldHidden="1">
    <formula>Sheet1!$A$1:$AL$463</formula>
    <oldFormula>Sheet1!$A$1:$AL$463</oldFormula>
  </rdn>
  <rdn rId="0" localSheetId="1" customView="1" name="Z_7C1B4D6D_D666_48DD_AB17_E00791B6F0B6_.wvu.FilterData" hidden="1" oldHidden="1">
    <formula>Sheet1!$A$6:$DG$432</formula>
    <oldFormula>Sheet1!$A$6:$DG$432</oldFormula>
  </rdn>
  <rcv guid="{7C1B4D6D-D666-48DD-AB17-E00791B6F0B6}" action="add"/>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07" sId="1" ref="A141:XFD141" action="insertRow">
    <undo index="65535" exp="area" ref3D="1" dr="$H$1:$N$1048576" dn="Z_65B035E3_87FA_46C5_996E_864F2C8D0EBC_.wvu.Cols" sId="1"/>
  </rrc>
  <rcc rId="2308" sId="1">
    <nc r="C141">
      <v>659</v>
    </nc>
  </rcc>
  <rcc rId="2309" sId="1">
    <nc r="B141">
      <v>129575</v>
    </nc>
  </rcc>
  <rcc rId="2310" sId="1">
    <nc r="E141" t="inlineStr">
      <is>
        <t>AP 2/11i/2.1</t>
      </is>
    </nc>
  </rcc>
  <rcc rId="2311" sId="1">
    <nc r="F141" t="inlineStr">
      <is>
        <t>CP 12 less/2018</t>
      </is>
    </nc>
  </rcc>
  <rcc rId="2312" sId="1">
    <nc r="D141" t="inlineStr">
      <is>
        <t>MM</t>
      </is>
    </nc>
  </rcc>
  <rcc rId="2313" sId="1">
    <nc r="H141" t="inlineStr">
      <is>
        <t>Municipiul Orăștie</t>
      </is>
    </nc>
  </rcc>
  <rcc rId="2314" sId="1">
    <nc r="I141" t="inlineStr">
      <is>
        <t>n.a</t>
      </is>
    </nc>
  </rcc>
  <rcc rId="2315" sId="1" numFmtId="19">
    <nc r="K141">
      <v>43640</v>
    </nc>
  </rcc>
  <rcc rId="2316" sId="1" numFmtId="19">
    <nc r="L141">
      <v>44371</v>
    </nc>
  </rcc>
  <rcc rId="2317" sId="1">
    <nc r="M141">
      <f>S141/AE141*100</f>
    </nc>
  </rcc>
  <rcc rId="2318" sId="1">
    <nc r="N141">
      <v>5</v>
    </nc>
  </rcc>
  <rcc rId="2319" sId="1">
    <nc r="O141" t="inlineStr">
      <is>
        <t>Hunedoara</t>
      </is>
    </nc>
  </rcc>
  <rcc rId="2320" sId="1">
    <nc r="P141" t="inlineStr">
      <is>
        <t>Orăștie</t>
      </is>
    </nc>
  </rcc>
  <rcc rId="2321" sId="1">
    <nc r="Q141" t="inlineStr">
      <is>
        <t>APL</t>
      </is>
    </nc>
  </rcc>
  <rcc rId="2322" sId="1">
    <nc r="R141" t="inlineStr">
      <is>
        <t>119 - Investiții în capacitatea instituțională și în eficiența administrațiilor și a serviciilor publice la nivel național, regional și local, în perspectiva realizării de reforme, a unei mai bune legiferări și a bunei guvernanțe</t>
      </is>
    </nc>
  </rcc>
  <rcc rId="2323" sId="1">
    <oc r="R140" t="inlineStr">
      <is>
        <t>120 - Investiții în capacitatea instituțională și în eficiența administrațiilor și a serviciilor publice la nivel național, regional și local, în perspectiva realizării de reforme, a unei mai bune legiferări și a bunei guvernanțe</t>
      </is>
    </oc>
    <nc r="R140" t="inlineStr">
      <is>
        <t>119 - Investiții în capacitatea instituțională și în eficiența administrațiilor și a serviciilor publice la nivel național, regional și local, în perspectiva realizării de reforme, a unei mai bune legiferări și a bunei guvernanțe</t>
      </is>
    </nc>
  </rcc>
  <rcc rId="2324" sId="1">
    <oc r="S142">
      <f>SUM(S134:S136)</f>
    </oc>
    <nc r="S142">
      <f>SUM(S134:S141)</f>
    </nc>
  </rcc>
  <rcc rId="2325" sId="1">
    <oc r="T142">
      <f>SUM(T134:T136)</f>
    </oc>
    <nc r="T142">
      <f>SUM(T134:T141)</f>
    </nc>
  </rcc>
  <rcc rId="2326" sId="1">
    <oc r="U142">
      <f>SUM(U134:U136)</f>
    </oc>
    <nc r="U142">
      <f>SUM(U134:U141)</f>
    </nc>
  </rcc>
  <rcc rId="2327" sId="1">
    <oc r="V142">
      <f>SUM(V134:V136)</f>
    </oc>
    <nc r="V142">
      <f>SUM(V134:V141)</f>
    </nc>
  </rcc>
  <rcc rId="2328" sId="1">
    <oc r="W142">
      <f>SUM(W134:W136)</f>
    </oc>
    <nc r="W142">
      <f>SUM(W134:W141)</f>
    </nc>
  </rcc>
  <rcc rId="2329" sId="1">
    <oc r="X142">
      <f>SUM(X134:X136)</f>
    </oc>
    <nc r="X142">
      <f>SUM(X134:X141)</f>
    </nc>
  </rcc>
  <rcc rId="2330" sId="1">
    <oc r="Y142">
      <f>SUM(Y134:Y136)</f>
    </oc>
    <nc r="Y142">
      <f>SUM(Y134:Y141)</f>
    </nc>
  </rcc>
  <rcc rId="2331" sId="1">
    <oc r="Z142">
      <f>SUM(Z134:Z136)</f>
    </oc>
    <nc r="Z142">
      <f>SUM(Z134:Z141)</f>
    </nc>
  </rcc>
  <rcc rId="2332" sId="1">
    <oc r="AA142">
      <f>SUM(AA134:AA136)</f>
    </oc>
    <nc r="AA142">
      <f>SUM(AA134:AA141)</f>
    </nc>
  </rcc>
  <rcc rId="2333" sId="1">
    <oc r="AB142">
      <f>SUM(AB134:AB136)</f>
    </oc>
    <nc r="AB142">
      <f>SUM(AB134:AB141)</f>
    </nc>
  </rcc>
  <rcc rId="2334" sId="1">
    <oc r="AC142">
      <f>SUM(AC134:AC137)</f>
    </oc>
    <nc r="AC142">
      <f>SUM(AC134:AC141)</f>
    </nc>
  </rcc>
  <rcc rId="2335" sId="1">
    <oc r="AD142">
      <f>SUM(AD134:AD137)</f>
    </oc>
    <nc r="AD142">
      <f>SUM(AD134:AD141)</f>
    </nc>
  </rcc>
  <rcc rId="2336" sId="1">
    <oc r="AE142">
      <f>SUM(AE134:AE136)</f>
    </oc>
    <nc r="AE142">
      <f>SUM(AE134:AE141)</f>
    </nc>
  </rcc>
  <rcc rId="2337" sId="1">
    <oc r="AF142">
      <f>SUM(AF134:AF136)</f>
    </oc>
    <nc r="AF142">
      <f>SUM(AF134:AF141)</f>
    </nc>
  </rcc>
  <rcc rId="2338" sId="1">
    <oc r="AG142">
      <f>SUM(AG134:AG136)</f>
    </oc>
    <nc r="AG142">
      <f>SUM(AG134:AG141)</f>
    </nc>
  </rcc>
  <rcc rId="2339" sId="1" odxf="1" dxf="1">
    <nc r="AH142">
      <f>SUM(AH134:AH141)</f>
    </nc>
    <odxf>
      <font>
        <sz val="12"/>
        <color auto="1"/>
      </font>
    </odxf>
    <ndxf>
      <font>
        <sz val="12"/>
        <color auto="1"/>
      </font>
    </ndxf>
  </rcc>
  <rcc rId="2340" sId="1">
    <oc r="AI142">
      <f>SUM(AI134:AI136)</f>
    </oc>
    <nc r="AI142">
      <f>SUM(AI134:AI141)</f>
    </nc>
  </rcc>
  <rcc rId="2341" sId="1">
    <oc r="AJ142">
      <f>SUM(AJ134:AJ136)</f>
    </oc>
    <nc r="AJ142">
      <f>SUM(AJ134:AJ141)</f>
    </nc>
  </rcc>
  <rcc rId="2342" sId="1">
    <oc r="AK142">
      <f>SUM(AK134:AK136)</f>
    </oc>
    <nc r="AK142">
      <f>SUM(AK134:AK141)</f>
    </nc>
  </rcc>
  <rcc rId="2343" sId="1" numFmtId="4">
    <nc r="T141">
      <v>2733685.85</v>
    </nc>
  </rcc>
  <rcc rId="2344" sId="1" numFmtId="4">
    <nc r="U141">
      <v>0</v>
    </nc>
  </rcc>
  <rcc rId="2345" sId="1">
    <nc r="S141">
      <f>T141+U141</f>
    </nc>
  </rcc>
  <rcc rId="2346" sId="1" numFmtId="4">
    <nc r="W141">
      <v>418093.13</v>
    </nc>
  </rcc>
  <rcc rId="2347" sId="1">
    <nc r="X141">
      <v>0</v>
    </nc>
  </rcc>
  <rcc rId="2348" sId="1">
    <nc r="V141">
      <f>W141+X141</f>
    </nc>
  </rcc>
  <rfmt sheetId="1" sqref="X141">
    <dxf>
      <numFmt numFmtId="170" formatCode="0.0"/>
    </dxf>
  </rfmt>
  <rfmt sheetId="1" sqref="X141">
    <dxf>
      <numFmt numFmtId="2" formatCode="0.00"/>
    </dxf>
  </rfmt>
  <rcc rId="2349" sId="1" numFmtId="4">
    <nc r="Z141">
      <v>64322.02</v>
    </nc>
  </rcc>
  <rcc rId="2350" sId="1" numFmtId="4">
    <nc r="AA141">
      <v>0</v>
    </nc>
  </rcc>
  <rcc rId="2351" sId="1">
    <nc r="Y141">
      <f>Z141+AA141</f>
    </nc>
  </rcc>
  <rcc rId="2352" sId="1" numFmtId="4">
    <nc r="AC141">
      <v>0</v>
    </nc>
  </rcc>
  <rcc rId="2353" sId="1" odxf="1" dxf="1" numFmtId="4">
    <nc r="AD141">
      <v>0</v>
    </nc>
    <ndxf>
      <numFmt numFmtId="4" formatCode="#,##0.00"/>
    </ndxf>
  </rcc>
  <rcc rId="2354" sId="1">
    <nc r="AB141">
      <f>AC141+AD141</f>
    </nc>
  </rcc>
  <rcc rId="2355" sId="1">
    <nc r="AE141">
      <f>S141+V141+Y141+AB141</f>
    </nc>
  </rcc>
  <rcc rId="2356" sId="1">
    <nc r="AG141">
      <f>AE141+AF141</f>
    </nc>
  </rcc>
  <rcc rId="2357" sId="1" numFmtId="4">
    <nc r="AF141">
      <v>0</v>
    </nc>
  </rcc>
  <rcc rId="2358" sId="1">
    <nc r="AH141" t="inlineStr">
      <is>
        <t xml:space="preserve"> în implementare</t>
      </is>
    </nc>
  </rcc>
  <rcc rId="2359" sId="1">
    <nc r="G141" t="inlineStr">
      <is>
        <t>Soluții informatice integrate pentru simplificarea procedurilor administrative și reducerea birocrației la nivelul Municipiului Orăștie</t>
      </is>
    </nc>
  </rcc>
  <rcc rId="2360" sId="1">
    <nc r="J141" t="inlineStr">
      <is>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is>
    </nc>
  </rcc>
  <rcv guid="{7C1B4D6D-D666-48DD-AB17-E00791B6F0B6}" action="delete"/>
  <rdn rId="0" localSheetId="1" customView="1" name="Z_7C1B4D6D_D666_48DD_AB17_E00791B6F0B6_.wvu.PrintArea" hidden="1" oldHidden="1">
    <formula>Sheet1!$A$1:$AL$464</formula>
    <oldFormula>Sheet1!$A$1:$AL$464</oldFormula>
  </rdn>
  <rdn rId="0" localSheetId="1" customView="1" name="Z_7C1B4D6D_D666_48DD_AB17_E00791B6F0B6_.wvu.FilterData" hidden="1" oldHidden="1">
    <formula>Sheet1!$A$6:$DG$433</formula>
    <oldFormula>Sheet1!$A$6:$DG$433</oldFormula>
  </rdn>
  <rcv guid="{7C1B4D6D-D666-48DD-AB17-E00791B6F0B6}" action="add"/>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63" sId="1" ref="A33:XFD33" action="insertRow">
    <undo index="65535" exp="area" ref3D="1" dr="$H$1:$N$1048576" dn="Z_65B035E3_87FA_46C5_996E_864F2C8D0EBC_.wvu.Cols" sId="1"/>
  </rrc>
  <rcc rId="2364" sId="1">
    <nc r="A33">
      <v>4</v>
    </nc>
  </rcc>
  <rcc rId="2365" sId="1">
    <nc r="B33">
      <v>128880</v>
    </nc>
  </rcc>
  <rcc rId="2366" sId="1">
    <nc r="C33">
      <v>652</v>
    </nc>
  </rcc>
  <rcc rId="2367" sId="1">
    <nc r="D33" t="inlineStr">
      <is>
        <t>MN</t>
      </is>
    </nc>
  </rcc>
  <rcc rId="2368" sId="1">
    <nc r="E33" t="inlineStr">
      <is>
        <t>AP 2/11i/2.1</t>
      </is>
    </nc>
  </rcc>
  <rcc rId="2369" sId="1">
    <nc r="H33" t="inlineStr">
      <is>
        <t>Județul Bacău</t>
      </is>
    </nc>
  </rcc>
  <rcc rId="2370" sId="1">
    <nc r="I33" t="inlineStr">
      <is>
        <t>n.a</t>
      </is>
    </nc>
  </rcc>
  <rcc rId="2371" sId="1" numFmtId="19">
    <nc r="K33">
      <v>43643</v>
    </nc>
  </rcc>
  <rcc rId="2372" sId="1" numFmtId="19">
    <nc r="L33">
      <v>44374</v>
    </nc>
  </rcc>
  <rcc rId="2373" sId="1">
    <nc r="M33">
      <f>S33/AE33*100</f>
    </nc>
  </rcc>
  <rcc rId="2374" sId="1">
    <nc r="N33">
      <v>1</v>
    </nc>
  </rcc>
  <rcc rId="2375" sId="1">
    <nc r="O33" t="inlineStr">
      <is>
        <t>Bacău</t>
      </is>
    </nc>
  </rcc>
  <rcc rId="2376" sId="1">
    <nc r="P33" t="inlineStr">
      <is>
        <t>Bacău</t>
      </is>
    </nc>
  </rcc>
  <rcc rId="2377" sId="1">
    <nc r="Q33" t="inlineStr">
      <is>
        <t>APL</t>
      </is>
    </nc>
  </rcc>
  <rcc rId="2378" sId="1">
    <nc r="R33" t="inlineStr">
      <is>
        <t>119 - Investiții în capacitatea instituțională și în eficiența administrațiilor și a serviciilor publice la nivel național, regional și local, în perspectiva realizării de reforme, a unei mai bune legiferări și a bunei guvernanțe</t>
      </is>
    </nc>
  </rcc>
  <rcc rId="2379" sId="1" numFmtId="4">
    <nc r="T33">
      <v>2545487.35</v>
    </nc>
  </rcc>
  <rcc rId="2380" sId="1" numFmtId="4">
    <nc r="U33">
      <v>0</v>
    </nc>
  </rcc>
  <rcc rId="2381" sId="1">
    <nc r="S33">
      <f>T33+U33</f>
    </nc>
  </rcc>
  <rcc rId="2382" sId="1">
    <oc r="S34">
      <f>SUM(S29:S32)</f>
    </oc>
    <nc r="S34">
      <f>SUM(S29:S33)</f>
    </nc>
  </rcc>
  <rcc rId="2383" sId="1">
    <oc r="T34">
      <f>SUM(T29:T32)</f>
    </oc>
    <nc r="T34">
      <f>SUM(T29:T33)</f>
    </nc>
  </rcc>
  <rcc rId="2384" sId="1">
    <oc r="U34">
      <f>SUM(U29:U32)</f>
    </oc>
    <nc r="U34">
      <f>SUM(U29:U33)</f>
    </nc>
  </rcc>
  <rcc rId="2385" sId="1">
    <oc r="V34">
      <f>SUM(V29:V32)</f>
    </oc>
    <nc r="V34">
      <f>SUM(V29:V33)</f>
    </nc>
  </rcc>
  <rcc rId="2386" sId="1">
    <oc r="W34">
      <f>SUM(W29:W32)</f>
    </oc>
    <nc r="W34">
      <f>SUM(W29:W33)</f>
    </nc>
  </rcc>
  <rcc rId="2387" sId="1">
    <oc r="X34">
      <f>SUM(X29:X32)</f>
    </oc>
    <nc r="X34">
      <f>SUM(X29:X33)</f>
    </nc>
  </rcc>
  <rcc rId="2388" sId="1">
    <oc r="Y34">
      <f>SUM(Y29:Y32)</f>
    </oc>
    <nc r="Y34">
      <f>SUM(Y29:Y33)</f>
    </nc>
  </rcc>
  <rcc rId="2389" sId="1">
    <oc r="Z34">
      <f>SUM(Z29:Z32)</f>
    </oc>
    <nc r="Z34">
      <f>SUM(Z29:Z33)</f>
    </nc>
  </rcc>
  <rcc rId="2390" sId="1">
    <oc r="AA34">
      <f>SUM(AA29:AA32)</f>
    </oc>
    <nc r="AA34">
      <f>SUM(AA29:AA33)</f>
    </nc>
  </rcc>
  <rcc rId="2391" sId="1">
    <oc r="AB34">
      <f>SUM(AB29:AB32)</f>
    </oc>
    <nc r="AB34">
      <f>SUM(AB29:AB33)</f>
    </nc>
  </rcc>
  <rcc rId="2392" sId="1">
    <oc r="AC34">
      <f>SUM(AC29:AC32)</f>
    </oc>
    <nc r="AC34">
      <f>SUM(AC29:AC33)</f>
    </nc>
  </rcc>
  <rcc rId="2393" sId="1">
    <oc r="AD34">
      <f>SUM(AD29:AD32)</f>
    </oc>
    <nc r="AD34">
      <f>SUM(AD29:AD33)</f>
    </nc>
  </rcc>
  <rcc rId="2394" sId="1">
    <oc r="AE34">
      <f>SUM(AE29:AE32)</f>
    </oc>
    <nc r="AE34">
      <f>SUM(AE29:AE33)</f>
    </nc>
  </rcc>
  <rcc rId="2395" sId="1">
    <oc r="AF34">
      <f>SUM(AF29:AF32)</f>
    </oc>
    <nc r="AF34">
      <f>SUM(AF29:AF33)</f>
    </nc>
  </rcc>
  <rcc rId="2396" sId="1">
    <oc r="AG34">
      <f>SUM(AG29:AG32)</f>
    </oc>
    <nc r="AG34">
      <f>SUM(AG29:AG33)</f>
    </nc>
  </rcc>
  <rcc rId="2397" sId="1">
    <nc r="AH34">
      <f>SUM(AH29:AH33)</f>
    </nc>
  </rcc>
  <rcc rId="2398" sId="1">
    <oc r="AI34">
      <f>SUM(AI29:AI32)</f>
    </oc>
    <nc r="AI34">
      <f>SUM(AI29:AI33)</f>
    </nc>
  </rcc>
  <rcc rId="2399" sId="1">
    <oc r="AJ34">
      <f>SUM(AJ29:AJ32)</f>
    </oc>
    <nc r="AJ34">
      <f>SUM(AJ29:AJ33)</f>
    </nc>
  </rcc>
  <rcc rId="2400" sId="1">
    <oc r="AK34">
      <f>SUM(AK29:AK32)</f>
    </oc>
    <nc r="AK34">
      <f>SUM(AK29:AK33)</f>
    </nc>
  </rcc>
  <rcc rId="2401" sId="1" numFmtId="4">
    <nc r="W33">
      <v>389309.83</v>
    </nc>
  </rcc>
  <rcc rId="2402" sId="1">
    <nc r="V33">
      <f>W33+X33</f>
    </nc>
  </rcc>
  <rcc rId="2403" sId="1" numFmtId="4">
    <nc r="Z33">
      <v>59893.82</v>
    </nc>
  </rcc>
  <rcc rId="2404" sId="1" numFmtId="4">
    <nc r="AA33">
      <v>0</v>
    </nc>
  </rcc>
  <rcc rId="2405" sId="1">
    <nc r="Y33">
      <f>Z33+AA33</f>
    </nc>
  </rcc>
  <rcc rId="2406" sId="1" odxf="1" dxf="1" numFmtId="4">
    <nc r="X33">
      <v>0</v>
    </nc>
    <ndxf>
      <font>
        <b val="0"/>
        <sz val="12"/>
        <color auto="1"/>
      </font>
      <numFmt numFmtId="4" formatCode="#,##0.00"/>
    </ndxf>
  </rcc>
  <rcc rId="2407" sId="1" odxf="1" s="1" dxf="1" numFmtId="4">
    <nc r="AC33">
      <v>0</v>
    </nc>
    <odxf>
      <font>
        <b val="0"/>
        <i val="0"/>
        <strike val="0"/>
        <condense val="0"/>
        <extend val="0"/>
        <outline val="0"/>
        <shadow val="0"/>
        <u val="none"/>
        <vertAlign val="baseline"/>
        <sz val="12"/>
        <color auto="1"/>
        <name val="Calibri"/>
        <family val="2"/>
        <scheme val="minor"/>
      </font>
      <numFmt numFmtId="166"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umFmt numFmtId="4" formatCode="#,##0.00"/>
    </ndxf>
  </rcc>
  <rcc rId="2408" sId="1" odxf="1" s="1" dxf="1" numFmtId="4">
    <nc r="AD33">
      <v>0</v>
    </nc>
    <odxf>
      <font>
        <b val="0"/>
        <i val="0"/>
        <strike val="0"/>
        <condense val="0"/>
        <extend val="0"/>
        <outline val="0"/>
        <shadow val="0"/>
        <u val="none"/>
        <vertAlign val="baseline"/>
        <sz val="12"/>
        <color auto="1"/>
        <name val="Calibri"/>
        <family val="2"/>
        <scheme val="minor"/>
      </font>
      <numFmt numFmtId="166"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umFmt numFmtId="4" formatCode="#,##0.00"/>
    </ndxf>
  </rcc>
  <rcc rId="2409" sId="1">
    <nc r="AB33">
      <f>AC33+AD33</f>
    </nc>
  </rcc>
  <rcc rId="2410" sId="1">
    <nc r="AE33">
      <f>S33+W33+Z33</f>
    </nc>
  </rcc>
  <rcc rId="2411" sId="1" numFmtId="4">
    <nc r="AF33">
      <v>0</v>
    </nc>
  </rcc>
  <rcc rId="2412" sId="1">
    <nc r="AG33">
      <f>AE33+AF33</f>
    </nc>
  </rcc>
  <rcc rId="2413" sId="1">
    <nc r="F33" t="inlineStr">
      <is>
        <t>CP 12 less/2018</t>
      </is>
    </nc>
  </rcc>
  <rcc rId="2414" sId="1">
    <nc r="G33" t="inlineStr">
      <is>
        <t>Servicii publice de calitate la nivelul Judetului Bacau</t>
      </is>
    </nc>
  </rcc>
  <rcc rId="2415" sId="1">
    <nc r="J33" t="inlineStr">
      <is>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24" sId="1" numFmtId="4">
    <nc r="W213">
      <v>361064.38</v>
    </nc>
  </rcc>
  <rcc rId="4625" sId="1" numFmtId="4">
    <nc r="X213">
      <v>0</v>
    </nc>
  </rcc>
  <rcc rId="4626" sId="1">
    <nc r="V213">
      <f>W213+X213</f>
    </nc>
  </rcc>
  <rcc rId="4627" sId="1" numFmtId="4">
    <nc r="Z213">
      <v>55548.32</v>
    </nc>
  </rcc>
  <rcc rId="4628" sId="1" numFmtId="4">
    <nc r="AA213">
      <v>0</v>
    </nc>
  </rcc>
  <rcc rId="4629" sId="1">
    <nc r="Y213">
      <f>Z213+AA213</f>
    </nc>
  </rcc>
  <rcc rId="4630" sId="1">
    <oc r="T214">
      <f>SUM(T212:T212)</f>
    </oc>
    <nc r="T214">
      <f>SUM(T212:T213)</f>
    </nc>
  </rcc>
  <rcc rId="4631" sId="1">
    <oc r="V214">
      <f>SUM(V212:V212)</f>
    </oc>
    <nc r="V214">
      <f>SUM(V212:V213)</f>
    </nc>
  </rcc>
  <rcc rId="4632" sId="1">
    <oc r="W214">
      <f>SUM(W212:W212)</f>
    </oc>
    <nc r="W214">
      <f>SUM(W212:W213)</f>
    </nc>
  </rcc>
  <rcc rId="4633" sId="1">
    <oc r="Y214">
      <f>SUM(Y212:Y212)</f>
    </oc>
    <nc r="Y214">
      <f>SUM(Y212:Y213)</f>
    </nc>
  </rcc>
  <rcc rId="4634" sId="1">
    <oc r="Z214">
      <f>SUM(Z212:Z212)</f>
    </oc>
    <nc r="Z214">
      <f>SUM(Z212:Z213)</f>
    </nc>
  </rcc>
  <rcc rId="4635" sId="1" odxf="1" dxf="1" numFmtId="4">
    <nc r="AC213">
      <v>0</v>
    </nc>
    <ndxf>
      <font>
        <sz val="12"/>
        <color auto="1"/>
      </font>
      <numFmt numFmtId="4" formatCode="#,##0.00"/>
    </ndxf>
  </rcc>
  <rfmt sheetId="1" sqref="AD213" start="0" length="0">
    <dxf>
      <font>
        <sz val="12"/>
        <color auto="1"/>
      </font>
      <numFmt numFmtId="4" formatCode="#,##0.00"/>
    </dxf>
  </rfmt>
  <rcc rId="4636" sId="1" numFmtId="4">
    <nc r="AD213">
      <v>0</v>
    </nc>
  </rcc>
  <rcc rId="4637" sId="1">
    <nc r="AB213">
      <f>AC213+AD213</f>
    </nc>
  </rcc>
  <rcc rId="4638" sId="1">
    <nc r="AE213">
      <f>S213+V213+Y213+AB213</f>
    </nc>
  </rcc>
  <rcc rId="4639" sId="1">
    <nc r="M213">
      <f>S213/AE213*100</f>
    </nc>
  </rcc>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6" sId="1" numFmtId="19">
    <oc r="L360">
      <v>43638</v>
    </oc>
    <nc r="L360">
      <v>43730</v>
    </nc>
  </rcc>
  <rcc rId="2417" sId="1" numFmtId="4">
    <oc r="T360">
      <v>657795.85</v>
    </oc>
    <nc r="T360">
      <v>657127.51</v>
    </nc>
  </rcc>
  <rcc rId="2418" sId="1" numFmtId="4">
    <oc r="U360">
      <v>157910.19</v>
    </oc>
    <nc r="U360">
      <v>157749.73000000001</v>
    </nc>
  </rcc>
  <rcc rId="2419" sId="1" numFmtId="4">
    <oc r="W360">
      <v>100520.65</v>
    </oc>
    <nc r="W360">
      <v>100402.7</v>
    </nc>
  </rcc>
  <rcc rId="2420" sId="1" numFmtId="4">
    <oc r="X360">
      <v>34185.51</v>
    </oc>
    <nc r="X360">
      <v>34145.4</v>
    </nc>
  </rcc>
  <rcc rId="2421" sId="1" numFmtId="4">
    <oc r="AC360">
      <v>13676.27</v>
    </oc>
    <nc r="AC360">
      <v>13660.23</v>
    </nc>
  </rcc>
  <rcc rId="2422" sId="1" numFmtId="4">
    <oc r="AD360">
      <v>3488.32</v>
    </oc>
    <nc r="AD360">
      <v>3484.22</v>
    </nc>
  </rcc>
  <rcc rId="2423" sId="1">
    <oc r="AI360" t="inlineStr">
      <is>
        <t>n.a</t>
      </is>
    </oc>
    <nc r="AI360" t="inlineStr">
      <is>
        <t>AA1 din 21.06.2019</t>
      </is>
    </nc>
  </rcc>
  <rcv guid="{A5B1481C-EF26-486A-984F-85CDDC2FD94F}" action="delete"/>
  <rdn rId="0" localSheetId="1" customView="1" name="Z_A5B1481C_EF26_486A_984F_85CDDC2FD94F_.wvu.PrintArea" hidden="1" oldHidden="1">
    <formula>Sheet1!$A$1:$AL$465</formula>
    <oldFormula>Sheet1!$A$1:$AL$465</oldFormula>
  </rdn>
  <rdn rId="0" localSheetId="1" customView="1" name="Z_A5B1481C_EF26_486A_984F_85CDDC2FD94F_.wvu.FilterData" hidden="1" oldHidden="1">
    <formula>Sheet1!$A$6:$DG$434</formula>
    <oldFormula>Sheet1!$A$6:$DG$434</oldFormula>
  </rdn>
  <rcv guid="{A5B1481C-EF26-486A-984F-85CDDC2FD94F}" action="add"/>
</revisions>
</file>

<file path=xl/revisions/revisionLog2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S431" start="0" length="0">
    <dxf>
      <border outline="0">
        <left style="thin">
          <color indexed="64"/>
        </left>
        <right style="thin">
          <color indexed="64"/>
        </right>
        <top style="thin">
          <color indexed="64"/>
        </top>
        <bottom style="thin">
          <color indexed="64"/>
        </bottom>
      </border>
    </dxf>
  </rfmt>
  <rfmt sheetId="1" sqref="T431" start="0" length="0">
    <dxf>
      <border outline="0">
        <left style="thin">
          <color indexed="64"/>
        </left>
        <right style="thin">
          <color indexed="64"/>
        </right>
        <top style="thin">
          <color indexed="64"/>
        </top>
        <bottom style="thin">
          <color indexed="64"/>
        </bottom>
      </border>
    </dxf>
  </rfmt>
  <rfmt sheetId="1" sqref="U431" start="0" length="0">
    <dxf>
      <border outline="0">
        <left style="thin">
          <color indexed="64"/>
        </left>
        <right style="thin">
          <color indexed="64"/>
        </right>
        <top style="thin">
          <color indexed="64"/>
        </top>
        <bottom style="thin">
          <color indexed="64"/>
        </bottom>
      </border>
    </dxf>
  </rfmt>
  <rfmt sheetId="1" sqref="V431" start="0" length="0">
    <dxf>
      <border outline="0">
        <left style="thin">
          <color indexed="64"/>
        </left>
        <right style="thin">
          <color indexed="64"/>
        </right>
        <top style="thin">
          <color indexed="64"/>
        </top>
        <bottom style="thin">
          <color indexed="64"/>
        </bottom>
      </border>
    </dxf>
  </rfmt>
  <rcc rId="2426" sId="1" numFmtId="4">
    <nc r="T431">
      <v>1930581.13</v>
    </nc>
  </rcc>
  <rcc rId="2427" sId="1" numFmtId="4">
    <nc r="U431">
      <v>463454.47</v>
    </nc>
  </rcc>
  <rcc rId="2428" sId="1">
    <nc r="S431">
      <f>T431+U431</f>
    </nc>
  </rcc>
  <rcc rId="2429" sId="1">
    <nc r="V431">
      <f>W431+X431</f>
    </nc>
  </rcc>
  <rfmt sheetId="1" sqref="C431" start="0" length="0">
    <dxf>
      <border outline="0">
        <right style="thin">
          <color indexed="64"/>
        </right>
        <top style="thin">
          <color indexed="64"/>
        </top>
        <bottom style="thin">
          <color indexed="64"/>
        </bottom>
      </border>
    </dxf>
  </rfmt>
  <rfmt sheetId="1" sqref="D431" start="0" length="0">
    <dxf>
      <border outline="0">
        <right style="thin">
          <color indexed="64"/>
        </right>
        <top style="thin">
          <color indexed="64"/>
        </top>
        <bottom style="thin">
          <color indexed="64"/>
        </bottom>
      </border>
    </dxf>
  </rfmt>
  <rfmt sheetId="1" sqref="G431" start="0" length="0">
    <dxf>
      <border outline="0">
        <right style="thin">
          <color indexed="64"/>
        </right>
        <top style="thin">
          <color indexed="64"/>
        </top>
        <bottom style="thin">
          <color indexed="64"/>
        </bottom>
      </border>
    </dxf>
  </rfmt>
  <rfmt sheetId="1" sqref="H431" start="0" length="0">
    <dxf>
      <border outline="0">
        <left style="thin">
          <color indexed="64"/>
        </left>
        <right style="thin">
          <color indexed="64"/>
        </right>
        <top style="thin">
          <color indexed="64"/>
        </top>
        <bottom style="thin">
          <color indexed="64"/>
        </bottom>
      </border>
    </dxf>
  </rfmt>
  <rfmt sheetId="1" sqref="I431" start="0" length="0">
    <dxf>
      <border outline="0">
        <left style="thin">
          <color indexed="64"/>
        </left>
        <right style="thin">
          <color indexed="64"/>
        </right>
        <top style="thin">
          <color indexed="64"/>
        </top>
        <bottom style="thin">
          <color indexed="64"/>
        </bottom>
      </border>
    </dxf>
  </rfmt>
  <rfmt sheetId="1" sqref="K431" start="0" length="0">
    <dxf>
      <border outline="0">
        <left style="thin">
          <color indexed="64"/>
        </left>
        <right style="thin">
          <color indexed="64"/>
        </right>
        <top style="thin">
          <color indexed="64"/>
        </top>
        <bottom style="thin">
          <color indexed="64"/>
        </bottom>
      </border>
    </dxf>
  </rfmt>
  <rfmt sheetId="1" sqref="L431" start="0" length="0">
    <dxf>
      <border outline="0">
        <left style="thin">
          <color indexed="64"/>
        </left>
        <right style="thin">
          <color indexed="64"/>
        </right>
        <top style="thin">
          <color indexed="64"/>
        </top>
        <bottom style="thin">
          <color indexed="64"/>
        </bottom>
      </border>
    </dxf>
  </rfmt>
  <rcc rId="2430" sId="1" odxf="1" dxf="1">
    <nc r="J431" t="inlineStr">
      <is>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is>
    </nc>
    <ndxf>
      <border outline="0">
        <left style="thin">
          <color indexed="64"/>
        </left>
        <right style="thin">
          <color indexed="64"/>
        </right>
        <top style="thin">
          <color indexed="64"/>
        </top>
        <bottom style="thin">
          <color indexed="64"/>
        </bottom>
      </border>
    </ndxf>
  </rcc>
  <rfmt sheetId="1" sqref="M431" start="0" length="0">
    <dxf>
      <border outline="0">
        <left style="thin">
          <color indexed="64"/>
        </left>
        <right style="thin">
          <color indexed="64"/>
        </right>
        <top style="thin">
          <color indexed="64"/>
        </top>
        <bottom style="thin">
          <color indexed="64"/>
        </bottom>
      </border>
    </dxf>
  </rfmt>
  <rcc rId="2431" sId="1" odxf="1" dxf="1" numFmtId="4">
    <nc r="W431">
      <v>0</v>
    </nc>
    <ndxf>
      <border outline="0">
        <left style="thin">
          <color indexed="64"/>
        </left>
        <right style="thin">
          <color indexed="64"/>
        </right>
        <top style="thin">
          <color indexed="64"/>
        </top>
        <bottom style="thin">
          <color indexed="64"/>
        </bottom>
      </border>
    </ndxf>
  </rcc>
  <rcc rId="2432" sId="1" odxf="1" dxf="1" numFmtId="4">
    <nc r="X431">
      <v>0</v>
    </nc>
    <ndxf>
      <border outline="0">
        <left style="thin">
          <color indexed="64"/>
        </left>
        <right style="thin">
          <color indexed="64"/>
        </right>
        <top style="thin">
          <color indexed="64"/>
        </top>
        <bottom style="thin">
          <color indexed="64"/>
        </bottom>
      </border>
    </ndxf>
  </rcc>
  <rfmt sheetId="1" sqref="Y431" start="0" length="0">
    <dxf>
      <border outline="0">
        <left style="thin">
          <color indexed="64"/>
        </left>
        <right style="thin">
          <color indexed="64"/>
        </right>
        <top style="thin">
          <color indexed="64"/>
        </top>
        <bottom style="thin">
          <color indexed="64"/>
        </bottom>
      </border>
    </dxf>
  </rfmt>
  <rfmt sheetId="1" sqref="Z431" start="0" length="0">
    <dxf>
      <border outline="0">
        <left style="thin">
          <color indexed="64"/>
        </left>
        <right style="thin">
          <color indexed="64"/>
        </right>
        <top style="thin">
          <color indexed="64"/>
        </top>
        <bottom style="thin">
          <color indexed="64"/>
        </bottom>
      </border>
    </dxf>
  </rfmt>
  <rfmt sheetId="1" sqref="AA431" start="0" length="0">
    <dxf>
      <border outline="0">
        <left style="thin">
          <color indexed="64"/>
        </left>
        <right style="thin">
          <color indexed="64"/>
        </right>
        <top style="thin">
          <color indexed="64"/>
        </top>
        <bottom style="thin">
          <color indexed="64"/>
        </bottom>
      </border>
    </dxf>
  </rfmt>
  <rfmt sheetId="1" sqref="AB431" start="0" length="0">
    <dxf>
      <border outline="0">
        <left style="thin">
          <color indexed="64"/>
        </left>
        <right style="thin">
          <color indexed="64"/>
        </right>
        <top style="thin">
          <color indexed="64"/>
        </top>
        <bottom style="thin">
          <color indexed="64"/>
        </bottom>
      </border>
    </dxf>
  </rfmt>
  <rfmt sheetId="1" sqref="AC431" start="0" length="0">
    <dxf>
      <border outline="0">
        <left style="thin">
          <color indexed="64"/>
        </left>
        <right style="thin">
          <color indexed="64"/>
        </right>
        <top style="thin">
          <color indexed="64"/>
        </top>
        <bottom style="thin">
          <color indexed="64"/>
        </bottom>
      </border>
    </dxf>
  </rfmt>
  <rfmt sheetId="1" sqref="AD431" start="0" length="0">
    <dxf>
      <border outline="0">
        <left style="thin">
          <color indexed="64"/>
        </left>
        <right style="thin">
          <color indexed="64"/>
        </right>
        <top style="thin">
          <color indexed="64"/>
        </top>
        <bottom style="thin">
          <color indexed="64"/>
        </bottom>
      </border>
    </dxf>
  </rfmt>
  <rfmt sheetId="1" sqref="AE431" start="0" length="0">
    <dxf>
      <border outline="0">
        <left style="thin">
          <color indexed="64"/>
        </left>
        <right style="thin">
          <color indexed="64"/>
        </right>
        <top style="thin">
          <color indexed="64"/>
        </top>
        <bottom style="thin">
          <color indexed="64"/>
        </bottom>
      </border>
    </dxf>
  </rfmt>
  <rfmt sheetId="1" sqref="AF431" start="0" length="0">
    <dxf>
      <border outline="0">
        <left style="thin">
          <color indexed="64"/>
        </left>
        <right style="thin">
          <color indexed="64"/>
        </right>
        <top style="thin">
          <color indexed="64"/>
        </top>
        <bottom style="thin">
          <color indexed="64"/>
        </bottom>
      </border>
    </dxf>
  </rfmt>
  <rfmt sheetId="1" sqref="AG431" start="0" length="0">
    <dxf>
      <border outline="0">
        <left style="thin">
          <color indexed="64"/>
        </left>
        <right style="thin">
          <color indexed="64"/>
        </right>
        <top style="thin">
          <color indexed="64"/>
        </top>
        <bottom style="thin">
          <color indexed="64"/>
        </bottom>
      </border>
    </dxf>
  </rfmt>
  <rcc rId="2433" sId="1" numFmtId="4">
    <nc r="Z431">
      <v>340690.78</v>
    </nc>
  </rcc>
  <rcc rId="2434" sId="1" numFmtId="4">
    <nc r="AA431">
      <v>115863.62</v>
    </nc>
  </rcc>
  <rcc rId="2435" sId="1">
    <nc r="Y431">
      <f>Z431+AA431</f>
    </nc>
  </rcc>
  <rcc rId="2436" sId="1" numFmtId="4">
    <nc r="AC431">
      <v>0</v>
    </nc>
  </rcc>
  <rcc rId="2437" sId="1" numFmtId="4">
    <nc r="AD431">
      <v>0</v>
    </nc>
  </rcc>
  <rcc rId="2438" sId="1">
    <nc r="AE431">
      <f>S431+V431+Y431+AB431</f>
    </nc>
  </rcc>
  <rcc rId="2439" sId="1">
    <nc r="M431">
      <f>S431/AE431*100</f>
    </nc>
  </rcc>
  <rcc rId="2440" sId="1">
    <nc r="AG431">
      <f>AE431+AF431</f>
    </nc>
  </rcc>
  <rcc rId="2441" sId="1" numFmtId="4">
    <nc r="AF431">
      <v>0</v>
    </nc>
  </rcc>
  <rcc rId="2442" sId="1" odxf="1" dxf="1">
    <nc r="AH431">
      <f>AH430</f>
    </nc>
    <odxf>
      <border outline="0">
        <left/>
        <right/>
        <top/>
        <bottom/>
      </border>
    </odxf>
    <ndxf>
      <border outline="0">
        <left style="thin">
          <color indexed="64"/>
        </left>
        <right style="thin">
          <color indexed="64"/>
        </right>
        <top style="thin">
          <color indexed="64"/>
        </top>
        <bottom style="thin">
          <color indexed="64"/>
        </bottom>
      </border>
    </ndxf>
  </rcc>
  <rcv guid="{C408A2F1-296F-4EAD-B15B-336D73846FDD}" action="delete"/>
  <rdn rId="0" localSheetId="1" customView="1" name="Z_C408A2F1_296F_4EAD_B15B_336D73846FDD_.wvu.PrintArea" hidden="1" oldHidden="1">
    <formula>Sheet1!$A$1:$AL$465</formula>
    <oldFormula>Sheet1!$A$1:$AL$465</oldFormula>
  </rdn>
  <rdn rId="0" localSheetId="1" customView="1" name="Z_C408A2F1_296F_4EAD_B15B_336D73846FDD_.wvu.FilterData" hidden="1" oldHidden="1">
    <formula>Sheet1!$A$1:$AL$78</formula>
    <oldFormula>Sheet1!$A$1:$AL$78</oldFormula>
  </rdn>
  <rcv guid="{C408A2F1-296F-4EAD-B15B-336D73846FDD}" action="add"/>
</revisions>
</file>

<file path=xl/revisions/revisionLog2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5" sId="1">
    <nc r="A149">
      <v>6</v>
    </nc>
  </rcc>
  <rcc rId="2446" sId="1">
    <nc r="B149">
      <v>129218</v>
    </nc>
  </rcc>
  <rcc rId="2447" sId="1">
    <nc r="C149">
      <v>645</v>
    </nc>
  </rcc>
  <rcc rId="2448" sId="1">
    <nc r="D149" t="inlineStr">
      <is>
        <t>MM</t>
      </is>
    </nc>
  </rcc>
  <rcc rId="2449" sId="1" xfDxf="1" dxf="1">
    <nc r="E149" t="inlineStr">
      <is>
        <t>AP 2/11i/2.1</t>
      </is>
    </nc>
    <ndxf>
      <font>
        <sz val="12"/>
        <color auto="1"/>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ndxf>
  </rcc>
  <rcc rId="2450" sId="1" xfDxf="1" dxf="1">
    <nc r="F149" t="inlineStr">
      <is>
        <t>CP 12 less/2018</t>
      </is>
    </nc>
    <n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G149" start="0" length="0">
    <dxf>
      <font>
        <sz val="11"/>
        <color theme="1"/>
        <name val="Calibri"/>
        <family val="2"/>
        <charset val="238"/>
        <scheme val="minor"/>
      </font>
      <alignment horizontal="general" vertical="bottom" wrapText="0"/>
      <border outline="0">
        <left/>
        <right/>
        <top/>
        <bottom/>
      </border>
    </dxf>
  </rfmt>
  <rcc rId="2451" sId="1" xfDxf="1" dxf="1">
    <nc r="G149" t="inlineStr">
      <is>
        <t>Soluții informatice integrate pentru simplificarea procedurilor administrative și reducerea birocrației la nivelul Municipiului</t>
      </is>
    </nc>
    <ndxf>
      <font>
        <i/>
        <name val="Trebuchet MS"/>
        <scheme val="none"/>
      </font>
    </ndxf>
  </rcc>
  <rfmt sheetId="1" sqref="G149">
    <dxf>
      <alignment wrapText="1"/>
    </dxf>
  </rfmt>
  <rfmt sheetId="1" sqref="G149" start="0" length="2147483647">
    <dxf>
      <font>
        <i val="0"/>
      </font>
    </dxf>
  </rfmt>
  <rcc rId="2452" sId="1">
    <nc r="H149" t="inlineStr">
      <is>
        <t>Municipiul Urziceni</t>
      </is>
    </nc>
  </rcc>
  <rcc rId="2453" sId="1">
    <nc r="I149" t="inlineStr">
      <is>
        <t>n.a</t>
      </is>
    </nc>
  </rcc>
  <rcc rId="2454" sId="1">
    <nc r="J149" t="inlineStr">
      <is>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is>
    </nc>
  </rcc>
  <rcc rId="2455" sId="1" numFmtId="19">
    <nc r="K149">
      <v>43643</v>
    </nc>
  </rcc>
  <rcc rId="2456" sId="1" numFmtId="19">
    <nc r="L149">
      <v>44192</v>
    </nc>
  </rcc>
  <rcc rId="2457" sId="1">
    <nc r="M149">
      <f>S149/AE149*100</f>
    </nc>
  </rcc>
  <rcc rId="2458" sId="1" odxf="1" dxf="1">
    <nc r="N149">
      <v>3</v>
    </nc>
    <odxf/>
    <ndxf/>
  </rcc>
  <rcc rId="2459" sId="1">
    <nc r="O149" t="inlineStr">
      <is>
        <t>Ialomița</t>
      </is>
    </nc>
  </rcc>
  <rcc rId="2460" sId="1">
    <nc r="Q149" t="inlineStr">
      <is>
        <t>APL</t>
      </is>
    </nc>
  </rcc>
  <rcc rId="2461" sId="1">
    <nc r="P149" t="inlineStr">
      <is>
        <t>Urziceni</t>
      </is>
    </nc>
  </rcc>
  <rcc rId="2462" sId="1">
    <nc r="R149" t="inlineStr">
      <is>
        <t>119 - Investiții în capacitatea instituțională și în eficiența administrațiilor și a serviciilor publice la nivel național, regional și local, în perspectiva realizării de reforme, a unei mai bune legiferări și a bunei guvernanțe</t>
      </is>
    </nc>
  </rcc>
  <rcc rId="2463" sId="1">
    <nc r="S149">
      <f>T149+U149</f>
    </nc>
  </rcc>
  <rcc rId="2464" sId="1">
    <nc r="V149">
      <f>W149+X149</f>
    </nc>
  </rcc>
  <rcc rId="2465" sId="1">
    <nc r="Y149">
      <f>Z149+AA149</f>
    </nc>
  </rcc>
  <rcc rId="2466" sId="1">
    <nc r="AB149">
      <f>AC149+AD149</f>
    </nc>
  </rcc>
  <rcc rId="2467" sId="1">
    <nc r="AE149">
      <f>S149+V149+Y149+AB151</f>
    </nc>
  </rcc>
  <rcc rId="2468" sId="1">
    <nc r="AG149">
      <f>AE149+AF149</f>
    </nc>
  </rcc>
  <rcc rId="2469" sId="1">
    <nc r="AH149" t="inlineStr">
      <is>
        <t xml:space="preserve"> în implementare</t>
      </is>
    </nc>
  </rcc>
  <rcc rId="2470" sId="1">
    <nc r="U149">
      <v>0</v>
    </nc>
  </rcc>
  <rcc rId="2471" sId="1">
    <nc r="X149">
      <v>0</v>
    </nc>
  </rcc>
  <rcc rId="2472" sId="1" numFmtId="4">
    <nc r="AA149">
      <v>0</v>
    </nc>
  </rcc>
  <rcc rId="2473" sId="1">
    <nc r="AD149">
      <v>0</v>
    </nc>
  </rcc>
  <rcc rId="2474" sId="1" numFmtId="4">
    <nc r="AF149">
      <v>0</v>
    </nc>
  </rcc>
  <rfmt sheetId="1" sqref="G149">
    <dxf>
      <alignment vertical="center"/>
    </dxf>
  </rfmt>
  <rcc rId="2475" sId="1" numFmtId="4">
    <nc r="T149">
      <v>2326066.37</v>
    </nc>
  </rcc>
  <rcc rId="2476" sId="1" numFmtId="4">
    <nc r="W149">
      <v>355751.33</v>
    </nc>
  </rcc>
  <rcc rId="2477" sId="1" numFmtId="4">
    <nc r="Z149">
      <v>54730.98</v>
    </nc>
  </rcc>
  <rcc rId="2478" sId="1">
    <nc r="AC149">
      <v>0</v>
    </nc>
  </rcc>
  <rcv guid="{65C35D6D-934F-4431-BA92-90255FC17BA4}" action="delete"/>
  <rdn rId="0" localSheetId="1" customView="1" name="Z_65C35D6D_934F_4431_BA92_90255FC17BA4_.wvu.PrintArea" hidden="1" oldHidden="1">
    <formula>Sheet1!$A$1:$AL$465</formula>
    <oldFormula>Sheet1!$A$1:$AL$465</oldFormula>
  </rdn>
  <rdn rId="0" localSheetId="1" customView="1" name="Z_65C35D6D_934F_4431_BA92_90255FC17BA4_.wvu.FilterData" hidden="1" oldHidden="1">
    <formula>Sheet1!$A$1:$AL$78</formula>
    <oldFormula>Sheet1!$A$1:$AL$434</oldFormula>
  </rdn>
  <rcv guid="{65C35D6D-934F-4431-BA92-90255FC17BA4}" action="add"/>
</revisions>
</file>

<file path=xl/revisions/revisionLog2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7F3E0E-3A8E-4B82-8170-33752259B7DB}" action="delete"/>
  <rdn rId="0" localSheetId="1" customView="1" name="Z_A87F3E0E_3A8E_4B82_8170_33752259B7DB_.wvu.PrintArea" hidden="1" oldHidden="1">
    <formula>Sheet1!$A$1:$AL$465</formula>
    <oldFormula>Sheet1!$A$1:$AL$465</oldFormula>
  </rdn>
  <rdn rId="0" localSheetId="1" customView="1" name="Z_A87F3E0E_3A8E_4B82_8170_33752259B7DB_.wvu.FilterData" hidden="1" oldHidden="1">
    <formula>Sheet1!$A$6:$AL$465</formula>
    <oldFormula>Sheet1!$A$6:$AL$465</oldFormula>
  </rdn>
  <rcv guid="{A87F3E0E-3A8E-4B82-8170-33752259B7DB}" action="add"/>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83" sId="1" ref="A134:XFD134" action="insertRow">
    <undo index="65535" exp="area" ref3D="1" dr="$H$1:$N$1048576" dn="Z_65B035E3_87FA_46C5_996E_864F2C8D0EBC_.wvu.Cols" sId="1"/>
  </rrc>
  <rcc rId="2484" sId="1">
    <nc r="A134">
      <v>4</v>
    </nc>
  </rcc>
  <rcc rId="2485" sId="1">
    <nc r="B134">
      <v>128765</v>
    </nc>
  </rcc>
  <rcc rId="2486" sId="1">
    <nc r="C134">
      <v>633</v>
    </nc>
  </rcc>
  <rcc rId="2487" sId="1">
    <nc r="D134" t="inlineStr">
      <is>
        <t>RB</t>
      </is>
    </nc>
  </rcc>
  <rcc rId="2488" sId="1">
    <nc r="E134" t="inlineStr">
      <is>
        <t>AP 2/11i/2.1</t>
      </is>
    </nc>
  </rcc>
  <rcc rId="2489" sId="1">
    <nc r="F134" t="inlineStr">
      <is>
        <t>CP 12 less/2018</t>
      </is>
    </nc>
  </rcc>
  <rcc rId="2490" sId="1">
    <oc r="H225" t="inlineStr">
      <is>
        <t>Municipiukl Huși</t>
      </is>
    </oc>
    <nc r="H225" t="inlineStr">
      <is>
        <t>Municipiul Huși</t>
      </is>
    </nc>
  </rcc>
  <rcc rId="2491" sId="1">
    <nc r="I134" t="inlineStr">
      <is>
        <t>n.a.</t>
      </is>
    </nc>
  </rcc>
  <rfmt sheetId="1" sqref="G134" start="0" length="0">
    <dxf>
      <font>
        <sz val="11"/>
        <color theme="1"/>
        <name val="Calibri"/>
        <family val="2"/>
        <charset val="238"/>
        <scheme val="minor"/>
      </font>
      <alignment horizontal="general" vertical="bottom" wrapText="0"/>
      <border outline="0">
        <left/>
        <right/>
        <top/>
        <bottom/>
      </border>
    </dxf>
  </rfmt>
  <rfmt sheetId="1" xfDxf="1" sqref="G134" start="0" length="0">
    <dxf>
      <font>
        <i/>
        <name val="Trebuchet MS"/>
        <scheme val="none"/>
      </font>
    </dxf>
  </rfmt>
  <rcc rId="2492" sId="1" odxf="1" dxf="1">
    <nc r="G134" t="inlineStr">
      <is>
        <t>Îmbunătățirea capacității instituționale și reducerea birocrației pentru cetățenii din Municipiul Toplița</t>
      </is>
    </nc>
    <ndxf>
      <font>
        <i val="0"/>
        <sz val="12"/>
        <color auto="1"/>
        <name val="Trebuchet MS"/>
        <scheme val="none"/>
      </font>
      <alignment horizontal="left" vertical="center" wrapText="1"/>
      <border outline="0">
        <left style="thin">
          <color indexed="64"/>
        </left>
        <right style="thin">
          <color indexed="64"/>
        </right>
        <top style="thin">
          <color indexed="64"/>
        </top>
        <bottom style="thin">
          <color indexed="64"/>
        </bottom>
      </border>
    </ndxf>
  </rcc>
  <rcv guid="{53ED3D47-B2C0-43A1-9A1E-F030D529F74C}" action="delete"/>
  <rdn rId="0" localSheetId="1" customView="1" name="Z_53ED3D47_B2C0_43A1_9A1E_F030D529F74C_.wvu.PrintArea" hidden="1" oldHidden="1">
    <formula>Sheet1!$A$1:$AL$466</formula>
    <oldFormula>Sheet1!$A$1:$AL$466</oldFormula>
  </rdn>
  <rdn rId="0" localSheetId="1" customView="1" name="Z_53ED3D47_B2C0_43A1_9A1E_F030D529F74C_.wvu.FilterData" hidden="1" oldHidden="1">
    <formula>Sheet1!$A$6:$AL$466</formula>
    <oldFormula>Sheet1!$A$6:$AL$466</oldFormula>
  </rdn>
  <rcv guid="{53ED3D47-B2C0-43A1-9A1E-F030D529F74C}" action="add"/>
</revisions>
</file>

<file path=xl/revisions/revisionLog2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95" sId="1">
    <nc r="H134" t="inlineStr">
      <is>
        <t>Municipiul Toplița</t>
      </is>
    </nc>
  </rcc>
  <rfmt sheetId="1" sqref="K134" start="0" length="0">
    <dxf>
      <font>
        <sz val="12"/>
        <color auto="1"/>
      </font>
    </dxf>
  </rfmt>
  <rcc rId="2496" sId="1" numFmtId="19">
    <nc r="K134">
      <v>43647</v>
    </nc>
  </rcc>
  <rcc rId="2497" sId="1" numFmtId="19">
    <nc r="L134">
      <v>44501</v>
    </nc>
  </rcc>
  <rcc rId="2498" sId="1">
    <nc r="N134">
      <v>7</v>
    </nc>
  </rcc>
  <rcc rId="2499" sId="1">
    <nc r="O134" t="inlineStr">
      <is>
        <t>Harghita</t>
      </is>
    </nc>
  </rcc>
  <rcc rId="2500" sId="1">
    <nc r="P134" t="inlineStr">
      <is>
        <t>Toplita</t>
      </is>
    </nc>
  </rcc>
  <rcc rId="2501" sId="1" odxf="1" dxf="1">
    <nc r="Q134" t="inlineStr">
      <is>
        <t>APL</t>
      </is>
    </nc>
    <odxf>
      <font>
        <sz val="12"/>
      </font>
    </odxf>
    <ndxf>
      <font>
        <sz val="12"/>
      </font>
    </ndxf>
  </rcc>
  <rcc rId="2502" sId="1" odxf="1" dxf="1">
    <nc r="R134" t="inlineStr">
      <is>
        <t>119 - Investiții în capacitatea instituțională și în eficiența administrațiilor și a serviciilor publice la nivel național, regional și local, în perspectiva realizării de reforme, a unei mai bune legiferări și a bunei guvernanțe</t>
      </is>
    </nc>
    <odxf>
      <font>
        <sz val="12"/>
        <color auto="1"/>
      </font>
    </odxf>
    <ndxf>
      <font>
        <sz val="12"/>
        <color auto="1"/>
      </font>
    </ndxf>
  </rcc>
  <rfmt sheetId="1" sqref="O134:P134" start="0" length="0">
    <dxf>
      <border>
        <top style="thin">
          <color indexed="64"/>
        </top>
      </border>
    </dxf>
  </rfmt>
  <rfmt sheetId="1" sqref="O134:P134">
    <dxf>
      <border>
        <left style="thin">
          <color indexed="64"/>
        </left>
        <right style="thin">
          <color indexed="64"/>
        </right>
        <top style="thin">
          <color indexed="64"/>
        </top>
        <bottom style="thin">
          <color indexed="64"/>
        </bottom>
        <vertical style="thin">
          <color indexed="64"/>
        </vertical>
        <horizontal style="thin">
          <color indexed="64"/>
        </horizontal>
      </border>
    </dxf>
  </rfmt>
  <rcc rId="2503" sId="1" numFmtId="4">
    <nc r="T134">
      <v>2222316.08</v>
    </nc>
  </rcc>
  <rcc rId="2504" sId="1">
    <nc r="U134">
      <v>0</v>
    </nc>
  </rcc>
  <rcc rId="2505" sId="1">
    <nc r="W134">
      <v>339883.63</v>
    </nc>
  </rcc>
  <rcc rId="2506" sId="1">
    <nc r="X134">
      <v>0</v>
    </nc>
  </rcc>
  <rcc rId="2507" sId="1" numFmtId="4">
    <nc r="Z134">
      <v>52289.79</v>
    </nc>
  </rcc>
  <rcc rId="2508" sId="1" numFmtId="4">
    <nc r="AA134">
      <v>0</v>
    </nc>
  </rcc>
  <rcc rId="2509" sId="1">
    <nc r="AC134">
      <v>0</v>
    </nc>
  </rcc>
  <rcc rId="2510" sId="1">
    <nc r="AD134">
      <v>0</v>
    </nc>
  </rcc>
  <rfmt sheetId="1" sqref="B134:D134">
    <dxf>
      <fill>
        <patternFill>
          <bgColor rgb="FF92D050"/>
        </patternFill>
      </fill>
    </dxf>
  </rfmt>
  <rfmt sheetId="1" sqref="B134" start="0" length="0">
    <dxf>
      <fill>
        <patternFill>
          <bgColor rgb="FFFFFF00"/>
        </patternFill>
      </fill>
    </dxf>
  </rfmt>
  <rfmt sheetId="1" sqref="C134" start="0" length="0">
    <dxf>
      <fill>
        <patternFill>
          <bgColor rgb="FFFFFF00"/>
        </patternFill>
      </fill>
    </dxf>
  </rfmt>
  <rfmt sheetId="1" sqref="D134" start="0" length="0">
    <dxf>
      <fill>
        <patternFill>
          <bgColor rgb="FFFFFF00"/>
        </patternFill>
      </fill>
    </dxf>
  </rfmt>
  <rcc rId="2511" sId="1">
    <nc r="S134">
      <f>T134+U134</f>
    </nc>
  </rcc>
  <rcc rId="2512" sId="1">
    <nc r="V134">
      <f>W134+X134</f>
    </nc>
  </rcc>
  <rcc rId="2513" sId="1">
    <nc r="Y134">
      <f>Z134+AA134</f>
    </nc>
  </rcc>
  <rcc rId="2514" sId="1">
    <nc r="AE134">
      <f>S134+V134+Y134+AB134</f>
    </nc>
  </rcc>
  <rcc rId="2515" sId="1" numFmtId="4">
    <nc r="AB134">
      <f>AC134+AD134</f>
    </nc>
  </rcc>
  <rcc rId="2516" sId="1">
    <nc r="M134">
      <f>S134/AE134*100</f>
    </nc>
  </rcc>
  <rcc rId="2517" sId="1">
    <nc r="AH134" t="inlineStr">
      <is>
        <t>în implementare</t>
      </is>
    </nc>
  </rcc>
  <rcc rId="2518" sId="1">
    <nc r="J134" t="inlineStr">
      <is>
        <t>Obiectivul genereal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cetateni.OS 2: Dezvoltarea si implementarea solutiei informatice inovative la nivelul institutiei publice.
OS 3: Instruirea personalului din cadrul UAT Toplita pentru utilizarea optima a solutiei informatice integrate prin proiect.</t>
      </is>
    </nc>
  </rcc>
</revisions>
</file>

<file path=xl/revisions/revisionLog2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19" sId="1">
    <oc r="J134" t="inlineStr">
      <is>
        <t>Obiectivul genereal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cetateni.OS 2: Dezvoltarea si implementarea solutiei informatice inovative la nivelul institutiei publice.
OS 3: Instruirea personalului din cadrul UAT Toplita pentru utilizarea optima a solutiei informatice integrate prin proiect.</t>
      </is>
    </oc>
    <nc r="J134" t="inlineStr">
      <is>
        <t>Obiectivul genereal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is>
    </nc>
  </rcc>
</revisions>
</file>

<file path=xl/revisions/revisionLog2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0" sId="1">
    <oc r="AJ352">
      <f>157838.38+70218+75120.05-9400.61+77188.42+38669.17-7483.51+148856.55</f>
    </oc>
    <nc r="AJ352">
      <f>157838.38+70218+75120.05-9400.61+77188.42+38669.17-7483.51+148856.55+42278.62</f>
    </nc>
  </rcc>
  <rcc rId="2521" sId="1">
    <oc r="AK352">
      <f>11135.04+27716.68+9400.61+3526.85+11840.91+7483.51+15010.54</f>
    </oc>
    <nc r="AK352">
      <f>11135.04+27716.68+9400.61+3526.85+11840.91+7483.51+15010.54+8062.74</f>
    </nc>
  </rcc>
  <rcc rId="2522" sId="1">
    <oc r="AJ400">
      <f>97000+74075.05+62367.67+44580.06+31686.87+94967.28+69711.79</f>
    </oc>
    <nc r="AJ400">
      <f>97000+74075.05+62367.67+44580.06+31686.87+94967.28+69711.79+88493.46</f>
    </nc>
  </rcc>
  <rcc rId="2523" sId="1">
    <oc r="AK400">
      <f>14126.47+15038.55+8501.64+20997.93+13294.37</f>
    </oc>
    <nc r="AK400">
      <f>14126.47+15038.55+8501.64+20997.93+13294.37+16876.14</f>
    </nc>
  </rcc>
  <rcc rId="2524" sId="1">
    <oc r="AJ333">
      <f>218312.37+90611.85+214.38+90611.85+7774.08</f>
    </oc>
    <nc r="AJ333">
      <f>218312.37+90611.85+214.38+90611.85+7774.08+90611.85</f>
    </nc>
  </rcc>
  <rcc rId="2525" sId="1">
    <oc r="AJ411">
      <f>94052.8+22014.67+75007.09-1587.76+90621.42</f>
    </oc>
    <nc r="AJ411">
      <f>94052.8+22014.67+75007.09-1587.76+90621.42+42244.56</f>
    </nc>
  </rcc>
  <rcc rId="2526" sId="1">
    <oc r="AK411">
      <f>7963.77+14304.23+1587.76+10820.01</f>
    </oc>
    <nc r="AK411">
      <f>7963.77+14304.23+1587.76+10820.01+19519.35</f>
    </nc>
  </rcc>
  <rcc rId="2527" sId="1">
    <oc r="AJ403">
      <f>97000-12225.11+76329.94+54447.72+71579.61</f>
    </oc>
    <nc r="AJ403">
      <f>97000-12225.11+76329.94+54447.72+71579.61+92674.11</f>
    </nc>
  </rcc>
  <rcc rId="2528" sId="1">
    <oc r="AK403">
      <f>12225.11+10383.44+13650.58</f>
    </oc>
    <nc r="AK403">
      <f>12225.11+10383.44+13650.58+17673.4</f>
    </nc>
  </rcc>
  <rcc rId="2529" sId="1">
    <oc r="AJ360">
      <f>67020+7797+44875.55+3783.2+14368.2-5518.28+131016.07+9271.15</f>
    </oc>
    <nc r="AJ360">
      <f>67020+7797+44875.55+3783.2+14368.2-5518.28+131016.07+9271.15+23657.27</f>
    </nc>
  </rcc>
  <rcc rId="2530" sId="1">
    <oc r="AK360">
      <f>8557.98+2208.4+1253.17+10049.33+13883.73+1768.06</f>
    </oc>
    <nc r="AK360">
      <f>8557.98+2208.4+1253.17+10049.33+13883.73+1768.06+17631.4</f>
    </nc>
  </rcc>
  <rcc rId="2531" sId="1">
    <oc r="AJ363">
      <f>94833+71891.83-13619.36+85035.24+67213.99</f>
    </oc>
    <nc r="AJ363">
      <f>94833+71891.83-13619.36+85035.24+67213.99+63619.47</f>
    </nc>
  </rcc>
  <rcc rId="2532" sId="1">
    <oc r="AK363">
      <f>13710.12+13619.36+12818.03</f>
    </oc>
    <nc r="AK363">
      <f>13710.12+13619.36+12818.03+12132.54</f>
    </nc>
  </rcc>
  <rcc rId="2533" sId="1">
    <oc r="AJ379">
      <f>98482.62-15061.09+94056.93+90069.4</f>
    </oc>
    <nc r="AJ379">
      <f>98482.62-15061.09+94056.93+90069.4-1035.88</f>
    </nc>
  </rcc>
  <rcc rId="2534" sId="1">
    <oc r="AK379">
      <f>15061.09+3.81+17176.67</f>
    </oc>
    <nc r="AK379">
      <f>15061.09+3.81+17176.67+17183.59</f>
    </nc>
  </rcc>
  <rcc rId="2535" sId="1">
    <oc r="AJ414">
      <f>65068.03-7463.91+95685.5</f>
    </oc>
    <nc r="AJ414">
      <f>65068.03-7463.91+95685.5-844.43</f>
    </nc>
  </rcc>
  <rcc rId="2536" sId="1" numFmtId="4">
    <oc r="AK414">
      <v>10985.39</v>
    </oc>
    <nc r="AK414">
      <f>10985.39+18086.66</f>
    </nc>
  </rcc>
  <rcc rId="2537" sId="1">
    <oc r="AJ374">
      <f>172463.58+91295.09-2619.6+99688.33</f>
    </oc>
    <nc r="AJ374">
      <f>172463.58+91295.09-2619.6+99688.33+6676.64</f>
    </nc>
  </rcc>
  <rcc rId="2538" sId="1">
    <oc r="AK374">
      <f>13878.6+17410.43+18511.49</f>
    </oc>
    <nc r="AK374">
      <f>13878.6+17410.43+18511.49+20284.35</f>
    </nc>
  </rcc>
  <rcc rId="2539" sId="1">
    <oc r="AJ351">
      <f>137170.68-7903.65+194328.98+89918.19+31054.2+67873.86</f>
    </oc>
    <nc r="AJ351">
      <f>137170.68-7903.65+194328.98+89918.19+31054.2+67873.86+26987.16</f>
    </nc>
  </rcc>
  <rcc rId="2540" sId="1">
    <oc r="AK351">
      <f>10079.83+14572.02+20980.21+17147.84+5922.18+12943.9</f>
    </oc>
    <nc r="AK351">
      <f>10079.83+14572.02+20980.21+17147.84+5922.18+12943.9+5146.58</f>
    </nc>
  </rcc>
  <rcc rId="2541" sId="1">
    <oc r="AJ297">
      <f>99898.9+20257.44+82739.46+65227.91+122865.84+26629.39+183749.63+32157.06</f>
    </oc>
    <nc r="AJ297">
      <f>99898.9+20257.44+82739.46+65227.91+122865.84+26629.39+183749.63+32157.06+25755.53</f>
    </nc>
  </rcc>
  <rcc rId="2542" sId="1">
    <oc r="AK297">
      <f>3863.19+15778.83+29070.82+6799.58+5078.36+35041.94+6132.52</f>
    </oc>
    <nc r="AK297">
      <f>3863.19+15778.83+29070.82+6799.58+5078.36+35041.94+6132.52+4911.69</f>
    </nc>
  </rcc>
  <rcc rId="2543" sId="1">
    <oc r="AJ298">
      <f>208329.69+72239-12893.42+110533+33743.88+27302.86</f>
    </oc>
    <nc r="AJ298">
      <f>208329.69+72239-12893.42+110533+33743.88+27302.86+101234.17</f>
    </nc>
  </rcc>
  <rcc rId="2544" sId="1">
    <oc r="AK298">
      <f>36750.34+12893.42+5726.93+6435.14+21177.89</f>
    </oc>
    <nc r="AK298">
      <f>36750.34+12893.42+5726.93+6435.14+21177.89+19305.83</f>
    </nc>
  </rcc>
  <rcc rId="2545" sId="1">
    <oc r="AJ310">
      <f>203464.35+52738-9972.73+62266+18526.35+82225</f>
    </oc>
    <nc r="AJ310">
      <f>203464.35+52738-9972.73+62266+18526.35+82225+36211.5</f>
    </nc>
  </rcc>
  <rcc rId="2546" sId="1">
    <oc r="AK310">
      <f>20890.44+10057.4+9972.73+19214.05</f>
    </oc>
    <nc r="AK310">
      <f>20890.44+10057.4+9972.73+19214.05+7939.81</f>
    </nc>
  </rcc>
  <rcc rId="2547" sId="1">
    <oc r="AJ304">
      <f>312590.47-8868.28+88856.3+55475.75+73233.76+50351.94</f>
    </oc>
    <nc r="AJ304">
      <f>312590.47-8868.28+88856.3+55475.75+73233.76+50351.94+43692.49</f>
    </nc>
  </rcc>
  <rcc rId="2548" sId="1">
    <oc r="AK304">
      <f>40972.78+16948.54+8885.07+13966.04+9602.34</f>
    </oc>
    <nc r="AK304">
      <f>40972.78+16948.54+8885.07+13966.04+9602.34+8332.37</f>
    </nc>
  </rcc>
  <rcc rId="2549" sId="1">
    <oc r="AJ317">
      <f>89946.09+50286.21+28089.49+78330.42+133065.34</f>
    </oc>
    <nc r="AJ317">
      <f>89946.09+50286.21+28089.49+78330.42+133065.34+69728.09</f>
    </nc>
  </rcc>
  <rcc rId="2550" sId="1">
    <oc r="AK317">
      <f>8053.91+20294.8+25376.22</f>
    </oc>
    <nc r="AK317">
      <f>8053.91+20294.8+25376.22+13297.51</f>
    </nc>
  </rcc>
  <rcc rId="2551" sId="1">
    <oc r="AJ323">
      <f>155523.41+47135.61-8611.45+92000+71209.41</f>
    </oc>
    <nc r="AJ323">
      <f>155523.41+47135.61-8611.45+92000+71209.41-4305.28</f>
    </nc>
  </rcc>
  <rcc rId="2552" sId="1">
    <oc r="AK323">
      <f>11958.04+8988.99+16058.8+13579.97</f>
    </oc>
    <nc r="AK323">
      <f>11958.04+8988.99+16058.8+13579.97+16723.79</f>
    </nc>
  </rcc>
  <rcc rId="2553" sId="1">
    <oc r="AJ383">
      <f>96285.8+47700.86+109022.07+9510.48</f>
    </oc>
    <nc r="AJ383">
      <f>96285.8+47700.86+109022.07+9510.48+92679.05</f>
    </nc>
  </rcc>
  <rcc rId="2554" sId="1">
    <oc r="AJ329">
      <f>84638.59+81518.25+15437.85+121639.28+42099.38</f>
    </oc>
    <nc r="AJ329">
      <f>84638.59+81518.25+15437.85+121639.28+42099.38+37504.88</f>
    </nc>
  </rcc>
  <rcc rId="2555" sId="1">
    <oc r="AK329">
      <f>13056.08+21574.93+4566.35+8028.56</f>
    </oc>
    <nc r="AK329">
      <f>13056.08+21574.93+4566.35+8028.56+23258.8</f>
    </nc>
  </rcc>
  <rcc rId="2556" sId="1">
    <oc r="AJ378">
      <f>61292.27-7748.65+48380.24+48897.57+0.12</f>
    </oc>
    <nc r="AJ378">
      <f>61292.27-7748.65+48380.24+48897.57+0.12+53107.14</f>
    </nc>
  </rcc>
  <rcc rId="2557" sId="1">
    <oc r="AK378">
      <f>7748.65+9425.87-0.12</f>
    </oc>
    <nc r="AK378">
      <f>7748.65+9425.87-0.12+10127.9</f>
    </nc>
  </rcc>
  <rcc rId="2558" sId="1">
    <oc r="AJ367">
      <f>89466-9346.06+57163.11+27481.97</f>
    </oc>
    <nc r="AJ367">
      <f>89466-9346.06+57163.11+27481.97+21414.56</f>
    </nc>
  </rcc>
  <rcc rId="2559" sId="1">
    <oc r="AK367">
      <f>9346.06+20716.82</f>
    </oc>
    <nc r="AK367">
      <f>9346.06+20716.82+4083.85</f>
    </nc>
  </rcc>
  <rcc rId="2560" sId="1">
    <oc r="AJ343">
      <f>81982.44+68790.33-12682.51+93000-3589.63</f>
    </oc>
    <nc r="AJ343">
      <f>81982.44+68790.33-12682.51+93000-3589.63+93000</f>
    </nc>
  </rcc>
  <rcc rId="2561" sId="1">
    <oc r="AJ393">
      <f>80429.21-9330.69+58258.04-10837.66+67667.13+123564.67</f>
    </oc>
    <nc r="AJ393">
      <f>80429.21-9330.69+58258.04-10837.66+67667.13+123564.67+61010.11</f>
    </nc>
  </rcc>
  <rcc rId="2562" sId="1">
    <oc r="AK393">
      <f>9330.69+10837.66+23564.38</f>
    </oc>
    <nc r="AK393">
      <f>9330.69+10837.66+23564.38+11634.9</f>
    </nc>
  </rcc>
  <rcc rId="2563" sId="1">
    <oc r="AJ357">
      <f>76816.8+130770.26-14027.52+87583.68+55112.77+22177.11+95479.67+15632.7</f>
    </oc>
    <nc r="AJ357">
      <f>76816.8+130770.26-14027.52+87583.68+55112.77+22177.11+95479.67+15632.7+2054.36</f>
    </nc>
  </rcc>
  <rcc rId="2564" sId="1">
    <oc r="AK357">
      <f>13758.03+8556.79+14027.52+10510.28+4229.28+10710.03+10479.69</f>
    </oc>
    <nc r="AK357">
      <f>13758.03+8556.79+14027.52+10510.28+4229.28+10710.03+10479.69+17664.84</f>
    </nc>
  </rcc>
  <rcc rId="2565" sId="1">
    <oc r="AJ299">
      <f>311274.3+94352.8-8733.69+71724.61+102413.3+20161.59+85316</f>
    </oc>
    <nc r="AJ299">
      <f>311274.3+94352.8-8733.69+71724.61+102413.3+20161.59+85316+25210.31</f>
    </nc>
  </rcc>
  <rcc rId="2566" sId="1">
    <oc r="AK299">
      <f>40335.29+17993.54+8733.69+3278.99+19530.72+3844.92+16270.21</f>
    </oc>
    <nc r="AK299">
      <f>40335.29+17993.54+8733.69+3278.99+19530.72+3844.92+16270.21+4807.73</f>
    </nc>
  </rcc>
  <rcc rId="2567" sId="1">
    <oc r="AJ308">
      <f>158718.42+71720.08+35094.89</f>
    </oc>
    <nc r="AJ308">
      <f>158718.42+71720.08+35094.89+253530.72</f>
    </nc>
  </rcc>
  <rcc rId="2568" sId="1">
    <oc r="AK308">
      <f>13036.61+13677.37+23924.58</f>
    </oc>
    <nc r="AK308">
      <f>13036.61+13677.37+23924.58+31117.83</f>
    </nc>
  </rcc>
  <rcc rId="2569" sId="1">
    <oc r="AJ341">
      <f>90931+53329.56+57210.46+106559.17+87755.66-53.91+41459.09</f>
    </oc>
    <nc r="AJ341">
      <f>90931+53329.56+57210.46+106559.17+87755.66-53.91+41459.09+61861.47</f>
    </nc>
  </rcc>
  <rcc rId="2570" sId="1">
    <oc r="AK341">
      <f>10170.21+10910.32+23029.37+14027.44+53.91+7906.45</f>
    </oc>
    <nc r="AK341">
      <f>10170.21+10910.32+23029.37+14027.44+53.91+7906.45+11797.29</f>
    </nc>
  </rcc>
  <rcc rId="2571" sId="1">
    <oc r="AJ335">
      <f>95945.38+5019.44+25010.26+9763.75+114260.12+16124.2</f>
    </oc>
    <nc r="AJ335">
      <f>95945.38+5019.44+25010.26+9763.75+114260.12+16124.2+16125.04</f>
    </nc>
  </rcc>
  <rcc rId="2572" sId="1">
    <oc r="AK335">
      <f>7941.36+4769.59+16667.83+3074.99</f>
    </oc>
    <nc r="AK335">
      <f>7941.36+4769.59+16667.83+3074.99+3075.12</f>
    </nc>
  </rcc>
  <rcc rId="2573" sId="1">
    <oc r="AJ339">
      <f>151237.06+59857.57+64477.1+31001.93+68841.22</f>
    </oc>
    <nc r="AJ339">
      <f>151237.06+59857.57+64477.1+31001.93+68841.22+91071.02</f>
    </nc>
  </rcc>
  <rcc rId="2574" sId="1">
    <oc r="AJ382">
      <f>165765.11+56722.24+28008.96+69100.38-9760.15+61890.51+86983.18+50044.51+10153.07</f>
    </oc>
    <nc r="AJ382">
      <f>165765.11+56722.24+28008.96+69100.38-9760.15+61890.51+86983.18+50044.51+10153.07+68034.97</f>
    </nc>
  </rcc>
  <rcc rId="2575" sId="1">
    <oc r="AK382">
      <f>14377.08+10817.21+22576.59+11316.48+16588.12+13157.91+10124.9</f>
    </oc>
    <nc r="AK382">
      <f>14377.08+10817.21+22576.59+11316.48+16588.12+13157.91+10124.9+5883.58</f>
    </nc>
  </rcc>
  <rcc rId="2576" sId="1">
    <oc r="AJ407">
      <f>95544.32-8902.54+79756.49+100684.35-11646.04+72714.4</f>
    </oc>
    <nc r="AJ407">
      <f>95544.32-8902.54+79756.49+100684.35-11646.04+72714.4+13739.52</f>
    </nc>
  </rcc>
  <rcc rId="2577" sId="1">
    <oc r="AK407">
      <f>13512.19+19201.01+11646.04</f>
    </oc>
    <nc r="AK407">
      <f>13512.19+19201.01+11646.04+10486.67</f>
    </nc>
  </rcc>
  <rcc rId="2578" sId="1">
    <oc r="AJ412">
      <f>99996.13-6665.57+73099.14-794.96+84527.06</f>
    </oc>
    <nc r="AJ412">
      <f>99996.13-6665.57+73099.14-794.96+84527.06+94015.05</f>
    </nc>
  </rcc>
  <rcc rId="2579" sId="1">
    <oc r="AK412">
      <f>11707.76+14823.26</f>
    </oc>
    <nc r="AK412">
      <f>11707.76+14823.26+16781.91</f>
    </nc>
  </rcc>
  <rcc rId="2580" sId="1">
    <oc r="AJ336">
      <f>239002.19+7716.3+76236.18+77866.17-9062.7+110648.92</f>
    </oc>
    <nc r="AJ336">
      <f>239002.19+7716.3+76236.18+77866.17-9062.7+110648.92+47012.15</f>
    </nc>
  </rcc>
  <rcc rId="2581" sId="1">
    <oc r="AK336">
      <f>26726.95+18388.45+12471.15+9062.7+10310.26</f>
    </oc>
    <nc r="AK336">
      <f>26726.95+18388.45+12471.15+9062.7+10310.26+8965.45</f>
    </nc>
  </rcc>
  <rcc rId="2582" sId="1">
    <oc r="AJ296">
      <f>85000+43282.16-11040.21+106472.55+153782.22-13315.84+83140.14</f>
    </oc>
    <nc r="AJ296">
      <f>85000+43282.16-11040.21+106472.55+153782.22-13315.84+83140.14+113279.69</f>
    </nc>
  </rcc>
  <rcc rId="2583" sId="1">
    <oc r="AK296">
      <f>8254.12+14104.5+20304.84+13117.11+13315.84</f>
    </oc>
    <nc r="AK296">
      <f>8254.12+14104.5+20304.84+13117.11+13315.84+21603</f>
    </nc>
  </rcc>
  <rcc rId="2584" sId="1">
    <oc r="AJ306">
      <f>105536.1+45768.53+51356.28+43663.9-6908.51</f>
    </oc>
    <nc r="AJ306">
      <f>105536.1+45768.53+51356.28+43663.9-6908.51+43134.7</f>
    </nc>
  </rcc>
  <rcc rId="2585" sId="1">
    <oc r="AJ328">
      <f>98383.57+67957.2+131759+61030.49+98383.57-15548.08+97077.59</f>
    </oc>
    <nc r="AJ328">
      <f>98383.57+67957.2+131759+61030.49+98383.57-15548.08+97077.59+100688.53</f>
    </nc>
  </rcc>
  <rcc rId="2586" sId="1">
    <oc r="AK328">
      <f>12959.77+25127.1+30401.05+15548.08</f>
    </oc>
    <nc r="AK328">
      <f>12959.77+25127.1+30401.05+15548.08+19201.81</f>
    </nc>
  </rcc>
  <rcc rId="2587" sId="1">
    <oc r="AJ394">
      <f>94744.78+10125.98+94121.04</f>
    </oc>
    <nc r="AJ394">
      <f>94744.78+10125.98+94121.04-10122.56</f>
    </nc>
  </rcc>
  <rcc rId="2588" sId="1">
    <oc r="AK394">
      <f>7252.41+12628.02</f>
    </oc>
    <nc r="AK394">
      <f>7252.41+12628.02+15463.44</f>
    </nc>
  </rcc>
  <rcv guid="{A87F3E0E-3A8E-4B82-8170-33752259B7DB}" action="delete"/>
  <rdn rId="0" localSheetId="1" customView="1" name="Z_A87F3E0E_3A8E_4B82_8170_33752259B7DB_.wvu.PrintArea" hidden="1" oldHidden="1">
    <formula>Sheet1!$A$1:$AL$466</formula>
    <oldFormula>Sheet1!$A$1:$AL$466</oldFormula>
  </rdn>
  <rdn rId="0" localSheetId="1" customView="1" name="Z_A87F3E0E_3A8E_4B82_8170_33752259B7DB_.wvu.FilterData" hidden="1" oldHidden="1">
    <formula>Sheet1!$A$6:$AL$466</formula>
    <oldFormula>Sheet1!$A$6:$AL$466</oldFormula>
  </rdn>
  <rcv guid="{A87F3E0E-3A8E-4B82-8170-33752259B7DB}" action="add"/>
</revisions>
</file>

<file path=xl/revisions/revisionLog2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91" sId="1" ref="A65:XFD65" action="insertRow">
    <undo index="65535" exp="area" ref3D="1" dr="$H$1:$N$1048576" dn="Z_65B035E3_87FA_46C5_996E_864F2C8D0EBC_.wvu.Cols" sId="1"/>
  </rrc>
  <rcc rId="2592" sId="1">
    <nc r="A65">
      <v>10</v>
    </nc>
  </rcc>
  <rcc rId="2593" sId="1">
    <oc r="A66">
      <v>10</v>
    </oc>
    <nc r="A66">
      <v>11</v>
    </nc>
  </rcc>
  <rcc rId="2594" sId="1">
    <nc r="B65">
      <v>128335</v>
    </nc>
  </rcc>
  <rcc rId="2595" sId="1">
    <nc r="C65">
      <v>634</v>
    </nc>
  </rcc>
  <rcc rId="2596" sId="1">
    <nc r="E65" t="inlineStr">
      <is>
        <t>AP 2/11i/2.1</t>
      </is>
    </nc>
  </rcc>
  <rcc rId="2597" sId="1">
    <nc r="F65" t="inlineStr">
      <is>
        <t>CP 12 more/2018</t>
      </is>
    </nc>
  </rcc>
  <rcc rId="2598" sId="1">
    <nc r="H65" t="inlineStr">
      <is>
        <t>SECTORUL 1 AL MUNICIPIULUI BUCUREŞTI</t>
      </is>
    </nc>
  </rcc>
  <rcc rId="2599" sId="1" numFmtId="19">
    <nc r="K65">
      <v>43647</v>
    </nc>
  </rcc>
  <rcc rId="2600" sId="1" numFmtId="19">
    <nc r="L65">
      <v>44562</v>
    </nc>
  </rcc>
  <rcc rId="2601" sId="1">
    <nc r="N65">
      <v>8</v>
    </nc>
  </rcc>
  <rcc rId="2602" sId="1">
    <nc r="O65" t="inlineStr">
      <is>
        <t>București</t>
      </is>
    </nc>
  </rcc>
  <rcc rId="2603" sId="1">
    <nc r="P65" t="inlineStr">
      <is>
        <t>București</t>
      </is>
    </nc>
  </rcc>
  <rcc rId="2604" sId="1">
    <nc r="Q65" t="inlineStr">
      <is>
        <t>APL</t>
      </is>
    </nc>
  </rcc>
  <rcc rId="2605" sId="1">
    <nc r="R65" t="inlineStr">
      <is>
        <t>119 - Investiții în capacitatea instituțională și în eficiența administrațiilor și a serviciilor publice la nivel național, regional și local, în perspectiva realizării de reforme, a unei mai bune legiferări și a bunei guvernanțe</t>
      </is>
    </nc>
  </rcc>
  <rcc rId="2606" sId="1" numFmtId="4">
    <nc r="U65">
      <v>3113501.31</v>
    </nc>
  </rcc>
  <rcc rId="2607" sId="1" numFmtId="4">
    <nc r="T65">
      <v>0</v>
    </nc>
  </rcc>
  <rcc rId="2608" sId="1">
    <nc r="S65">
      <f>T65+U65</f>
    </nc>
  </rcc>
  <rcc rId="2609" sId="1" numFmtId="4">
    <nc r="W65">
      <v>0</v>
    </nc>
  </rcc>
  <rcc rId="2610" sId="1" numFmtId="4">
    <nc r="X65">
      <v>700537.78</v>
    </nc>
  </rcc>
  <rcc rId="2611" sId="1">
    <nc r="V65">
      <f>W65+X65</f>
    </nc>
  </rcc>
  <rcc rId="2612" sId="1" numFmtId="4">
    <nc r="Z65">
      <v>0</v>
    </nc>
  </rcc>
  <rcc rId="2613" sId="1" numFmtId="4">
    <nc r="AA65">
      <v>77837.55</v>
    </nc>
  </rcc>
  <rcc rId="2614" sId="1">
    <nc r="Y65">
      <f>Z65+AA65</f>
    </nc>
  </rcc>
  <rcc rId="2615" sId="1" numFmtId="4">
    <nc r="AB65">
      <v>0</v>
    </nc>
  </rcc>
  <rcc rId="2616" sId="1" numFmtId="4">
    <nc r="AC65">
      <v>0</v>
    </nc>
  </rcc>
  <rcc rId="2617" sId="1">
    <nc r="AE65">
      <f>S65+V65+Y65+AB65</f>
    </nc>
  </rcc>
  <rcc rId="2618" sId="1">
    <nc r="AH65" t="inlineStr">
      <is>
        <t xml:space="preserve"> în implementare</t>
      </is>
    </nc>
  </rcc>
  <rcc rId="2619" sId="1">
    <nc r="AI65" t="inlineStr">
      <is>
        <t>n.a</t>
      </is>
    </nc>
  </rcc>
  <rcc rId="2620" sId="1">
    <nc r="AG65">
      <f>AE65+AF65</f>
    </nc>
  </rcc>
  <rcc rId="2621" sId="1" numFmtId="4">
    <nc r="AF65">
      <v>0</v>
    </nc>
  </rcc>
  <rcc rId="2622" sId="1">
    <nc r="M65">
      <f>S65/AE65*100</f>
    </nc>
  </rcc>
  <rcc rId="2623" sId="1">
    <nc r="G65" t="inlineStr">
      <is>
        <t>Mecanisme si instrumente implementate la nivelul S1MB pentru fundamentarea deciziilor si planificarii
strategice pe termen lung</t>
      </is>
    </nc>
  </rcc>
  <rcc rId="2624" sId="1">
    <nc r="I65" t="inlineStr">
      <is>
        <t>N.A.</t>
      </is>
    </nc>
  </rcc>
  <rcc rId="2625" sId="1">
    <nc r="J65" t="inlineStr">
      <is>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is>
    </nc>
  </rcc>
  <rcc rId="2626" sId="1">
    <nc r="D65" t="inlineStr">
      <is>
        <t>ET</t>
      </is>
    </nc>
  </rcc>
  <rcv guid="{53ED3D47-B2C0-43A1-9A1E-F030D529F74C}" action="delete"/>
  <rdn rId="0" localSheetId="1" customView="1" name="Z_53ED3D47_B2C0_43A1_9A1E_F030D529F74C_.wvu.PrintArea" hidden="1" oldHidden="1">
    <formula>Sheet1!$A$1:$AL$467</formula>
    <oldFormula>Sheet1!$A$1:$AL$467</oldFormula>
  </rdn>
  <rdn rId="0" localSheetId="1" customView="1" name="Z_53ED3D47_B2C0_43A1_9A1E_F030D529F74C_.wvu.FilterData" hidden="1" oldHidden="1">
    <formula>Sheet1!$A$6:$AL$467</formula>
    <oldFormula>Sheet1!$A$6:$AL$467</oldFormula>
  </rdn>
  <rcv guid="{53ED3D47-B2C0-43A1-9A1E-F030D529F74C}" action="add"/>
</revisions>
</file>

<file path=xl/revisions/revisionLog2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29" sId="1" numFmtId="4">
    <oc r="T328">
      <v>1889981.32</v>
    </oc>
    <nc r="T328">
      <v>1889981.38</v>
    </nc>
  </rcc>
  <rcc rId="2630" sId="1" numFmtId="4">
    <oc r="U328">
      <v>453708.11</v>
    </oc>
    <nc r="U328">
      <v>453708.05</v>
    </nc>
  </rcc>
  <rcc rId="2631" sId="1" numFmtId="4">
    <oc r="Z328">
      <v>333526.12</v>
    </oc>
    <nc r="Z328">
      <v>333526.06</v>
    </nc>
  </rcc>
  <rcc rId="2632" sId="1" numFmtId="4">
    <oc r="AA328">
      <v>113427.01</v>
    </oc>
    <nc r="AA328">
      <v>113427.07</v>
    </nc>
  </rcc>
  <rcc rId="2633" sId="1">
    <nc r="AI328" t="inlineStr">
      <is>
        <t>AA1 din 27.06.2019</t>
      </is>
    </nc>
  </rcc>
  <rcv guid="{C408A2F1-296F-4EAD-B15B-336D73846FDD}" action="delete"/>
  <rdn rId="0" localSheetId="1" customView="1" name="Z_C408A2F1_296F_4EAD_B15B_336D73846FDD_.wvu.PrintArea" hidden="1" oldHidden="1">
    <formula>Sheet1!$A$1:$AL$467</formula>
    <oldFormula>Sheet1!$A$1:$AL$467</oldFormula>
  </rdn>
  <rdn rId="0" localSheetId="1" customView="1" name="Z_C408A2F1_296F_4EAD_B15B_336D73846FDD_.wvu.FilterData" hidden="1" oldHidden="1">
    <formula>Sheet1!$A$1:$AL$79</formula>
    <oldFormula>Sheet1!$A$1:$AL$79</oldFormula>
  </rdn>
  <rcv guid="{C408A2F1-296F-4EAD-B15B-336D73846FDD}"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40" sId="1" numFmtId="4">
    <nc r="AF213">
      <v>0</v>
    </nc>
  </rcc>
  <rcc rId="4641" sId="1">
    <nc r="AG213">
      <f>AE213+AF213</f>
    </nc>
  </rcc>
  <rcc rId="4642" sId="1">
    <nc r="AH213" t="inlineStr">
      <is>
        <t xml:space="preserve"> în implementare</t>
      </is>
    </nc>
  </rcc>
</revisions>
</file>

<file path=xl/revisions/revisionLog2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AA4DFE-88B1-4674-95ED-5FCD7A50BC22}" action="delete"/>
  <rdn rId="0" localSheetId="1" customView="1" name="Z_5AAA4DFE_88B1_4674_95ED_5FCD7A50BC22_.wvu.PrintArea" hidden="1" oldHidden="1">
    <formula>Sheet1!$A$1:$AL$467</formula>
    <oldFormula>Sheet1!$A$1:$AL$467</oldFormula>
  </rdn>
  <rdn rId="0" localSheetId="1" customView="1" name="Z_5AAA4DFE_88B1_4674_95ED_5FCD7A50BC22_.wvu.FilterData" hidden="1" oldHidden="1">
    <formula>Sheet1!$A$1:$AL$436</formula>
    <oldFormula>Sheet1!$A$1:$AL$436</oldFormula>
  </rdn>
  <rcv guid="{5AAA4DFE-88B1-4674-95ED-5FCD7A50BC22}" action="add"/>
</revisions>
</file>

<file path=xl/revisions/revisionLog2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7F3E0E-3A8E-4B82-8170-33752259B7DB}" action="delete"/>
  <rdn rId="0" localSheetId="1" customView="1" name="Z_A87F3E0E_3A8E_4B82_8170_33752259B7DB_.wvu.PrintArea" hidden="1" oldHidden="1">
    <formula>Sheet1!$A$1:$AL$467</formula>
    <oldFormula>Sheet1!$A$1:$AL$467</oldFormula>
  </rdn>
  <rdn rId="0" localSheetId="1" customView="1" name="Z_A87F3E0E_3A8E_4B82_8170_33752259B7DB_.wvu.FilterData" hidden="1" oldHidden="1">
    <formula>Sheet1!$A$6:$AL$467</formula>
    <oldFormula>Sheet1!$A$6:$AL$467</oldFormula>
  </rdn>
  <rcv guid="{A87F3E0E-3A8E-4B82-8170-33752259B7DB}" action="add"/>
</revisions>
</file>

<file path=xl/revisions/revisionLog2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40" sId="1">
    <oc r="AJ289">
      <f>1614958.09+116790.02+175736.29+210865.38+813289.51</f>
    </oc>
    <nc r="AJ289">
      <f>1614958.09+116790.02+175736.29+210865.38+813289.51+430129.67</f>
    </nc>
  </rcc>
  <rcc rId="2641" sId="1">
    <oc r="AJ94">
      <f>32343.8+5296.22+6433.86</f>
    </oc>
    <nc r="AJ94">
      <f>32343.8+5296.22+6433.86+7045.82</f>
    </nc>
  </rcc>
  <rcc rId="2642" sId="1">
    <oc r="AK94">
      <f>4946.7+810.01+983.99</f>
    </oc>
    <nc r="AK94">
      <f>4946.7+810.01+983.99+1077.59</f>
    </nc>
  </rcc>
  <rcc rId="2643" sId="1">
    <oc r="AJ175">
      <f>31913.97+11281.2+7318.5</f>
    </oc>
    <nc r="AJ175">
      <f>31913.97+11281.2+7318.5+6479.55</f>
    </nc>
  </rcc>
  <rcc rId="2644" sId="1">
    <oc r="AK175">
      <f>5112.75+1725.36+1119.3</f>
    </oc>
    <nc r="AK175">
      <f>5112.75+1725.36+1119.3+990.99</f>
    </nc>
  </rcc>
  <rcc rId="2645" sId="1">
    <oc r="AJ69">
      <f>38178.44+14834.2+3.22+14453.49</f>
    </oc>
    <nc r="AJ69">
      <f>38178.44+14834.2+3.22+14453.49+13750.33</f>
    </nc>
  </rcc>
  <rcc rId="2646" sId="1">
    <oc r="AK69">
      <f>3425.9+2621.59-3.22+2550.61</f>
    </oc>
    <nc r="AK69">
      <f>3425.9+2621.59-3.22+2550.61+2426.53</f>
    </nc>
  </rcc>
  <rcc rId="2647" sId="1">
    <oc r="AJ121">
      <f>29969-3256.9+24552.01</f>
    </oc>
    <nc r="AJ121">
      <f>29969-3256.9+24552.01-3830.33</f>
    </nc>
  </rcc>
  <rcc rId="2648" sId="1" numFmtId="4">
    <oc r="AK121">
      <v>3256.9</v>
    </oc>
    <nc r="AK121">
      <f>3256.9+3830.83</f>
    </nc>
  </rcc>
  <rcc rId="2649" sId="1">
    <oc r="AJ191">
      <f>34229.54+12542.88+12551.87</f>
    </oc>
    <nc r="AJ191">
      <f>34229.54+12542.88+12551.87+33546.82</f>
    </nc>
  </rcc>
  <rcc rId="2650" sId="1">
    <oc r="AK191">
      <f>2950.38+2215.05</f>
    </oc>
    <nc r="AK191">
      <f>2950.38+2215.05+10126.08</f>
    </nc>
  </rcc>
  <rcc rId="2651" sId="1">
    <oc r="AJ214">
      <f>29900+23800.54+29900+16017.04</f>
    </oc>
    <nc r="AJ214">
      <f>29900+23800.54+29900+16017.04+29900</f>
    </nc>
  </rcc>
  <rcc rId="2652" sId="1">
    <oc r="AJ107">
      <f>28223.2-2998.75+22606.01+22326.95-3666.19+27637.47-3510</f>
    </oc>
    <nc r="AJ107">
      <f>28223.2-2998.75+22606.01+22326.95-3666.19+27637.47-3510+26460</f>
    </nc>
  </rcc>
  <rcc rId="2653" sId="1">
    <oc r="AJ180">
      <f>14394.24+4020.28</f>
    </oc>
    <nc r="AJ180">
      <f>14394.24+4020.28+12528.17+14000</f>
    </nc>
  </rcc>
  <rcc rId="2654" sId="1" numFmtId="4">
    <oc r="AJ199">
      <v>0</v>
    </oc>
    <nc r="AJ199">
      <v>39091.35</v>
    </nc>
  </rcc>
  <rcc rId="2655" sId="1" numFmtId="4">
    <oc r="AK199">
      <v>0</v>
    </oc>
    <nc r="AK199">
      <v>5978.68</v>
    </nc>
  </rcc>
  <rcc rId="2656" sId="1" numFmtId="4">
    <oc r="AJ185">
      <v>0</v>
    </oc>
    <nc r="AJ185">
      <v>317362.76</v>
    </nc>
  </rcc>
  <rcc rId="2657" sId="1" numFmtId="4">
    <oc r="AJ172">
      <v>0</v>
    </oc>
    <nc r="AJ172">
      <v>62163.9</v>
    </nc>
  </rcc>
  <rcc rId="2658" sId="1" numFmtId="4">
    <oc r="AK172">
      <v>0</v>
    </oc>
    <nc r="AK172">
      <v>9507.42</v>
    </nc>
  </rcc>
  <rcc rId="2659" sId="1" numFmtId="4">
    <oc r="AJ95">
      <v>0</v>
    </oc>
    <nc r="AJ95">
      <v>8011.13</v>
    </nc>
  </rcc>
  <rcc rId="2660" sId="1" numFmtId="4">
    <oc r="AK95">
      <v>0</v>
    </oc>
    <nc r="AK95">
      <v>1225.23</v>
    </nc>
  </rcc>
  <rcc rId="2661" sId="1" numFmtId="4">
    <oc r="AJ32">
      <v>0</v>
    </oc>
    <nc r="AJ32">
      <v>43440.27</v>
    </nc>
  </rcc>
  <rcc rId="2662" sId="1" numFmtId="4">
    <oc r="AK32">
      <v>0</v>
    </oc>
    <nc r="AK32">
      <v>6643.81</v>
    </nc>
  </rcc>
  <rcc rId="2663" sId="1" numFmtId="4">
    <nc r="AJ429">
      <v>45208.31</v>
    </nc>
  </rcc>
  <rcc rId="2664" sId="1" numFmtId="4">
    <nc r="AK429">
      <v>0</v>
    </nc>
  </rcc>
  <rcc rId="2665" sId="1" numFmtId="4">
    <nc r="AJ78">
      <v>25182.5</v>
    </nc>
  </rcc>
  <rcc rId="2666" sId="1" numFmtId="4">
    <nc r="AK78">
      <v>0</v>
    </nc>
  </rcc>
  <rcc rId="2667" sId="1">
    <oc r="AJ348">
      <f>413506.52+39634.08+203862.73+22675.21+238112.3-5677.61+315671.54+256839.5</f>
    </oc>
    <nc r="AJ348">
      <f>413506.52+39634.08+203862.73+22675.21+238112.3-5677.61+315671.54+256839.5+48499.95</f>
    </nc>
  </rcc>
  <rcc rId="2668" sId="1">
    <oc r="AJ372">
      <f>548484.27-41743+295621.66+234985.63-55420.85+55420.85-13710.7+526395.38+34736.49</f>
    </oc>
    <nc r="AJ372">
      <f>548484.27-41743+295621.66+234985.63-55420.85+55420.85-13710.7+526395.38+34736.49+361108.85</f>
    </nc>
  </rcc>
  <rcc rId="2669" sId="1">
    <oc r="AK372">
      <f>41743.03+36457.11+62913.45+29950.16+6624.41</f>
    </oc>
    <nc r="AK372">
      <f>41743.03+36457.11+62913.45+29950.16+6624.41+62702.66</f>
    </nc>
  </rcc>
  <rcc rId="2670" sId="1">
    <oc r="AK348">
      <f>51329.52+25659.99+79433+5677.61+44422.4</f>
    </oc>
    <nc r="AK348">
      <f>51329.52+25659.99+79433+5677.61+44422.4+12020.11</f>
    </nc>
  </rcc>
  <rcc rId="2671" sId="1">
    <oc r="AJ35">
      <f>75266.37-5365.18+40445.22-5442.14+41025.35-5438.13+40995.18</f>
    </oc>
    <nc r="AJ35">
      <f>75266.37-5365.18+40445.22-5442.14+41025.35-5438.13+40995.18-5548.59</f>
    </nc>
  </rcc>
  <rcc rId="2672" sId="1">
    <oc r="AK35">
      <f>5108.77+5365.18+5442.14+5438.13</f>
    </oc>
    <nc r="AK35">
      <f>5108.77+5365.18+5442.14+5438.13+5548.59</f>
    </nc>
  </rcc>
  <rcc rId="2673" sId="1">
    <oc r="AJ158">
      <f>21406.41+58309.25</f>
    </oc>
    <nc r="AJ158">
      <f>21406.41+58309.25+17499.8</f>
    </nc>
  </rcc>
  <rcc rId="2674" sId="1">
    <oc r="AK158">
      <f>3273.92+8917.89</f>
    </oc>
    <nc r="AK158">
      <f>3273.92+8917.89+2676.44</f>
    </nc>
  </rcc>
  <rcc rId="2675" sId="1">
    <oc r="AJ82">
      <f>82700.83+16407.5-2095.99+13973.28+13168.81+13492.57</f>
    </oc>
    <nc r="AJ82">
      <f>82700.83+16407.5-2095.99+13973.28+13168.81+13492.57+33256.21</f>
    </nc>
  </rcc>
  <rcc rId="2676" sId="1">
    <oc r="AK82">
      <f>10873.44+2461.12+2095.99+2014.06+2381.06</f>
    </oc>
    <nc r="AK82">
      <f>10873.44+2461.12+2095.99+2014.06+2381.06+5613.51</f>
    </nc>
  </rcc>
  <rcc rId="2677" sId="1">
    <oc r="AJ72">
      <f>61496.4+125218.28+42840</f>
    </oc>
    <nc r="AJ72">
      <f>61496.4+125218.28+42840+78452.67</f>
    </nc>
  </rcc>
  <rcc rId="2678" sId="1">
    <oc r="AK72">
      <f>9405.33+19151.03+6552</f>
    </oc>
    <nc r="AK72">
      <f>9405.33+19151.03+6552+11998.64</f>
    </nc>
  </rcc>
  <rcc rId="2679" sId="1">
    <oc r="AJ293">
      <f>14488.25+50968.69+59419.29+14618.26</f>
    </oc>
    <nc r="AJ293">
      <f>14488.25+50968.69+59419.29+14618.26+66415.01</f>
    </nc>
  </rcc>
  <rcc rId="2680" sId="1">
    <oc r="AK293">
      <f>2215.85+7795.21+9087.66+2235.73</f>
    </oc>
    <nc r="AK293">
      <f>2215.85+7795.21+9087.66+2235.73+10157.58</f>
    </nc>
  </rcc>
  <rcc rId="2681" sId="1">
    <oc r="AJ220">
      <f>172923.58+1813.03+21160-1356.83+11126.5-1232.65+26252.82+7940.28</f>
    </oc>
    <nc r="AJ220">
      <f>172923.58+1813.03+21160-1356.83+11126.5-1232.65+26252.82+7940.28+37890.56</f>
    </nc>
  </rcc>
  <rcc rId="2682" sId="1">
    <oc r="AK220">
      <f>21665.98+2851.77+1356.83+1701.7+1232.65+1214.39</f>
    </oc>
    <nc r="AK220">
      <f>21665.98+2851.77+1356.83+1701.7+1232.65+1214.39+5795.03</f>
    </nc>
  </rcc>
  <rcc rId="2683" sId="1">
    <oc r="AJ87">
      <f>4830.98+7367.8+23538.62+16315.75</f>
    </oc>
    <nc r="AJ87">
      <f>4830.98+7367.8+23538.62+16315.75+114299.5</f>
    </nc>
  </rcc>
  <rcc rId="2684" sId="1">
    <oc r="AK87">
      <f>738.85+1126.84+3600.02+2495.35</f>
    </oc>
    <nc r="AK87">
      <f>738.85+1126.84+3600.02+2495.35+17481.1</f>
    </nc>
  </rcc>
  <rcc rId="2685" sId="1">
    <oc r="AJ103">
      <f>23754.1+18458.09</f>
    </oc>
    <nc r="AJ103">
      <f>23754.1+18458.09+169515.5</f>
    </nc>
  </rcc>
  <rcc rId="2686" sId="1">
    <oc r="AK103">
      <f>3632.98+2823.02</f>
    </oc>
    <nc r="AK103">
      <f>3632.98+2823.02+25925.91</f>
    </nc>
  </rcc>
  <rcc rId="2687" sId="1">
    <oc r="AJ8">
      <f>21516.9+45941.89+93672.06</f>
    </oc>
    <nc r="AJ8">
      <f>21516.9+45941.89+93672.06+106670.77</f>
    </nc>
  </rcc>
  <rcc rId="2688" sId="1">
    <oc r="AK8">
      <f>3290.82+7026.4+14326.31</f>
    </oc>
    <nc r="AK8">
      <f>3290.82+7026.4+14326.31+16314.36</f>
    </nc>
  </rcc>
  <rcc rId="2689" sId="1">
    <oc r="AJ351">
      <f>31070.04+37860.62</f>
    </oc>
    <nc r="AJ351">
      <f>31070.04+37860.62+76874</f>
    </nc>
  </rcc>
  <rcc rId="2690" sId="1">
    <oc r="AK351">
      <f>4751.89+5790.44</f>
    </oc>
    <nc r="AK351">
      <f>4751.89+5790.44+11757.2</f>
    </nc>
  </rcc>
  <rcc rId="2691" sId="1">
    <oc r="AJ126">
      <f>41000-4123.49+46557.9+41000-738.9+41000</f>
    </oc>
    <nc r="AJ126">
      <f>41000-4123.49+46557.9+41000-738.9+41000-662.4+104836.1</f>
    </nc>
  </rcc>
  <rcc rId="2692" sId="1">
    <oc r="AK126">
      <f>5639.94+7120.62+6157.58</f>
    </oc>
    <nc r="AK126">
      <f>5639.94+7120.62+6157.58+22203.04</f>
    </nc>
  </rcc>
  <rcc rId="2693" sId="1">
    <oc r="AK166">
      <f>3891.97+7275.84</f>
    </oc>
    <nc r="AK166">
      <f>3891.97+7275.84+13338</f>
    </nc>
  </rcc>
  <rcc rId="2694" sId="1">
    <oc r="AJ166">
      <f>29938.25-3891.97+46974.03</f>
    </oc>
    <nc r="AJ166">
      <f>29938.25-3891.97+46974.03+87210</f>
    </nc>
  </rcc>
  <rcc rId="2695" sId="1">
    <oc r="AJ40">
      <f>35492.2+30895.14+16961.29+15519.4+23454.6</f>
    </oc>
    <nc r="AJ40">
      <f>35492.2+30895.14+16961.29+15519.4+23454.6+5703.34</f>
    </nc>
  </rcc>
  <rcc rId="2696" sId="1">
    <oc r="AK40">
      <f>4135.85+8894.04</f>
    </oc>
    <nc r="AK40">
      <f>4135.85+8894.04+3988.86</f>
    </nc>
  </rcc>
  <rcc rId="2697" sId="1">
    <oc r="AK9">
      <f>3856+2638.23+7747.66+2384.82+2297.51</f>
    </oc>
    <nc r="AK9">
      <f>3856+2638.23+7747.66+2384.82+2297.51+2436.08</f>
    </nc>
  </rcc>
  <rcc rId="2698" sId="1">
    <oc r="AJ377">
      <f>9089.05+29577.7+15247.3</f>
    </oc>
    <nc r="AJ377">
      <f>9089.05+29577.7+15247.3+43458.57</f>
    </nc>
  </rcc>
  <rcc rId="2699" sId="1">
    <oc r="AK377">
      <f>1390.09+4523.64+2331.94</f>
    </oc>
    <nc r="AK377">
      <f>1390.09+4523.64+2331.94+6646.61</f>
    </nc>
  </rcc>
  <rcc rId="2700" sId="1">
    <oc r="AJ12">
      <f>24006.26+36929.64+11537.62</f>
    </oc>
    <nc r="AJ12">
      <f>24006.26+36929.64+11537.62+59157.12</f>
    </nc>
  </rcc>
  <rcc rId="2701" sId="1">
    <oc r="AK12">
      <f>3671.55+5648.06+1764.58</f>
    </oc>
    <nc r="AK12">
      <f>3671.55+5648.06+1764.58+9047.56</f>
    </nc>
  </rcc>
  <rcc rId="2702" sId="1">
    <oc r="AJ76">
      <f>49488-933.45</f>
    </oc>
    <nc r="AJ76">
      <f>49488-933.45+20905.75</f>
    </nc>
  </rcc>
  <rcc rId="2703" sId="1" numFmtId="4">
    <oc r="AK76">
      <v>7425.99</v>
    </oc>
    <nc r="AK76">
      <f>7425.99+3197.35</f>
    </nc>
  </rcc>
  <rcc rId="2704" sId="1" numFmtId="4">
    <oc r="AJ170">
      <v>20646.5</v>
    </oc>
    <nc r="AJ170">
      <f>20646.5+51929.52</f>
    </nc>
  </rcc>
  <rcc rId="2705" sId="1" numFmtId="4">
    <oc r="AK170">
      <v>3157.7</v>
    </oc>
    <nc r="AK170">
      <f>3157.7+7942.16</f>
    </nc>
  </rcc>
  <rcc rId="2706" sId="1">
    <oc r="AJ9">
      <f>49080.06+14949.98+41134.39-2384.82+15898.81+15022.21</f>
    </oc>
    <nc r="AJ9">
      <f>49080.06+14949.98+41134.39-2384.82+15898.81+15022.21+13804.48</f>
    </nc>
  </rcc>
  <rcc rId="2707" sId="1" numFmtId="4">
    <nc r="AJ240">
      <v>173365</v>
    </nc>
  </rcc>
  <rcc rId="2708" sId="1" numFmtId="4">
    <nc r="AK240">
      <v>0</v>
    </nc>
  </rcc>
  <rcc rId="2709" sId="1" numFmtId="4">
    <nc r="AJ239">
      <v>173365</v>
    </nc>
  </rcc>
  <rcc rId="2710" sId="1" numFmtId="4">
    <nc r="AK239">
      <v>0</v>
    </nc>
  </rcc>
  <rcc rId="2711" sId="1">
    <oc r="AJ246">
      <f>9840778.73+367299.37</f>
    </oc>
    <nc r="AJ246">
      <f>9840778.73+367299.37+1567368.94</f>
    </nc>
  </rcc>
  <rcc rId="2712" sId="1">
    <oc r="AJ251">
      <f>10642106.1+921431.45+112475.1</f>
    </oc>
    <nc r="AJ251">
      <f>10642106.1+921431.45+112475.1+751485.06</f>
    </nc>
  </rcc>
  <rcc rId="2713" sId="1" numFmtId="4">
    <oc r="AJ255">
      <v>4914766.6399999997</v>
    </oc>
    <nc r="AJ255">
      <f>4914766.64+991433.5</f>
    </nc>
  </rcc>
  <rcc rId="2714" sId="1">
    <oc r="AJ258">
      <f>770912.58+137660.46+105577.25+147498.87</f>
    </oc>
    <nc r="AJ258">
      <f>770912.58+137660.46+105577.25+147498.87+3615037.95</f>
    </nc>
  </rcc>
  <rcc rId="2715" sId="1" numFmtId="4">
    <oc r="AJ259">
      <v>7504368.7699999996</v>
    </oc>
    <nc r="AJ259">
      <f>7504368.77+277081.02</f>
    </nc>
  </rcc>
  <rcc rId="2716" sId="1" numFmtId="4">
    <oc r="AJ264">
      <v>2956760.5</v>
    </oc>
    <nc r="AJ264">
      <f>2956760.5+333305.63</f>
    </nc>
  </rcc>
  <rcc rId="2717" sId="1">
    <oc r="AJ281">
      <f>279828.68+528409.7+438718.76+190085.92+282362.84</f>
    </oc>
    <nc r="AJ281">
      <f>279828.68+528409.7+438718.76+190085.92+282362.84+626562.73</f>
    </nc>
  </rcc>
  <rcc rId="2718" sId="1">
    <oc r="AJ373">
      <f>16075.53+34286.38</f>
    </oc>
    <nc r="AJ373">
      <f>16075.53+34286.38+114041.85</f>
    </nc>
  </rcc>
  <rcc rId="2719" sId="1">
    <oc r="AJ314">
      <f>353113.65+235442.42</f>
    </oc>
    <nc r="AJ314">
      <f>353113.65+235442.42+97604.52</f>
    </nc>
  </rcc>
  <rcc rId="2720" sId="1" numFmtId="4">
    <oc r="AJ407">
      <v>23394.54</v>
    </oc>
    <nc r="AJ407">
      <f>23394.54+31870.76</f>
    </nc>
  </rcc>
  <rcc rId="2721" sId="1">
    <oc r="AJ345">
      <f>821485.68+1164341.89+225959.67+840790.22+382.88</f>
    </oc>
    <nc r="AJ345">
      <f>821485.68+1164341.89+225959.67+840790.22+382.88+832032.46</f>
    </nc>
  </rcc>
  <rcc rId="2722" sId="1">
    <oc r="AJ331">
      <f>104375.19+162416.48+52075.09</f>
    </oc>
    <nc r="AJ331">
      <f>104375.19+162416.48+52075.09+194641.75</f>
    </nc>
  </rcc>
  <rcc rId="2723" sId="1">
    <oc r="AJ426">
      <f>120031.42+149365.14</f>
    </oc>
    <nc r="AJ426">
      <f>120031.42+149365.14+291186.94</f>
    </nc>
  </rcc>
  <rcc rId="2724" sId="1">
    <oc r="AJ328">
      <f>145011.94+359253.32</f>
    </oc>
    <nc r="AJ328">
      <f>145011.94+359253.32+95755.51</f>
    </nc>
  </rcc>
  <rcc rId="2725" sId="1">
    <oc r="AK311">
      <f>20890.44+10057.4+9972.73+19214.05+7939.81</f>
    </oc>
    <nc r="AK311">
      <f>20890.44+10057.4+9972.73+19214.05+7939.81+11378.95</f>
    </nc>
  </rcc>
  <rcc rId="2726" sId="1">
    <oc r="AJ409">
      <f>99227.15-8607.73</f>
    </oc>
    <nc r="AJ409">
      <f>99227.15-8607.73-3982.27</f>
    </nc>
  </rcc>
  <rcc rId="2727" sId="1" numFmtId="4">
    <oc r="AK409">
      <v>8607.73</v>
    </oc>
    <nc r="AK409">
      <f>8607.73+3982.27</f>
    </nc>
  </rcc>
  <rcc rId="2728" sId="1">
    <oc r="AJ400">
      <f>99790.4-11343.79+72694.94+14258.38+9077.47+175834.51</f>
    </oc>
    <nc r="AJ400">
      <f>99790.4-11343.79+72694.94+14258.38+9077.47+175834.51-9712.84</f>
    </nc>
  </rcc>
  <rcc rId="2729" sId="1">
    <oc r="AK400">
      <f>11343.79+2719.14+19935.24+14501.99</f>
    </oc>
    <nc r="AK400">
      <f>11343.79+2719.14+19935.24+14501.99+9712.84</f>
    </nc>
  </rcc>
  <rcc rId="2730" sId="1">
    <oc r="AJ311">
      <f>203464.35+52738-9972.73+62266+18526.35+82225+36211.5</f>
    </oc>
    <nc r="AJ311">
      <f>203464.35+52738-9972.73+62266+18526.35+82225+36211.55+59667.9</f>
    </nc>
  </rcc>
  <rcc rId="2731" sId="1">
    <oc r="AJ299">
      <f>208329.69+72239-12893.42+110533+33743.88+27302.86+101234.17</f>
    </oc>
    <nc r="AJ299">
      <f>208329.69+72239-12893.42+110533+33743.88+27302.86+184981.92</f>
    </nc>
  </rcc>
</revisions>
</file>

<file path=xl/revisions/revisionLog2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32" sId="1" numFmtId="4">
    <oc r="AJ429">
      <v>45208.31</v>
    </oc>
    <nc r="AJ429">
      <v>56061</v>
    </nc>
  </rcc>
</revisions>
</file>

<file path=xl/revisions/revisionLog2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33" sId="1">
    <oc r="AH309" t="inlineStr">
      <is>
        <t xml:space="preserve"> în implementare</t>
      </is>
    </oc>
    <nc r="AH309" t="inlineStr">
      <is>
        <t>finalizat</t>
      </is>
    </nc>
  </rcc>
  <rcc rId="2734" sId="1">
    <oc r="AH352" t="inlineStr">
      <is>
        <t xml:space="preserve"> în implementare</t>
      </is>
    </oc>
    <nc r="AH352" t="inlineStr">
      <is>
        <t>finalizat</t>
      </is>
    </nc>
  </rcc>
  <rcv guid="{5AAA4DFE-88B1-4674-95ED-5FCD7A50BC22}" action="delete"/>
  <rdn rId="0" localSheetId="1" customView="1" name="Z_5AAA4DFE_88B1_4674_95ED_5FCD7A50BC22_.wvu.PrintArea" hidden="1" oldHidden="1">
    <formula>Sheet1!$A$1:$AL$467</formula>
    <oldFormula>Sheet1!$A$1:$AL$467</oldFormula>
  </rdn>
  <rdn rId="0" localSheetId="1" customView="1" name="Z_5AAA4DFE_88B1_4674_95ED_5FCD7A50BC22_.wvu.FilterData" hidden="1" oldHidden="1">
    <formula>Sheet1!$A$1:$AL$436</formula>
    <oldFormula>Sheet1!$A$1:$AL$436</oldFormula>
  </rdn>
  <rcv guid="{5AAA4DFE-88B1-4674-95ED-5FCD7A50BC22}" action="add"/>
</revisions>
</file>

<file path=xl/revisions/revisionLog2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Sheet1!$A$1:$AL$467</formula>
    <oldFormula>Sheet1!$A$1:$AL$467</oldFormula>
  </rdn>
  <rdn rId="0" localSheetId="1" customView="1" name="Z_36624B2D_80F9_4F79_AC4A_B3547C36F23F_.wvu.FilterData" hidden="1" oldHidden="1">
    <formula>Sheet1!$A$1:$AL$436</formula>
    <oldFormula>Sheet1!$A$1:$AL$436</oldFormula>
  </rdn>
  <rcv guid="{36624B2D-80F9-4F79-AC4A-B3547C36F23F}" action="add"/>
</revisions>
</file>

<file path=xl/revisions/revisionLog2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AA4DFE-88B1-4674-95ED-5FCD7A50BC22}" action="delete"/>
  <rdn rId="0" localSheetId="1" customView="1" name="Z_5AAA4DFE_88B1_4674_95ED_5FCD7A50BC22_.wvu.PrintArea" hidden="1" oldHidden="1">
    <formula>Sheet1!$A$1:$AL$467</formula>
    <oldFormula>Sheet1!$A$1:$AL$467</oldFormula>
  </rdn>
  <rdn rId="0" localSheetId="1" customView="1" name="Z_5AAA4DFE_88B1_4674_95ED_5FCD7A50BC22_.wvu.FilterData" hidden="1" oldHidden="1">
    <formula>Sheet1!$A$1:$AL$436</formula>
    <oldFormula>Sheet1!$A$1:$AL$436</oldFormula>
  </rdn>
  <rcv guid="{5AAA4DFE-88B1-4674-95ED-5FCD7A50BC22}" action="add"/>
</revisions>
</file>

<file path=xl/revisions/revisionLog2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1" sId="1">
    <oc r="AG54">
      <f>AE54+AF54+AC54</f>
    </oc>
    <nc r="AG54">
      <f>AE54+AF54</f>
    </nc>
  </rcc>
  <rcc rId="2742" sId="1">
    <nc r="AG55">
      <f>AE55+AF55</f>
    </nc>
  </rcc>
  <rcc rId="2743" sId="1" numFmtId="4">
    <nc r="AF55">
      <v>0</v>
    </nc>
  </rcc>
  <rcc rId="2744" sId="1" numFmtId="4">
    <nc r="AF54">
      <v>0</v>
    </nc>
  </rcc>
  <rcv guid="{36624B2D-80F9-4F79-AC4A-B3547C36F23F}" action="delete"/>
  <rdn rId="0" localSheetId="1" customView="1" name="Z_36624B2D_80F9_4F79_AC4A_B3547C36F23F_.wvu.PrintArea" hidden="1" oldHidden="1">
    <formula>Sheet1!$A$1:$AL$467</formula>
    <oldFormula>Sheet1!$A$1:$AL$467</oldFormula>
  </rdn>
  <rdn rId="0" localSheetId="1" customView="1" name="Z_36624B2D_80F9_4F79_AC4A_B3547C36F23F_.wvu.FilterData" hidden="1" oldHidden="1">
    <formula>Sheet1!$A$1:$AL$436</formula>
    <oldFormula>Sheet1!$A$1:$AL$436</oldFormula>
  </rdn>
  <rcv guid="{36624B2D-80F9-4F79-AC4A-B3547C36F23F}" action="add"/>
</revisions>
</file>

<file path=xl/revisions/revisionLog2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7" sId="1" numFmtId="4">
    <oc r="AG74">
      <v>397889</v>
    </oc>
    <nc r="AG74">
      <f>AE74+AF74</f>
    </nc>
  </rcc>
</revisions>
</file>

<file path=xl/revisions/revisionLog2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8" sId="1">
    <oc r="AG128">
      <f>AE128+AF128+AB128</f>
    </oc>
    <nc r="AG128">
      <f>AE128+AF128</f>
    </nc>
  </rcc>
  <rcc rId="2749" sId="1">
    <oc r="AG129">
      <f>AE129+AF129+AB129</f>
    </oc>
    <nc r="AG129">
      <f>AE129+AF129</f>
    </nc>
  </rcc>
  <rcc rId="2750" sId="1">
    <oc r="AG130">
      <f>AE130+AF130+AB130</f>
    </oc>
    <nc r="AG130">
      <f>AE130+AF130</f>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643" sId="1" ref="A450:XFD450" action="insertRow">
    <undo index="65535" exp="area" ref3D="1" dr="$H$1:$N$1048576" dn="Z_65B035E3_87FA_46C5_996E_864F2C8D0EBC_.wvu.Cols" sId="1"/>
  </rrc>
  <rcc rId="4644" sId="1">
    <nc r="A450">
      <v>192</v>
    </nc>
  </rcc>
  <rcc rId="4645" sId="1">
    <nc r="B450">
      <v>127604</v>
    </nc>
  </rcc>
  <rcc rId="4646" sId="1">
    <nc r="C450">
      <v>587</v>
    </nc>
  </rcc>
  <rcc rId="4647" sId="1">
    <nc r="D450" t="inlineStr">
      <is>
        <t>MM</t>
      </is>
    </nc>
  </rcc>
  <rcc rId="4648" sId="1">
    <nc r="E450" t="inlineStr">
      <is>
        <t xml:space="preserve">AP1/11i /1.1 </t>
      </is>
    </nc>
  </rcc>
  <rcc rId="4649" sId="1" odxf="1" dxf="1">
    <nc r="F450" t="inlineStr">
      <is>
        <t>IP12/2018
(MySMIS: 
POCA/ 399/1/1)</t>
      </is>
    </nc>
    <odxf>
      <font>
        <sz val="12"/>
      </font>
      <alignment horizontal="general"/>
    </odxf>
    <ndxf>
      <font>
        <sz val="12"/>
      </font>
      <alignment horizontal="left"/>
    </ndxf>
  </rcc>
  <rcc rId="4650" sId="1">
    <nc r="G450" t="inlineStr">
      <is>
        <t>Consolidarea capacității ISC de a-și exercita competențele într-un mod unitar, eficient și eficace</t>
      </is>
    </nc>
  </rcc>
  <rcc rId="4651" sId="1" odxf="1" dxf="1">
    <nc r="H450" t="inlineStr">
      <is>
        <t>Inspectoratul de Stat în Construcții</t>
      </is>
    </nc>
    <odxf>
      <font>
        <sz val="12"/>
        <color auto="1"/>
        <charset val="1"/>
      </font>
      <alignment horizontal="left"/>
    </odxf>
    <ndxf>
      <font>
        <sz val="12"/>
        <color auto="1"/>
        <name val="Trebuchet MS"/>
        <charset val="1"/>
        <scheme val="none"/>
      </font>
      <alignment horizontal="general"/>
    </ndxf>
  </rcc>
  <rcc rId="4652" sId="1">
    <nc r="I450" t="inlineStr">
      <is>
        <t>n.a</t>
      </is>
    </nc>
  </rcc>
  <rcc rId="4653" sId="1">
    <nc r="J450" t="inlineStr">
      <is>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construcț+J482ii</t>
      </is>
    </nc>
  </rcc>
  <rcc rId="4654" sId="1" numFmtId="19">
    <nc r="K450">
      <v>43663</v>
    </nc>
  </rcc>
  <rcc rId="4655" sId="1" numFmtId="19">
    <nc r="L450">
      <v>44578</v>
    </nc>
  </rcc>
  <rcc rId="4656" sId="1">
    <nc r="M450">
      <f>S450/AE450*100</f>
    </nc>
  </rcc>
  <rcc rId="4657" sId="1">
    <nc r="N450" t="inlineStr">
      <is>
        <t xml:space="preserve"> Proiect cu acoperire națională</t>
      </is>
    </nc>
  </rcc>
  <rcc rId="4658" sId="1">
    <nc r="O450" t="inlineStr">
      <is>
        <t>București</t>
      </is>
    </nc>
  </rcc>
  <rcc rId="4659" sId="1">
    <nc r="P450" t="inlineStr">
      <is>
        <t>Bucuresti</t>
      </is>
    </nc>
  </rcc>
  <rcc rId="4660" sId="1">
    <nc r="Q450" t="inlineStr">
      <is>
        <t>APC</t>
      </is>
    </nc>
  </rcc>
  <rcc rId="4661" sId="1">
    <nc r="R450" t="inlineStr">
      <is>
        <t>119 - Investiții în capacitatea instituțională și în eficiența administrațiilor și a serviciilor publice la nivel național, regional și local, în perspectiva realizării de reforme, a unei mai bune legiferări și a bunei guvernanțe</t>
      </is>
    </nc>
  </rcc>
  <rcc rId="4662" sId="1">
    <nc r="S450">
      <f>T450+U450</f>
    </nc>
  </rcc>
  <rcc rId="4663" sId="1" numFmtId="4">
    <nc r="T450">
      <v>7440987.5499999998</v>
    </nc>
  </rcc>
  <rcc rId="4664" sId="1" numFmtId="4">
    <nc r="U450">
      <v>1786280.24</v>
    </nc>
  </rcc>
  <rcc rId="4665" sId="1">
    <nc r="V450">
      <f>W450+X450</f>
    </nc>
  </rcc>
  <rcc rId="4666" sId="1" numFmtId="4">
    <nc r="W450">
      <v>1138033.3600000001</v>
    </nc>
  </rcc>
  <rcc rId="4667" sId="1" numFmtId="4">
    <nc r="X450">
      <v>401913.08</v>
    </nc>
  </rcc>
  <rcc rId="4668" sId="1">
    <nc r="Y450">
      <f>Z450+AA450</f>
    </nc>
  </rcc>
  <rcc rId="4669" sId="1" numFmtId="4">
    <nc r="Z450">
      <v>175082.08</v>
    </nc>
  </rcc>
  <rcc rId="4670" sId="1" numFmtId="4">
    <nc r="AA450">
      <v>44656.99</v>
    </nc>
  </rcc>
  <rcc rId="4671" sId="1">
    <nc r="AB450">
      <f>AC450+AD450</f>
    </nc>
  </rcc>
  <rcc rId="4672" sId="1" numFmtId="4">
    <nc r="AC450">
      <v>0</v>
    </nc>
  </rcc>
  <rcc rId="4673" sId="1" numFmtId="4">
    <nc r="AD450">
      <v>0</v>
    </nc>
  </rcc>
  <rcc rId="4674" sId="1">
    <nc r="AE450">
      <f>S450+V450+Y450+AB450</f>
    </nc>
  </rcc>
  <rcc rId="4675" sId="1">
    <nc r="AH450">
      <f>AH446</f>
    </nc>
  </rcc>
  <rcc rId="4676" sId="1">
    <nc r="AI450" t="inlineStr">
      <is>
        <t>n.a</t>
      </is>
    </nc>
  </rcc>
  <rcc rId="4677" sId="1">
    <oc r="A451">
      <v>192</v>
    </oc>
    <nc r="A451">
      <v>193</v>
    </nc>
  </rcc>
  <rcc rId="4678" sId="1">
    <oc r="B451">
      <v>127604</v>
    </oc>
    <nc r="B451">
      <v>127638</v>
    </nc>
  </rcc>
  <rcc rId="4679" sId="1">
    <oc r="C451">
      <v>587</v>
    </oc>
    <nc r="C451">
      <v>607</v>
    </nc>
  </rcc>
  <rcv guid="{65C35D6D-934F-4431-BA92-90255FC17BA4}" action="delete"/>
  <rdn rId="0" localSheetId="1" customView="1" name="Z_65C35D6D_934F_4431_BA92_90255FC17BA4_.wvu.PrintArea" hidden="1" oldHidden="1">
    <formula>Sheet1!$A$1:$AL$487</formula>
    <oldFormula>Sheet1!$A$1:$AL$487</oldFormula>
  </rdn>
  <rdn rId="0" localSheetId="1" customView="1" name="Z_65C35D6D_934F_4431_BA92_90255FC17BA4_.wvu.FilterData" hidden="1" oldHidden="1">
    <formula>Sheet1!$A$1:$AL$454</formula>
    <oldFormula>Sheet1!$A$1:$AL$86</oldFormula>
  </rdn>
  <rcv guid="{65C35D6D-934F-4431-BA92-90255FC17BA4}" action="add"/>
</revisions>
</file>

<file path=xl/revisions/revisionLog2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51" sId="1">
    <nc r="AG134">
      <f>AE134+AF134</f>
    </nc>
  </rcc>
</revisions>
</file>

<file path=xl/revisions/revisionLog2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52" sId="1" numFmtId="4">
    <oc r="AG147">
      <v>435367.21</v>
    </oc>
    <nc r="AG147">
      <f>AE147+AF147</f>
    </nc>
  </rcc>
</revisions>
</file>

<file path=xl/revisions/revisionLog2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53" sId="1">
    <oc r="AG178" t="inlineStr">
      <is>
        <t xml:space="preserve"> </t>
      </is>
    </oc>
    <nc r="AG178">
      <f>AE178+AF178</f>
    </nc>
  </rcc>
</revisions>
</file>

<file path=xl/revisions/revisionLog2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54" sId="1" odxf="1" s="1" dxf="1">
    <oc r="AG207">
      <f>AE207+AF207</f>
    </oc>
    <nc r="AG207">
      <f>AE207+AF207</f>
    </nc>
    <odxf>
      <font>
        <b val="0"/>
        <i val="0"/>
        <strike val="0"/>
        <condense val="0"/>
        <extend val="0"/>
        <outline val="0"/>
        <shadow val="0"/>
        <u val="none"/>
        <vertAlign val="baseline"/>
        <sz val="12"/>
        <color auto="1"/>
        <name val="Calibri"/>
        <family val="2"/>
        <charset val="238"/>
        <scheme val="minor"/>
      </font>
      <numFmt numFmtId="166" formatCode="#,##0.00_ ;\-#,##0.00\ "/>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2"/>
        <color auto="1"/>
        <name val="Calibri"/>
        <family val="2"/>
        <charset val="238"/>
        <scheme val="minor"/>
      </font>
      <numFmt numFmtId="4" formatCode="#,##0.00"/>
      <fill>
        <patternFill patternType="solid">
          <bgColor theme="9" tint="0.59999389629810485"/>
        </patternFill>
      </fill>
    </ndxf>
  </rcc>
</revisions>
</file>

<file path=xl/revisions/revisionLog2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AA4DFE-88B1-4674-95ED-5FCD7A50BC22}" action="delete"/>
  <rdn rId="0" localSheetId="1" customView="1" name="Z_5AAA4DFE_88B1_4674_95ED_5FCD7A50BC22_.wvu.PrintArea" hidden="1" oldHidden="1">
    <formula>Sheet1!$A$1:$AL$467</formula>
    <oldFormula>Sheet1!$A$1:$AL$467</oldFormula>
  </rdn>
  <rdn rId="0" localSheetId="1" customView="1" name="Z_5AAA4DFE_88B1_4674_95ED_5FCD7A50BC22_.wvu.FilterData" hidden="1" oldHidden="1">
    <formula>Sheet1!$A$1:$AL$436</formula>
    <oldFormula>Sheet1!$A$1:$AL$436</oldFormula>
  </rdn>
  <rcv guid="{5AAA4DFE-88B1-4674-95ED-5FCD7A50BC22}" action="add"/>
</revisions>
</file>

<file path=xl/revisions/revisionLog2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57" sId="1">
    <nc r="AG135">
      <f>AE135+AF135</f>
    </nc>
  </rcc>
</revisions>
</file>

<file path=xl/revisions/revisionLog2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58" sId="1">
    <oc r="H91" t="inlineStr">
      <is>
        <t>Judetul Cluj</t>
      </is>
    </oc>
    <nc r="H91" t="inlineStr">
      <is>
        <t>Judetul Hunedoara</t>
      </is>
    </nc>
  </rcc>
  <rcc rId="2759" sId="1">
    <oc r="P91">
      <f>P89</f>
    </oc>
    <nc r="P91" t="inlineStr">
      <is>
        <t>Dej</t>
      </is>
    </nc>
  </rcc>
  <rcc rId="2760" sId="1">
    <oc r="O91" t="inlineStr">
      <is>
        <t>Dej</t>
      </is>
    </oc>
    <nc r="O91" t="inlineStr">
      <is>
        <t>Hunedoara</t>
      </is>
    </nc>
  </rcc>
  <rcv guid="{36624B2D-80F9-4F79-AC4A-B3547C36F23F}" action="delete"/>
  <rdn rId="0" localSheetId="1" customView="1" name="Z_36624B2D_80F9_4F79_AC4A_B3547C36F23F_.wvu.PrintArea" hidden="1" oldHidden="1">
    <formula>Sheet1!$A$1:$AL$467</formula>
    <oldFormula>Sheet1!$A$1:$AL$467</oldFormula>
  </rdn>
  <rdn rId="0" localSheetId="1" customView="1" name="Z_36624B2D_80F9_4F79_AC4A_B3547C36F23F_.wvu.FilterData" hidden="1" oldHidden="1">
    <formula>Sheet1!$A$1:$AL$436</formula>
    <oldFormula>Sheet1!$A$1:$AL$436</oldFormula>
  </rdn>
  <rcv guid="{36624B2D-80F9-4F79-AC4A-B3547C36F23F}" action="add"/>
</revisions>
</file>

<file path=xl/revisions/revisionLog2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63" sId="1">
    <oc r="N91">
      <f>$N$89</f>
    </oc>
    <nc r="N91">
      <v>5</v>
    </nc>
  </rcc>
</revisions>
</file>

<file path=xl/revisions/revisionLog2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64" sId="1" numFmtId="19">
    <oc r="L266">
      <v>43886</v>
    </oc>
    <nc r="L266">
      <v>44037</v>
    </nc>
  </rcc>
  <rcv guid="{EA64E7D7-BA48-4965-B650-778AE412FE0C}" action="delete"/>
  <rdn rId="0" localSheetId="1" customView="1" name="Z_EA64E7D7_BA48_4965_B650_778AE412FE0C_.wvu.PrintArea" hidden="1" oldHidden="1">
    <formula>Sheet1!$A$1:$AL$467</formula>
    <oldFormula>Sheet1!$A$1:$AL$467</oldFormula>
  </rdn>
  <rdn rId="0" localSheetId="1" customView="1" name="Z_EA64E7D7_BA48_4965_B650_778AE412FE0C_.wvu.FilterData" hidden="1" oldHidden="1">
    <formula>Sheet1!$A$1:$DG$437</formula>
    <oldFormula>Sheet1!$A$1:$DG$437</oldFormula>
  </rdn>
  <rcv guid="{EA64E7D7-BA48-4965-B650-778AE412FE0C}" action="add"/>
</revisions>
</file>

<file path=xl/revisions/revisionLog2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67" sId="1" numFmtId="4">
    <nc r="AF135">
      <v>0</v>
    </nc>
  </rcc>
  <rcv guid="{36624B2D-80F9-4F79-AC4A-B3547C36F23F}" action="delete"/>
  <rdn rId="0" localSheetId="1" customView="1" name="Z_36624B2D_80F9_4F79_AC4A_B3547C36F23F_.wvu.PrintArea" hidden="1" oldHidden="1">
    <formula>Sheet1!$A$1:$AL$467</formula>
    <oldFormula>Sheet1!$A$1:$AL$467</oldFormula>
  </rdn>
  <rdn rId="0" localSheetId="1" customView="1" name="Z_36624B2D_80F9_4F79_AC4A_B3547C36F23F_.wvu.FilterData" hidden="1" oldHidden="1">
    <formula>Sheet1!$A$1:$AL$436</formula>
    <oldFormula>Sheet1!$A$1:$AL$436</oldFormula>
  </rdn>
  <rcv guid="{36624B2D-80F9-4F79-AC4A-B3547C36F23F}"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2" sId="1" numFmtId="19">
    <oc r="L361">
      <v>43818</v>
    </oc>
    <nc r="L361" t="inlineStr">
      <is>
        <t>19.15.2020</t>
      </is>
    </nc>
  </rcc>
  <rcc rId="4683" sId="1" numFmtId="4">
    <oc r="T361">
      <v>2444095.39</v>
    </oc>
    <nc r="T361">
      <v>2444095.4</v>
    </nc>
  </rcc>
  <rcc rId="4684" sId="1" numFmtId="4">
    <oc r="U361">
      <v>586728.49</v>
    </oc>
    <nc r="U361">
      <v>586728.52</v>
    </nc>
  </rcc>
  <rcc rId="4685" sId="1" numFmtId="4">
    <oc r="Z361">
      <v>431310.99</v>
    </oc>
    <nc r="Z361">
      <v>431310.98</v>
    </nc>
  </rcc>
  <rcc rId="4686" sId="1" numFmtId="4">
    <oc r="AA361">
      <v>146682.12</v>
    </oc>
    <nc r="AA361">
      <v>146682.09</v>
    </nc>
  </rcc>
  <rcv guid="{C408A2F1-296F-4EAD-B15B-336D73846FDD}" action="delete"/>
  <rdn rId="0" localSheetId="1" customView="1" name="Z_C408A2F1_296F_4EAD_B15B_336D73846FDD_.wvu.PrintArea" hidden="1" oldHidden="1">
    <formula>Sheet1!$A$1:$AL$487</formula>
    <oldFormula>Sheet1!$A$1:$AL$487</oldFormula>
  </rdn>
  <rdn rId="0" localSheetId="1" customView="1" name="Z_C408A2F1_296F_4EAD_B15B_336D73846FDD_.wvu.FilterData" hidden="1" oldHidden="1">
    <formula>Sheet1!$A$1:$AL$454</formula>
    <oldFormula>Sheet1!$A$1:$AL$86</oldFormula>
  </rdn>
  <rcv guid="{C408A2F1-296F-4EAD-B15B-336D73846FDD}" action="add"/>
</revisions>
</file>

<file path=xl/revisions/revisionLog2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70" sId="1">
    <oc r="AH7" t="inlineStr">
      <is>
        <t xml:space="preserve"> în implementare</t>
      </is>
    </oc>
    <nc r="AH7" t="inlineStr">
      <is>
        <t>Finalizat</t>
      </is>
    </nc>
  </rcc>
</revisions>
</file>

<file path=xl/revisions/revisionLog2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71" sId="1">
    <oc r="AH12" t="inlineStr">
      <is>
        <t>în implementare</t>
      </is>
    </oc>
    <nc r="AH12" t="inlineStr">
      <is>
        <t>Finalizat</t>
      </is>
    </nc>
  </rcc>
</revisions>
</file>

<file path=xl/revisions/revisionLog2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72" sId="1">
    <oc r="AH49" t="inlineStr">
      <is>
        <t xml:space="preserve"> în implementare</t>
      </is>
    </oc>
    <nc r="AH49" t="inlineStr">
      <is>
        <t>Finalizat</t>
      </is>
    </nc>
  </rcc>
</revisions>
</file>

<file path=xl/revisions/revisionLog2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73" sId="1">
    <oc r="AH25" t="inlineStr">
      <is>
        <t xml:space="preserve"> în implementare</t>
      </is>
    </oc>
    <nc r="AH25" t="inlineStr">
      <is>
        <t>Finalizat</t>
      </is>
    </nc>
  </rcc>
  <rcc rId="2774" sId="1">
    <oc r="AH30" t="inlineStr">
      <is>
        <t xml:space="preserve"> în implementare</t>
      </is>
    </oc>
    <nc r="AH30" t="inlineStr">
      <is>
        <t>Finalizat</t>
      </is>
    </nc>
  </rcc>
  <rcc rId="2775" sId="1">
    <oc r="AH52" t="inlineStr">
      <is>
        <t xml:space="preserve"> în implementare</t>
      </is>
    </oc>
    <nc r="AH52" t="inlineStr">
      <is>
        <t>Finalizat</t>
      </is>
    </nc>
  </rcc>
  <rcc rId="2776" sId="1">
    <oc r="AH59" t="inlineStr">
      <is>
        <t xml:space="preserve"> în implementare</t>
      </is>
    </oc>
    <nc r="AH59" t="inlineStr">
      <is>
        <t>Finalizat</t>
      </is>
    </nc>
  </rcc>
  <rcv guid="{905D93EA-5662-45AB-8995-A9908B3E5D52}" action="delete"/>
  <rdn rId="0" localSheetId="1" customView="1" name="Z_905D93EA_5662_45AB_8995_A9908B3E5D52_.wvu.PrintArea" hidden="1" oldHidden="1">
    <formula>Sheet1!$A$1:$AL$467</formula>
    <oldFormula>Sheet1!$A$1:$AL$467</oldFormula>
  </rdn>
  <rdn rId="0" localSheetId="1" customView="1" name="Z_905D93EA_5662_45AB_8995_A9908B3E5D52_.wvu.FilterData" hidden="1" oldHidden="1">
    <formula>Sheet1!$C$1:$C$478</formula>
    <oldFormula>Sheet1!$B$1:$B$478</oldFormula>
  </rdn>
  <rcv guid="{905D93EA-5662-45AB-8995-A9908B3E5D52}" action="add"/>
</revisions>
</file>

<file path=xl/revisions/revisionLog2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79" sId="1" ref="A67:XFD67" action="insertRow">
    <undo index="65535" exp="area" ref3D="1" dr="$H$1:$N$1048576" dn="Z_65B035E3_87FA_46C5_996E_864F2C8D0EBC_.wvu.Cols" sId="1"/>
  </rrc>
  <rcc rId="2780" sId="1">
    <nc r="M67">
      <f>S67/AE67*100</f>
    </nc>
  </rcc>
  <rcc rId="2781" sId="1">
    <nc r="S67">
      <f>T67+U67</f>
    </nc>
  </rcc>
  <rcc rId="2782" sId="1">
    <nc r="V67">
      <f>W67+X67</f>
    </nc>
  </rcc>
  <rcc rId="2783" sId="1">
    <nc r="Y67">
      <f>Z67+AA67</f>
    </nc>
  </rcc>
  <rcc rId="2784" sId="1" numFmtId="4">
    <nc r="AD65">
      <v>0</v>
    </nc>
  </rcc>
  <rcc rId="2785" sId="1">
    <nc r="AB67">
      <f>AC67+AD67</f>
    </nc>
  </rcc>
  <rcc rId="2786" sId="1">
    <nc r="AE67">
      <f>S67+V67+Y67+AB67</f>
    </nc>
  </rcc>
  <rcc rId="2787" sId="1">
    <nc r="AG67">
      <f>AE67+AF67</f>
    </nc>
  </rcc>
  <rcv guid="{36624B2D-80F9-4F79-AC4A-B3547C36F23F}" action="delete"/>
  <rdn rId="0" localSheetId="1" customView="1" name="Z_36624B2D_80F9_4F79_AC4A_B3547C36F23F_.wvu.PrintArea" hidden="1" oldHidden="1">
    <formula>Sheet1!$A$1:$AL$468</formula>
    <oldFormula>Sheet1!$A$1:$AL$468</oldFormula>
  </rdn>
  <rdn rId="0" localSheetId="1" customView="1" name="Z_36624B2D_80F9_4F79_AC4A_B3547C36F23F_.wvu.FilterData" hidden="1" oldHidden="1">
    <formula>Sheet1!$A$1:$AL$437</formula>
    <oldFormula>Sheet1!$A$1:$AL$437</oldFormula>
  </rdn>
  <rcv guid="{36624B2D-80F9-4F79-AC4A-B3547C36F23F}" action="add"/>
</revisions>
</file>

<file path=xl/revisions/revisionLog2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90" sId="1">
    <nc r="A67">
      <v>12</v>
    </nc>
  </rcc>
  <rcc rId="2791" sId="1">
    <nc r="B67">
      <v>129016</v>
    </nc>
  </rcc>
  <rcc rId="2792" sId="1">
    <nc r="C67">
      <v>693</v>
    </nc>
  </rcc>
  <rcc rId="2793" sId="1">
    <nc r="D67" t="inlineStr">
      <is>
        <t>ET</t>
      </is>
    </nc>
  </rcc>
  <rcc rId="2794" sId="1">
    <nc r="E67" t="inlineStr">
      <is>
        <t>AP 2/11i/2.1</t>
      </is>
    </nc>
  </rcc>
</revisions>
</file>

<file path=xl/revisions/revisionLog2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95" sId="1">
    <nc r="F67" t="inlineStr">
      <is>
        <t>CP 12 more/2018</t>
      </is>
    </nc>
  </rcc>
  <rcc rId="2796" sId="1">
    <nc r="G67" t="inlineStr">
      <is>
        <t>Management al performantei in cadrul Primariei Sectorului 2</t>
      </is>
    </nc>
  </rcc>
  <rcc rId="2797" sId="1">
    <nc r="H67" t="inlineStr">
      <is>
        <t>SECTORUL 2 AL MUNICIPIULUI BUCURESTI</t>
      </is>
    </nc>
  </rcc>
</revisions>
</file>

<file path=xl/revisions/revisionLog2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98" sId="1">
    <nc r="I67" t="inlineStr">
      <is>
        <t>n.a</t>
      </is>
    </nc>
  </rcc>
</revisions>
</file>

<file path=xl/revisions/revisionLog2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99" sId="1">
    <nc r="J67" t="inlineStr">
      <is>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is>
    </nc>
  </rcc>
  <rcv guid="{36624B2D-80F9-4F79-AC4A-B3547C36F23F}" action="delete"/>
  <rdn rId="0" localSheetId="1" customView="1" name="Z_36624B2D_80F9_4F79_AC4A_B3547C36F23F_.wvu.PrintArea" hidden="1" oldHidden="1">
    <formula>Sheet1!$A$1:$AL$468</formula>
    <oldFormula>Sheet1!$A$1:$AL$468</oldFormula>
  </rdn>
  <rdn rId="0" localSheetId="1" customView="1" name="Z_36624B2D_80F9_4F79_AC4A_B3547C36F23F_.wvu.FilterData" hidden="1" oldHidden="1">
    <formula>Sheet1!$A$1:$AL$437</formula>
    <oldFormula>Sheet1!$A$1:$AL$437</oldFormula>
  </rdn>
  <rcv guid="{36624B2D-80F9-4F79-AC4A-B3547C36F23F}" action="add"/>
</revisions>
</file>

<file path=xl/revisions/revisionLog2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2" sId="1" numFmtId="19">
    <nc r="K67">
      <v>43654</v>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9" sId="1" numFmtId="4">
    <oc r="T361">
      <v>2444095.4</v>
    </oc>
    <nc r="T361">
      <v>2444095.41</v>
    </nc>
  </rcc>
  <rcc rId="4690" sId="1" numFmtId="4">
    <oc r="Z361">
      <v>431310.98</v>
    </oc>
    <nc r="Z361">
      <v>431310.97</v>
    </nc>
  </rcc>
</revisions>
</file>

<file path=xl/revisions/revisionLog2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3" sId="1" numFmtId="19">
    <nc r="L67">
      <v>44020</v>
    </nc>
  </rcc>
</revisions>
</file>

<file path=xl/revisions/revisionLog2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4" sId="1">
    <nc r="N67">
      <v>8</v>
    </nc>
  </rcc>
</revisions>
</file>

<file path=xl/revisions/revisionLog2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5" sId="1">
    <nc r="O67" t="inlineStr">
      <is>
        <t>București</t>
      </is>
    </nc>
  </rcc>
  <rcc rId="2806" sId="1">
    <nc r="P67" t="inlineStr">
      <is>
        <t>București</t>
      </is>
    </nc>
  </rcc>
  <rcc rId="2807" sId="1">
    <nc r="Q67" t="inlineStr">
      <is>
        <t>APL</t>
      </is>
    </nc>
  </rcc>
  <rcc rId="2808" sId="1">
    <nc r="R67"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2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9" sId="1" numFmtId="4">
    <nc r="U67">
      <v>307306.62</v>
    </nc>
  </rcc>
  <rcc rId="2810" sId="1" endOfListFormulaUpdate="1">
    <oc r="U68">
      <f>SUM(U57:U66)</f>
    </oc>
    <nc r="U68">
      <f>SUM(U57:U67)</f>
    </nc>
  </rcc>
  <rcc rId="2811" sId="1" numFmtId="4">
    <nc r="T67">
      <v>0</v>
    </nc>
  </rcc>
  <rcc rId="2812" sId="1" endOfListFormulaUpdate="1">
    <oc r="T68">
      <f>SUM(T57:T66)</f>
    </oc>
    <nc r="T68">
      <f>SUM(T57:T67)</f>
    </nc>
  </rcc>
</revisions>
</file>

<file path=xl/revisions/revisionLog2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13" sId="1" numFmtId="4">
    <nc r="X67">
      <v>69143.95</v>
    </nc>
  </rcc>
  <rcc rId="2814" sId="1" endOfListFormulaUpdate="1">
    <oc r="X68">
      <f>SUM(X57:X66)</f>
    </oc>
    <nc r="X68">
      <f>SUM(X57:X67)</f>
    </nc>
  </rcc>
  <rcc rId="2815" sId="1" numFmtId="4">
    <nc r="W67">
      <v>0</v>
    </nc>
  </rcc>
  <rcc rId="2816" sId="1" endOfListFormulaUpdate="1">
    <oc r="W68">
      <f>SUM(W57:W66)</f>
    </oc>
    <nc r="W68">
      <f>SUM(W57:W67)</f>
    </nc>
  </rcc>
</revisions>
</file>

<file path=xl/revisions/revisionLog2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17" sId="1" numFmtId="4">
    <nc r="AA67">
      <v>7682.71</v>
    </nc>
  </rcc>
  <rcc rId="2818" sId="1" endOfListFormulaUpdate="1">
    <oc r="AA68">
      <f>SUM(AA57:AA66)</f>
    </oc>
    <nc r="AA68">
      <f>SUM(AA57:AA67)</f>
    </nc>
  </rcc>
  <rcc rId="2819" sId="1" numFmtId="4">
    <nc r="Z67">
      <v>0</v>
    </nc>
  </rcc>
  <rcc rId="2820" sId="1" endOfListFormulaUpdate="1">
    <oc r="Z68">
      <f>SUM(Z57:Z66)</f>
    </oc>
    <nc r="Z68">
      <f>SUM(Z57:Z67)</f>
    </nc>
  </rcc>
  <rcc rId="2821" sId="1" numFmtId="4">
    <nc r="AC67">
      <v>0</v>
    </nc>
  </rcc>
  <rcc rId="2822" sId="1" endOfListFormulaUpdate="1">
    <oc r="AC68">
      <f>SUM(AC57:AC66)</f>
    </oc>
    <nc r="AC68">
      <f>SUM(AC57:AC67)</f>
    </nc>
  </rcc>
  <rcc rId="2823" sId="1" numFmtId="4">
    <nc r="AD67">
      <v>0</v>
    </nc>
  </rcc>
  <rcc rId="2824" sId="1" endOfListFormulaUpdate="1">
    <oc r="AD68">
      <f>SUM(AD57:AD66)</f>
    </oc>
    <nc r="AD68">
      <f>SUM(AD57:AD67)</f>
    </nc>
  </rcc>
</revisions>
</file>

<file path=xl/revisions/revisionLog2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25" sId="1" numFmtId="4">
    <nc r="AF67">
      <v>0</v>
    </nc>
  </rcc>
  <rcc rId="2826" sId="1" endOfListFormulaUpdate="1">
    <oc r="AF68">
      <f>SUM(AF57:AF66)</f>
    </oc>
    <nc r="AF68">
      <f>SUM(AF57:AF67)</f>
    </nc>
  </rcc>
  <rcc rId="2827" sId="1">
    <nc r="AH67" t="inlineStr">
      <is>
        <t xml:space="preserve"> în implementare</t>
      </is>
    </nc>
  </rcc>
</revisions>
</file>

<file path=xl/revisions/revisionLog2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828" sId="1" ref="A85:XFD85" action="insertRow">
    <undo index="65535" exp="area" ref3D="1" dr="$H$1:$N$1048576" dn="Z_65B035E3_87FA_46C5_996E_864F2C8D0EBC_.wvu.Cols" sId="1"/>
  </rrc>
  <rfmt sheetId="1" sqref="A84:A85" start="0" length="0">
    <dxf>
      <border>
        <left style="thin">
          <color indexed="64"/>
        </left>
      </border>
    </dxf>
  </rfmt>
  <rfmt sheetId="1" sqref="A84:B85">
    <dxf>
      <border>
        <left style="thin">
          <color indexed="64"/>
        </left>
        <right style="thin">
          <color indexed="64"/>
        </right>
        <vertical style="thin">
          <color indexed="64"/>
        </vertical>
      </border>
    </dxf>
  </rfmt>
  <rcc rId="2829" sId="1">
    <nc r="A85">
      <v>3</v>
    </nc>
  </rcc>
  <rcc rId="2830" sId="1">
    <nc r="B85">
      <v>128739</v>
    </nc>
  </rcc>
  <rcc rId="2831" sId="1">
    <nc r="C85">
      <v>630</v>
    </nc>
  </rcc>
  <rcc rId="2832" sId="1">
    <nc r="D85" t="inlineStr">
      <is>
        <t>RB</t>
      </is>
    </nc>
  </rcc>
  <rcc rId="2833" sId="1" odxf="1" dxf="1">
    <nc r="E85" t="inlineStr">
      <is>
        <t>AP 2/11i/2.1</t>
      </is>
    </nc>
    <odxf>
      <border outline="0">
        <right/>
      </border>
    </odxf>
    <ndxf>
      <border outline="0">
        <right style="thin">
          <color indexed="64"/>
        </right>
      </border>
    </ndxf>
  </rcc>
  <rcc rId="2834" sId="1">
    <nc r="F85" t="inlineStr">
      <is>
        <t>CP 12 less/2018</t>
      </is>
    </nc>
  </rcc>
  <rcc rId="2835" sId="1" odxf="1" dxf="1">
    <nc r="H85" t="inlineStr">
      <is>
        <t>Municipiul  Caransebeș</t>
      </is>
    </nc>
    <odxf>
      <border outline="0">
        <left/>
        <top/>
      </border>
    </odxf>
    <ndxf>
      <border outline="0">
        <left style="thin">
          <color indexed="64"/>
        </left>
        <top style="thin">
          <color indexed="64"/>
        </top>
      </border>
    </ndxf>
  </rcc>
  <rcc rId="2836" sId="1">
    <nc r="I85" t="inlineStr">
      <is>
        <t>N.A.</t>
      </is>
    </nc>
  </rcc>
  <rcc rId="2837" sId="1">
    <nc r="G85" t="inlineStr">
      <is>
        <t>Servicii publice performante furnizate cetatenilor din Municipiul Caransebes</t>
      </is>
    </nc>
  </rcc>
  <rcc rId="2838" sId="1" numFmtId="19">
    <nc r="K85">
      <v>43654</v>
    </nc>
  </rcc>
  <rcc rId="2839" sId="1" numFmtId="19">
    <nc r="L85">
      <v>44447</v>
    </nc>
  </rcc>
  <rcc rId="2840" sId="1">
    <nc r="N85">
      <v>5</v>
    </nc>
  </rcc>
  <rcc rId="2841" sId="1">
    <nc r="O85" t="inlineStr">
      <is>
        <t>Caraș-Severin</t>
      </is>
    </nc>
  </rcc>
  <rcc rId="2842" sId="1" odxf="1" dxf="1">
    <nc r="P85" t="inlineStr">
      <is>
        <t>Caransebeș</t>
      </is>
    </nc>
    <odxf>
      <fill>
        <patternFill patternType="none">
          <bgColor indexed="65"/>
        </patternFill>
      </fill>
      <alignment horizontal="left"/>
      <border outline="0">
        <left/>
        <top/>
      </border>
    </odxf>
    <ndxf>
      <fill>
        <patternFill patternType="solid">
          <bgColor theme="0"/>
        </patternFill>
      </fill>
      <alignment horizontal="center"/>
      <border outline="0">
        <left style="thin">
          <color indexed="64"/>
        </left>
        <top style="thin">
          <color indexed="64"/>
        </top>
      </border>
    </ndxf>
  </rcc>
  <rcc rId="2843" sId="1">
    <nc r="Q85" t="inlineStr">
      <is>
        <t>APL</t>
      </is>
    </nc>
  </rcc>
  <rcc rId="2844" sId="1">
    <nc r="R85" t="inlineStr">
      <is>
        <t>119 - Investiții în capacitatea instituțională și în eficiența administrațiilor și a serviciilor publice la nivel național, regional și local, în perspectiva realizării de reforme, a unei mai bune legiferări și a bunei guvernanțe</t>
      </is>
    </nc>
  </rcc>
  <rcv guid="{53ED3D47-B2C0-43A1-9A1E-F030D529F74C}" action="delete"/>
  <rdn rId="0" localSheetId="1" customView="1" name="Z_53ED3D47_B2C0_43A1_9A1E_F030D529F74C_.wvu.PrintArea" hidden="1" oldHidden="1">
    <formula>Sheet1!$A$1:$AL$469</formula>
    <oldFormula>Sheet1!$A$1:$AL$469</oldFormula>
  </rdn>
  <rdn rId="0" localSheetId="1" customView="1" name="Z_53ED3D47_B2C0_43A1_9A1E_F030D529F74C_.wvu.FilterData" hidden="1" oldHidden="1">
    <formula>Sheet1!$A$6:$AL$469</formula>
    <oldFormula>Sheet1!$A$6:$AL$469</oldFormula>
  </rdn>
  <rcv guid="{53ED3D47-B2C0-43A1-9A1E-F030D529F74C}" action="add"/>
</revisions>
</file>

<file path=xl/revisions/revisionLog2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47" sId="1" numFmtId="4">
    <nc r="U85">
      <v>0</v>
    </nc>
  </rcc>
  <rcc rId="2848" sId="1">
    <nc r="S85">
      <f>T85+U85</f>
    </nc>
  </rcc>
  <rcc rId="2849" sId="1">
    <nc r="V85">
      <f>W85+X85</f>
    </nc>
  </rcc>
  <rcc rId="2850" sId="1" numFmtId="4">
    <nc r="W85">
      <v>387310.1</v>
    </nc>
  </rcc>
  <rcc rId="2851" sId="1" numFmtId="4">
    <nc r="X85">
      <v>0</v>
    </nc>
  </rcc>
  <rcc rId="2852" sId="1">
    <nc r="Y85">
      <f>Z85+AA85</f>
    </nc>
  </rcc>
  <rcc rId="2853" sId="1" numFmtId="4">
    <nc r="Z85">
      <v>59586.17</v>
    </nc>
  </rcc>
  <rcc rId="2854" sId="1" numFmtId="4">
    <nc r="AA85">
      <v>0</v>
    </nc>
  </rcc>
  <rcc rId="2855" sId="1">
    <nc r="AB85">
      <f>AC85+AD85</f>
    </nc>
  </rcc>
  <rcc rId="2856" sId="1" numFmtId="4">
    <nc r="AC85">
      <v>0</v>
    </nc>
  </rcc>
  <rcc rId="2857" sId="1" numFmtId="4">
    <nc r="AD85">
      <v>0</v>
    </nc>
  </rcc>
  <rcc rId="2858" sId="1">
    <nc r="AE85">
      <f>S85+V85+Y85+AB85</f>
    </nc>
  </rcc>
  <rcc rId="2859" sId="1" numFmtId="4">
    <nc r="AF85">
      <v>0</v>
    </nc>
  </rcc>
  <rcc rId="2860" sId="1" numFmtId="4">
    <nc r="T85">
      <v>2532412.23</v>
    </nc>
  </rcc>
  <rcc rId="2861" sId="1">
    <nc r="AG85">
      <f>AE85+AF85</f>
    </nc>
  </rcc>
  <rcc rId="2862" sId="1">
    <nc r="AH85" t="inlineStr">
      <is>
        <t xml:space="preserve"> în implementare</t>
      </is>
    </nc>
  </rcc>
  <rcc rId="2863" sId="1">
    <nc r="J85" t="inlineStr">
      <is>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is>
    </nc>
  </rcc>
</revisions>
</file>

<file path=xl/revisions/revisionLog2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64" sId="1">
    <nc r="M85">
      <f>S85/AE85*100</f>
    </nc>
  </rcc>
  <rfmt sheetId="1" sqref="G70" start="0" length="0">
    <dxf>
      <font>
        <sz val="12"/>
        <color auto="1"/>
        <charset val="1"/>
      </font>
      <alignment horizontal="left"/>
    </dxf>
  </rfmt>
  <rfmt sheetId="1" sqref="G71" start="0" length="0">
    <dxf>
      <font>
        <sz val="12"/>
        <color auto="1"/>
        <charset val="1"/>
      </font>
      <alignment horizontal="left"/>
      <border outline="0">
        <left style="thin">
          <color indexed="64"/>
        </left>
      </border>
    </dxf>
  </rfmt>
  <rcc rId="2865" sId="1">
    <oc r="S86">
      <f>SUM(S83:S84)</f>
    </oc>
    <nc r="S86">
      <f>SUM(S83:S85)</f>
    </nc>
  </rcc>
  <rcc rId="2866" sId="1">
    <oc r="T86">
      <f>SUM(T83:T84)</f>
    </oc>
    <nc r="T86">
      <f>SUM(T83:T85)</f>
    </nc>
  </rcc>
  <rcc rId="2867" sId="1">
    <oc r="V86">
      <f>SUM(V83:V84)</f>
    </oc>
    <nc r="V86">
      <f>SUM(V83:V85)</f>
    </nc>
  </rcc>
  <rcc rId="2868" sId="1">
    <oc r="W86">
      <f>SUM(W83:W84)</f>
    </oc>
    <nc r="W86">
      <f>SUM(W83:W85)</f>
    </nc>
  </rcc>
  <rcc rId="2869" sId="1">
    <oc r="Y86">
      <f>SUM(Y83:Y84)</f>
    </oc>
    <nc r="Y86">
      <f>SUM(Y83:Y85)</f>
    </nc>
  </rcc>
  <rcc rId="2870" sId="1">
    <oc r="Z86">
      <f>SUM(Z83:Z84)</f>
    </oc>
    <nc r="Z86">
      <f>SUM(Z83:Z85)</f>
    </nc>
  </rcc>
  <rcc rId="2871" sId="1">
    <oc r="AE86">
      <f>SUM(AE83:AE84)</f>
    </oc>
    <nc r="AE86">
      <f>SUM(AE83:AE85)</f>
    </nc>
  </rcc>
  <rcc rId="2872" sId="1">
    <oc r="AG86">
      <f>SUM(AG83:AG84)</f>
    </oc>
    <nc r="AG86">
      <f>SUM(AG83:AG85)</f>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91" sId="1">
    <oc r="G451" t="inlineStr">
      <is>
        <t>Consolidarea capacității ISC de a-și exercita competențele într-un mod unitar, eficient și eficace</t>
      </is>
    </oc>
    <nc r="G451" t="inlineStr">
      <is>
        <t>A.N.A.N.P.-Pilon strategic în dezvoltarea comunitaþiilor locale si a mediului de afaceri prin
consolidarea capacitaþii administrative în ariile naturale protejate din România</t>
      </is>
    </nc>
  </rcc>
  <rcc rId="4692" sId="1" odxf="1" dxf="1">
    <oc r="H451" t="inlineStr">
      <is>
        <t>Inspectoratul de Stat în Construcții</t>
      </is>
    </oc>
    <nc r="H451" t="inlineStr">
      <is>
        <t>AGENTIA NATIONALĂ+H466 PENTRU ARII NATURALE PROTEJATE</t>
      </is>
    </nc>
    <odxf>
      <font>
        <name val="Trebuchet MS"/>
        <scheme val="none"/>
      </font>
    </odxf>
    <ndxf>
      <font>
        <name val="Trebuchet MS"/>
        <scheme val="none"/>
      </font>
    </ndxf>
  </rcc>
</revisions>
</file>

<file path=xl/revisions/revisionLog2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873" sId="1" ref="A185:XFD185" action="insertRow">
    <undo index="65535" exp="area" ref3D="1" dr="$H$1:$N$1048576" dn="Z_65B035E3_87FA_46C5_996E_864F2C8D0EBC_.wvu.Cols" sId="1"/>
  </rrc>
  <rcc rId="2874" sId="1">
    <nc r="A185">
      <v>6</v>
    </nc>
  </rcc>
  <rcc rId="2875" sId="1">
    <nc r="B185">
      <v>129205</v>
    </nc>
  </rcc>
  <rcc rId="2876" sId="1">
    <nc r="C185">
      <v>684</v>
    </nc>
  </rcc>
  <rcc rId="2877" sId="1">
    <nc r="D185" t="inlineStr">
      <is>
        <t>MM</t>
      </is>
    </nc>
  </rcc>
  <rcc rId="2878" sId="1">
    <nc r="E185" t="inlineStr">
      <is>
        <t>AP 2/11i/2.1</t>
      </is>
    </nc>
  </rcc>
  <rcc rId="2879" sId="1">
    <nc r="F185" t="inlineStr">
      <is>
        <t>CP 12 less/2018</t>
      </is>
    </nc>
  </rcc>
  <rcc rId="2880" sId="1">
    <nc r="H185" t="inlineStr">
      <is>
        <t>Județul Prahova</t>
      </is>
    </nc>
  </rcc>
  <rcc rId="2881" sId="1">
    <nc r="I185" t="inlineStr">
      <is>
        <t>n.a</t>
      </is>
    </nc>
  </rcc>
  <rcc rId="2882" sId="1">
    <nc r="G185" t="inlineStr">
      <is>
        <t>Simplificare administrativă și optimizarea serviciilor pentru cetățeni în județul Prahova</t>
      </is>
    </nc>
  </rcc>
  <rcc rId="2883" sId="1" numFmtId="19">
    <nc r="K185">
      <v>43654</v>
    </nc>
  </rcc>
  <rcc rId="2884" sId="1">
    <nc r="J185" t="inlineStr">
      <is>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is>
    </nc>
  </rcc>
  <rcc rId="2885" sId="1" numFmtId="19">
    <nc r="L185">
      <v>44569</v>
    </nc>
  </rcc>
  <rcc rId="2886" sId="1">
    <nc r="M185">
      <f>S185/AE185*100</f>
    </nc>
  </rcc>
  <rcc rId="2887" sId="1">
    <nc r="N185">
      <v>3</v>
    </nc>
  </rcc>
  <rcc rId="2888" sId="1">
    <nc r="O185" t="inlineStr">
      <is>
        <t>Prahova</t>
      </is>
    </nc>
  </rcc>
  <rcc rId="2889" sId="1">
    <nc r="P185" t="inlineStr">
      <is>
        <t>Județul Prahova</t>
      </is>
    </nc>
  </rcc>
  <rcc rId="2890" sId="1">
    <nc r="Q185" t="inlineStr">
      <is>
        <t>APL</t>
      </is>
    </nc>
  </rcc>
  <rcc rId="2891" sId="1">
    <nc r="R185" t="inlineStr">
      <is>
        <t>119 - Investiții în capacitatea instituțională și în eficiența administrațiilor și a serviciilor publice la nivel național, regional și local, în perspectiva realizării de reforme, a unei mai bune legiferări și a bunei guvernanțe</t>
      </is>
    </nc>
  </rcc>
  <rcc rId="2892" sId="1">
    <nc r="S185">
      <f>T185+U185</f>
    </nc>
  </rcc>
  <rcc rId="2893" sId="1">
    <nc r="V185">
      <f>W185+X185</f>
    </nc>
  </rcc>
  <rcc rId="2894" sId="1">
    <nc r="Y185">
      <f>Z185+AA185</f>
    </nc>
  </rcc>
  <rcc rId="2895" sId="1">
    <nc r="AB185">
      <f>AC185+AD185</f>
    </nc>
  </rcc>
  <rcc rId="2896" sId="1">
    <nc r="AE185">
      <f>S185+V185+Y185+AB185</f>
    </nc>
  </rcc>
  <rcc rId="2897" sId="1">
    <nc r="AG185">
      <f>AE185+AF185</f>
    </nc>
  </rcc>
  <rcc rId="2898" sId="1" numFmtId="4">
    <nc r="T185">
      <v>2304415.83</v>
    </nc>
  </rcc>
  <rcc rId="2899" sId="1" endOfListFormulaUpdate="1">
    <oc r="T186">
      <f>SUM(T180:T184)</f>
    </oc>
    <nc r="T186">
      <f>SUM(T180:T185)</f>
    </nc>
  </rcc>
  <rcc rId="2900" sId="1" numFmtId="4">
    <nc r="W185">
      <v>352440.07</v>
    </nc>
  </rcc>
  <rcc rId="2901" sId="1" endOfListFormulaUpdate="1">
    <oc r="W186">
      <f>SUM(W180:W184)</f>
    </oc>
    <nc r="W186">
      <f>SUM(W180:W185)</f>
    </nc>
  </rcc>
  <rcc rId="2902" sId="1" numFmtId="4">
    <nc r="Z185">
      <v>54221.55</v>
    </nc>
  </rcc>
  <rcc rId="2903" sId="1" endOfListFormulaUpdate="1">
    <oc r="Z186">
      <f>SUM(Z180:Z184)</f>
    </oc>
    <nc r="Z186">
      <f>SUM(Z180:Z185)</f>
    </nc>
  </rcc>
  <rcc rId="2904" sId="1" numFmtId="4">
    <nc r="U185">
      <v>0</v>
    </nc>
  </rcc>
  <rcc rId="2905" sId="1" endOfListFormulaUpdate="1">
    <oc r="U186">
      <f>SUM(U180:U184)</f>
    </oc>
    <nc r="U186">
      <f>SUM(U180:U185)</f>
    </nc>
  </rcc>
  <rcc rId="2906" sId="1" numFmtId="4">
    <nc r="X185">
      <v>0</v>
    </nc>
  </rcc>
  <rcc rId="2907" sId="1" endOfListFormulaUpdate="1">
    <oc r="X186">
      <f>SUM(X180:X184)</f>
    </oc>
    <nc r="X186">
      <f>SUM(X180:X185)</f>
    </nc>
  </rcc>
  <rcc rId="2908" sId="1" numFmtId="4">
    <nc r="AA185">
      <v>0</v>
    </nc>
  </rcc>
  <rcc rId="2909" sId="1" endOfListFormulaUpdate="1">
    <oc r="AA186">
      <f>SUM(AA180:AA184)</f>
    </oc>
    <nc r="AA186">
      <f>SUM(AA180:AA185)</f>
    </nc>
  </rcc>
  <rcc rId="2910" sId="1" numFmtId="4">
    <nc r="AD185">
      <v>0</v>
    </nc>
  </rcc>
  <rcc rId="2911" sId="1" numFmtId="4">
    <nc r="AC185">
      <v>0</v>
    </nc>
  </rcc>
  <rcc rId="2912" sId="1">
    <nc r="AH185" t="inlineStr">
      <is>
        <t xml:space="preserve"> în implementare</t>
      </is>
    </nc>
  </rcc>
  <rcv guid="{65C35D6D-934F-4431-BA92-90255FC17BA4}" action="delete"/>
  <rdn rId="0" localSheetId="1" customView="1" name="Z_65C35D6D_934F_4431_BA92_90255FC17BA4_.wvu.PrintArea" hidden="1" oldHidden="1">
    <formula>Sheet1!$A$1:$AL$470</formula>
    <oldFormula>Sheet1!$A$1:$AL$470</oldFormula>
  </rdn>
  <rdn rId="0" localSheetId="1" customView="1" name="Z_65C35D6D_934F_4431_BA92_90255FC17BA4_.wvu.FilterData" hidden="1" oldHidden="1">
    <formula>Sheet1!$A$1:$AL$80</formula>
    <oldFormula>Sheet1!$A$1:$AL$80</oldFormula>
  </rdn>
  <rcv guid="{65C35D6D-934F-4431-BA92-90255FC17BA4}" action="add"/>
</revisions>
</file>

<file path=xl/revisions/revisionLog2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5" sId="1" numFmtId="4">
    <oc r="T391">
      <v>659016.69999999995</v>
    </oc>
    <nc r="T391">
      <v>659016.73</v>
    </nc>
  </rcc>
  <rcc rId="2916" sId="1" numFmtId="4">
    <oc r="U391">
      <v>158203.21</v>
    </oc>
    <nc r="U391">
      <v>158203.20000000001</v>
    </nc>
  </rcc>
  <rcc rId="2917" sId="1" numFmtId="4">
    <oc r="X391">
      <v>39550.79</v>
    </oc>
    <nc r="X391">
      <v>39550.769999999997</v>
    </nc>
  </rcc>
  <rcc rId="2918" sId="1" numFmtId="4">
    <oc r="Z391">
      <v>15822.67</v>
    </oc>
    <nc r="Z391">
      <v>15822.64</v>
    </nc>
  </rcc>
  <rcc rId="2919" sId="1" numFmtId="4">
    <oc r="AA391">
      <v>4035.85</v>
    </oc>
    <nc r="AA391">
      <v>4035.88</v>
    </nc>
  </rcc>
  <rcv guid="{901F9774-8BE7-424D-87C2-1026F3FA2E93}" action="delete"/>
  <rdn rId="0" localSheetId="1" customView="1" name="Z_901F9774_8BE7_424D_87C2_1026F3FA2E93_.wvu.PrintArea" hidden="1" oldHidden="1">
    <formula>Sheet1!$A$1:$AL$470</formula>
    <oldFormula>Sheet1!$A$1:$AL$470</oldFormula>
  </rdn>
  <rdn rId="0" localSheetId="1" customView="1" name="Z_901F9774_8BE7_424D_87C2_1026F3FA2E93_.wvu.FilterData" hidden="1" oldHidden="1">
    <formula>Sheet1!$C$1:$C$477</formula>
    <oldFormula>Sheet1!$C$1:$C$477</oldFormula>
  </rdn>
  <rcv guid="{901F9774-8BE7-424D-87C2-1026F3FA2E93}" action="add"/>
</revisions>
</file>

<file path=xl/revisions/revisionLog2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22" sId="1" numFmtId="4">
    <oc r="T357">
      <v>624236.92000000004</v>
    </oc>
    <nc r="T357">
      <v>624236.9</v>
    </nc>
  </rcc>
  <rcc rId="2923" sId="1" numFmtId="4">
    <oc r="U357">
      <v>149854.01999999999</v>
    </oc>
    <nc r="U357">
      <v>149854.04999999999</v>
    </nc>
  </rcc>
  <rcc rId="2924" sId="1" numFmtId="4">
    <oc r="W357">
      <v>105798.26</v>
    </oc>
    <nc r="W357">
      <v>105798.25</v>
    </nc>
  </rcc>
  <rcc rId="2925" sId="1" numFmtId="4">
    <oc r="X357">
      <v>36351.14</v>
    </oc>
    <nc r="X357">
      <v>36351.15</v>
    </nc>
  </rcc>
  <rcc rId="2926" sId="1" numFmtId="4">
    <oc r="AC357">
      <v>14898.69</v>
    </oc>
    <nc r="AC357">
      <v>14898.73</v>
    </nc>
  </rcc>
  <rcc rId="2927" sId="1" numFmtId="4">
    <oc r="AD357">
      <v>3800.13</v>
    </oc>
    <nc r="AD357">
      <v>3800.09</v>
    </nc>
  </rcc>
</revisions>
</file>

<file path=xl/revisions/revisionLog2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01F9774-8BE7-424D-87C2-1026F3FA2E93}" action="delete"/>
  <rdn rId="0" localSheetId="1" customView="1" name="Z_901F9774_8BE7_424D_87C2_1026F3FA2E93_.wvu.PrintArea" hidden="1" oldHidden="1">
    <formula>Sheet1!$A$1:$AL$470</formula>
    <oldFormula>Sheet1!$A$1:$AL$470</oldFormula>
  </rdn>
  <rdn rId="0" localSheetId="1" customView="1" name="Z_901F9774_8BE7_424D_87C2_1026F3FA2E93_.wvu.FilterData" hidden="1" oldHidden="1">
    <formula>Sheet1!$C$1:$C$477</formula>
    <oldFormula>Sheet1!$C$1:$C$477</oldFormula>
  </rdn>
  <rcv guid="{901F9774-8BE7-424D-87C2-1026F3FA2E93}" action="add"/>
</revisions>
</file>

<file path=xl/revisions/revisionLog2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30" sId="1">
    <oc r="AI269" t="inlineStr">
      <is>
        <t>AA8 /03.09.2018 prel. Proiect 45L               AA9/11.02.2019 realoc.sume</t>
      </is>
    </oc>
    <nc r="AI269" t="inlineStr">
      <is>
        <t xml:space="preserve">AA8 /03.09.2018 prel. Proiect 45L               AA9/11.02.2019 realoc.sume                 AA 10/03.07.2019 prel. 50 L </t>
      </is>
    </nc>
  </rcc>
  <rcv guid="{EA64E7D7-BA48-4965-B650-778AE412FE0C}" action="delete"/>
  <rdn rId="0" localSheetId="1" customView="1" name="Z_EA64E7D7_BA48_4965_B650_778AE412FE0C_.wvu.PrintArea" hidden="1" oldHidden="1">
    <formula>Sheet1!$A$1:$AL$470</formula>
    <oldFormula>Sheet1!$A$1:$AL$470</oldFormula>
  </rdn>
  <rdn rId="0" localSheetId="1" customView="1" name="Z_EA64E7D7_BA48_4965_B650_778AE412FE0C_.wvu.FilterData" hidden="1" oldHidden="1">
    <formula>Sheet1!$A$1:$DG$440</formula>
    <oldFormula>Sheet1!$A$1:$DG$440</oldFormula>
  </rdn>
  <rcv guid="{EA64E7D7-BA48-4965-B650-778AE412FE0C}" action="add"/>
</revisions>
</file>

<file path=xl/revisions/revisionLog2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33" sId="1" numFmtId="19">
    <oc r="L372">
      <v>43656</v>
    </oc>
    <nc r="L372">
      <v>43779</v>
    </nc>
  </rcc>
</revisions>
</file>

<file path=xl/revisions/revisionLog2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34" sId="1">
    <oc r="AI372" t="inlineStr">
      <is>
        <t>n.a</t>
      </is>
    </oc>
    <nc r="AI372" t="inlineStr">
      <is>
        <t>AA 2/08.07.2019 prel. 16 L</t>
      </is>
    </nc>
  </rcc>
</revisions>
</file>

<file path=xl/revisions/revisionLog2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35" sId="1" ref="A39:XFD39" action="insertRow">
    <undo index="65535" exp="area" ref3D="1" dr="$H$1:$N$1048576" dn="Z_65B035E3_87FA_46C5_996E_864F2C8D0EBC_.wvu.Cols" sId="1"/>
  </rrc>
  <rrc rId="2936" sId="1" ref="A38:XFD38" action="insertRow">
    <undo index="65535" exp="area" ref3D="1" dr="$H$1:$N$1048576" dn="Z_65B035E3_87FA_46C5_996E_864F2C8D0EBC_.wvu.Cols" sId="1"/>
  </rrc>
  <rcc rId="2937" sId="1">
    <nc r="O40">
      <f>O39</f>
    </nc>
  </rcc>
  <rcc rId="2938" sId="1">
    <nc r="P40">
      <f>P39</f>
    </nc>
  </rcc>
  <rcv guid="{EF10298D-3F59-43F1-9A86-8C1CCA3B5D93}" action="delete"/>
  <rdn rId="0" localSheetId="1" customView="1" name="Z_EF10298D_3F59_43F1_9A86_8C1CCA3B5D93_.wvu.PrintArea" hidden="1" oldHidden="1">
    <formula>Sheet1!$A$1:$AL$472</formula>
    <oldFormula>Sheet1!$A$1:$AL$472</oldFormula>
  </rdn>
  <rdn rId="0" localSheetId="1" customView="1" name="Z_EF10298D_3F59_43F1_9A86_8C1CCA3B5D93_.wvu.FilterData" hidden="1" oldHidden="1">
    <formula>Sheet1!$A$6:$AL$472</formula>
    <oldFormula>Sheet1!$A$6:$AL$472</oldFormula>
  </rdn>
  <rcv guid="{EF10298D-3F59-43F1-9A86-8C1CCA3B5D93}" action="add"/>
</revisions>
</file>

<file path=xl/revisions/revisionLog2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1" sId="1">
    <nc r="A40">
      <v>2</v>
    </nc>
  </rcc>
  <rcc rId="2942" sId="1">
    <nc r="B40">
      <v>129687</v>
    </nc>
  </rcc>
  <rcc rId="2943" sId="1">
    <nc r="C40">
      <v>667</v>
    </nc>
  </rcc>
  <rcc rId="2944" sId="1">
    <nc r="D40" t="inlineStr">
      <is>
        <t>MN</t>
      </is>
    </nc>
  </rcc>
  <rcc rId="2945" sId="1">
    <nc r="J40" t="inlineStr">
      <is>
        <t>Consolidarea capacitaþii Consiliului Judeþean Bistriþa-Nasaud de a asigura calitatea si accesul la serviciile publice oferite exclusiv de
instituþie prin simplificarea procedurilor administraþiei locale si reducerea birocrației.
Obiectivele specifice ale proiectului
1.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3. Elaborarea criteriilor de prioritizare a investitiilor in sectoarele: sanatate, asistenta sociala, infrastructura de mediu si transport
pentru realizarea bugetului Consiliului Judetean Bistrita-Nasaud aferent anului 2021.</t>
      </is>
    </nc>
  </rcc>
</revisions>
</file>

<file path=xl/revisions/revisionLog2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6" sId="1">
    <oc r="J40" t="inlineStr">
      <is>
        <t>Consolidarea capacitaþii Consiliului Judeþean Bistriþa-Nasaud de a asigura calitatea si accesul la serviciile publice oferite exclusiv de
instituþie prin simplificarea procedurilor administraþiei locale si reducerea birocrației.
Obiectivele specifice ale proiectului
1.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3. Elaborarea criteriilor de prioritizare a investitiilor in sectoarele: sanatate, asistenta sociala, infrastructura de mediu si transport
pentru realizarea bugetului Consiliului Judetean Bistrita-Nasaud aferent anului 2021.</t>
      </is>
    </oc>
    <nc r="J40" t="inlineStr">
      <is>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93" sId="1">
    <nc r="F453" t="inlineStr">
      <is>
        <t xml:space="preserve">IP 10/2018 </t>
      </is>
    </nc>
  </rcc>
  <rcv guid="{EA64E7D7-BA48-4965-B650-778AE412FE0C}" action="delete"/>
  <rdn rId="0" localSheetId="1" customView="1" name="Z_EA64E7D7_BA48_4965_B650_778AE412FE0C_.wvu.PrintArea" hidden="1" oldHidden="1">
    <formula>Sheet1!$A$1:$AL$487</formula>
    <oldFormula>Sheet1!$A$1:$AL$487</oldFormula>
  </rdn>
  <rdn rId="0" localSheetId="1" customView="1" name="Z_EA64E7D7_BA48_4965_B650_778AE412FE0C_.wvu.FilterData" hidden="1" oldHidden="1">
    <formula>Sheet1!$A$1:$DG$455</formula>
    <oldFormula>Sheet1!$A$1:$DG$455</oldFormula>
  </rdn>
  <rcv guid="{EA64E7D7-BA48-4965-B650-778AE412FE0C}" action="add"/>
</revisions>
</file>

<file path=xl/revisions/revisionLog2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7" sId="1">
    <nc r="G40" t="inlineStr">
      <is>
        <t>RAISE: Retro-Digitalizarea Arhivei si
Informatizarea Serviciilor Electronice la
Consiliul Judetean Bistrița-Nasaud</t>
      </is>
    </nc>
  </rcc>
  <rcc rId="2948" sId="1">
    <nc r="I40">
      <f>$I$39</f>
    </nc>
  </rcc>
  <rcc rId="2949" sId="1" odxf="1" dxf="1">
    <nc r="F40" t="inlineStr">
      <is>
        <t>CP 12 less/2018</t>
      </is>
    </nc>
    <odxf>
      <font>
        <b val="0"/>
        <sz val="12"/>
      </font>
    </odxf>
    <ndxf>
      <font>
        <b/>
        <sz val="12"/>
      </font>
    </ndxf>
  </rcc>
  <rcc rId="2950" sId="1" odxf="1" dxf="1">
    <nc r="E40" t="inlineStr">
      <is>
        <t>AP 2/11i /2.1</t>
      </is>
    </nc>
    <odxf>
      <alignment horizontal="left"/>
    </odxf>
    <ndxf>
      <alignment horizontal="center"/>
    </ndxf>
  </rcc>
  <rcc rId="2951" sId="1" numFmtId="19">
    <nc r="K40">
      <v>43654</v>
    </nc>
  </rcc>
  <rcc rId="2952" sId="1">
    <nc r="H40" t="inlineStr">
      <is>
        <t>Județul Bistrița Năsăud</t>
      </is>
    </nc>
  </rcc>
  <rcc rId="2953" sId="1" numFmtId="19">
    <nc r="L40">
      <v>44385</v>
    </nc>
  </rcc>
  <rcc rId="2954" sId="1">
    <nc r="Q40" t="inlineStr">
      <is>
        <t>APL</t>
      </is>
    </nc>
  </rcc>
  <rcc rId="2955" sId="1">
    <nc r="R40" t="inlineStr">
      <is>
        <t>119 - Investiții în capacitatea instituțională și în eficiența administrațiilor și a serviciilor publice la nivel național, regional și local, în perspectiva realizării de reforme, a unei mai bune legiferări și a bunei guvernanțe</t>
      </is>
    </nc>
  </rcc>
  <rcc rId="2956" sId="1">
    <nc r="N40">
      <f>$N$39</f>
    </nc>
  </rcc>
  <rcc rId="2957" sId="1">
    <nc r="M40">
      <f>S40/AE40*100</f>
    </nc>
  </rcc>
  <rcc rId="2958" sId="1">
    <nc r="AH40">
      <f>$AH$39</f>
    </nc>
  </rcc>
  <rcc rId="2959" sId="1" numFmtId="4">
    <nc r="T40">
      <v>2626630.9</v>
    </nc>
  </rcc>
  <rcc rId="2960" sId="1" numFmtId="4">
    <nc r="U40">
      <v>0</v>
    </nc>
  </rcc>
  <rcc rId="2961" sId="1">
    <nc r="S40">
      <f>T40+U40</f>
    </nc>
  </rcc>
  <rcc rId="2962" sId="1" numFmtId="4">
    <nc r="W40">
      <v>401720.02</v>
    </nc>
  </rcc>
  <rcc rId="2963" sId="1" numFmtId="4">
    <nc r="X40">
      <v>0</v>
    </nc>
  </rcc>
  <rcc rId="2964" sId="1">
    <nc r="V40">
      <f>W40+X40</f>
    </nc>
  </rcc>
  <rcc rId="2965" sId="1" numFmtId="4">
    <nc r="Z40">
      <v>61803.08</v>
    </nc>
  </rcc>
  <rcc rId="2966" sId="1" numFmtId="4">
    <nc r="AA40">
      <v>0</v>
    </nc>
  </rcc>
  <rcc rId="2967" sId="1">
    <nc r="Y40">
      <f>Z40+AA40</f>
    </nc>
  </rcc>
  <rcc rId="2968" sId="1" numFmtId="4">
    <nc r="AB40">
      <v>0</v>
    </nc>
  </rcc>
  <rcc rId="2969" sId="1" numFmtId="4">
    <nc r="AC40">
      <v>0</v>
    </nc>
  </rcc>
  <rcc rId="2970" sId="1" numFmtId="4">
    <nc r="AD40">
      <v>0</v>
    </nc>
  </rcc>
  <rcc rId="2971" sId="1">
    <nc r="AE40">
      <f>S40+V40+Y40+AB40</f>
    </nc>
  </rcc>
  <rcc rId="2972" sId="1" numFmtId="4">
    <nc r="AF40">
      <v>0</v>
    </nc>
  </rcc>
  <rcc rId="2973" sId="1">
    <nc r="AG40">
      <f>AE40+AF40</f>
    </nc>
  </rcc>
</revisions>
</file>

<file path=xl/revisions/revisionLog2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74" sId="1" numFmtId="4">
    <oc r="T346">
      <v>642679.71</v>
    </oc>
    <nc r="T346">
      <v>642678.19999999995</v>
    </nc>
  </rcc>
  <rcc rId="2975" sId="1" numFmtId="4">
    <oc r="U346">
      <v>154281.43</v>
    </oc>
    <nc r="U346">
      <v>154281.03</v>
    </nc>
  </rcc>
  <rcc rId="2976" sId="1" numFmtId="4">
    <oc r="W346">
      <v>113414.08</v>
    </oc>
    <nc r="W346">
      <v>113413.84</v>
    </nc>
  </rcc>
  <rcc rId="2977" sId="1" numFmtId="4">
    <oc r="X346">
      <v>38570.33</v>
    </oc>
    <nc r="X346">
      <v>38570.29</v>
    </nc>
  </rcc>
  <rcc rId="2978" sId="1" numFmtId="4">
    <oc r="AC346">
      <v>15430.49</v>
    </oc>
    <nc r="AC346">
      <v>15430.45</v>
    </nc>
  </rcc>
  <rcc rId="2979" sId="1" numFmtId="4">
    <oc r="AD346">
      <v>3935.76</v>
    </oc>
    <nc r="AD346">
      <v>3935.75</v>
    </nc>
  </rcc>
  <rcv guid="{FE50EAC0-52A5-4C33-B973-65E93D03D3EA}" action="delete"/>
  <rdn rId="0" localSheetId="1" customView="1" name="Z_FE50EAC0_52A5_4C33_B973_65E93D03D3EA_.wvu.PrintArea" hidden="1" oldHidden="1">
    <formula>Sheet1!$A$1:$AL$472</formula>
    <oldFormula>Sheet1!$A$1:$AL$472</oldFormula>
  </rdn>
  <rdn rId="0" localSheetId="1" customView="1" name="Z_FE50EAC0_52A5_4C33_B973_65E93D03D3EA_.wvu.FilterData" hidden="1" oldHidden="1">
    <formula>Sheet1!$A$1:$AL$441</formula>
    <oldFormula>Sheet1!$A$1:$AL$441</oldFormula>
  </rdn>
  <rcv guid="{FE50EAC0-52A5-4C33-B973-65E93D03D3EA}" action="add"/>
</revisions>
</file>

<file path=xl/revisions/revisionLog2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82" sId="1" ref="A173:XFD173" action="insertRow">
    <undo index="65535" exp="area" ref3D="1" dr="$H$1:$N$1048576" dn="Z_65B035E3_87FA_46C5_996E_864F2C8D0EBC_.wvu.Cols" sId="1"/>
  </rrc>
  <rcc rId="2983" sId="1">
    <nc r="A173">
      <v>5</v>
    </nc>
  </rcc>
  <rcc rId="2984" sId="1">
    <nc r="B173">
      <v>129573</v>
    </nc>
  </rcc>
  <rcc rId="2985" sId="1">
    <nc r="C173">
      <v>665</v>
    </nc>
  </rcc>
  <rcc rId="2986" sId="1">
    <nc r="D173" t="inlineStr">
      <is>
        <t>MP</t>
      </is>
    </nc>
  </rcc>
  <rcc rId="2987" sId="1">
    <nc r="F173" t="inlineStr">
      <is>
        <t>CP 12 more/2018</t>
      </is>
    </nc>
  </rcc>
  <rcc rId="2988" sId="1">
    <nc r="G173" t="inlineStr">
      <is>
        <t>Implementarea unor masuri de simplificare a serviciilor pentru cetateni la nivelul Consiliului Judetean Mures</t>
      </is>
    </nc>
  </rcc>
  <rcc rId="2989" sId="1">
    <nc r="H173" t="inlineStr">
      <is>
        <t>Județul Mureș</t>
      </is>
    </nc>
  </rcc>
  <rcc rId="2990" sId="1">
    <nc r="I173" t="inlineStr">
      <is>
        <t>n.a</t>
      </is>
    </nc>
  </rcc>
  <rcc rId="2991" sId="1" xfDxf="1" dxf="1">
    <oc r="O172" t="inlineStr">
      <is>
        <t>Mureș</t>
      </is>
    </oc>
    <nc r="O172" t="inlineStr">
      <is>
        <t>Județul Mureș</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2992" sId="1">
    <nc r="O173" t="inlineStr">
      <is>
        <t>Județul Mureș</t>
      </is>
    </nc>
  </rcc>
  <rcc rId="2993" sId="1">
    <nc r="N173">
      <v>3</v>
    </nc>
  </rcc>
  <rcc rId="2994" sId="1">
    <nc r="M173">
      <f>S173/AE173*100</f>
    </nc>
  </rcc>
  <rcc rId="2995" sId="1" numFmtId="19">
    <nc r="K173">
      <v>43654</v>
    </nc>
  </rcc>
  <rcv guid="{7C1B4D6D-D666-48DD-AB17-E00791B6F0B6}" action="delete"/>
  <rdn rId="0" localSheetId="1" customView="1" name="Z_7C1B4D6D_D666_48DD_AB17_E00791B6F0B6_.wvu.PrintArea" hidden="1" oldHidden="1">
    <formula>Sheet1!$A$1:$AL$473</formula>
    <oldFormula>Sheet1!$A$1:$AL$473</oldFormula>
  </rdn>
  <rdn rId="0" localSheetId="1" customView="1" name="Z_7C1B4D6D_D666_48DD_AB17_E00791B6F0B6_.wvu.FilterData" hidden="1" oldHidden="1">
    <formula>Sheet1!$A$6:$DG$442</formula>
    <oldFormula>Sheet1!$A$6:$DG$442</oldFormula>
  </rdn>
  <rcv guid="{7C1B4D6D-D666-48DD-AB17-E00791B6F0B6}" action="add"/>
</revisions>
</file>

<file path=xl/revisions/revisionLog2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98" sId="1" numFmtId="19">
    <nc r="L173">
      <v>44569</v>
    </nc>
  </rcc>
  <rcc rId="2999" sId="1">
    <nc r="P173" t="inlineStr">
      <is>
        <t>Târgu Mureș</t>
      </is>
    </nc>
  </rcc>
  <rcc rId="3000" sId="1">
    <nc r="Q173" t="inlineStr">
      <is>
        <t>APL</t>
      </is>
    </nc>
  </rcc>
</revisions>
</file>

<file path=xl/revisions/revisionLog2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01" sId="1">
    <nc r="R173"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2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02" sId="1">
    <nc r="J173" t="inlineStr">
      <is>
        <t>Consolidarea capacitații Consiliului Judetean Mures de a asigura calitatea si accesul la serviciile publice oferite prin simplificarea
procedurilor administrative si reducerea birocraþiei pentru cetațeni.</t>
      </is>
    </nc>
  </rcc>
</revisions>
</file>

<file path=xl/revisions/revisionLog2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03" sId="1">
    <nc r="E173" t="inlineStr">
      <is>
        <t>AP 2/11i/2.1</t>
      </is>
    </nc>
  </rcc>
  <rcv guid="{7C1B4D6D-D666-48DD-AB17-E00791B6F0B6}" action="delete"/>
  <rdn rId="0" localSheetId="1" customView="1" name="Z_7C1B4D6D_D666_48DD_AB17_E00791B6F0B6_.wvu.PrintArea" hidden="1" oldHidden="1">
    <formula>Sheet1!$A$1:$AL$473</formula>
    <oldFormula>Sheet1!$A$1:$AL$473</oldFormula>
  </rdn>
  <rdn rId="0" localSheetId="1" customView="1" name="Z_7C1B4D6D_D666_48DD_AB17_E00791B6F0B6_.wvu.FilterData" hidden="1" oldHidden="1">
    <formula>Sheet1!$A$6:$DG$442</formula>
    <oldFormula>Sheet1!$A$6:$DG$442</oldFormula>
  </rdn>
  <rcv guid="{7C1B4D6D-D666-48DD-AB17-E00791B6F0B6}" action="add"/>
</revisions>
</file>

<file path=xl/revisions/revisionLog2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06" sId="1" numFmtId="4">
    <nc r="T173">
      <v>2547988.73</v>
    </nc>
  </rcc>
  <rcc rId="3007" sId="1" numFmtId="4">
    <nc r="U173">
      <v>0</v>
    </nc>
  </rcc>
  <rcc rId="3008" sId="1">
    <nc r="S173">
      <f>T173+U173</f>
    </nc>
  </rcc>
  <rcc rId="3009" sId="1" numFmtId="4">
    <nc r="W173">
      <v>389692.4</v>
    </nc>
  </rcc>
  <rcc rId="3010" sId="1" numFmtId="4">
    <nc r="X173">
      <v>0</v>
    </nc>
  </rcc>
  <rcc rId="3011" sId="1">
    <nc r="V173">
      <f>W173+X173</f>
    </nc>
  </rcc>
  <rcc rId="3012" sId="1" numFmtId="4">
    <nc r="Z173">
      <v>59952.67</v>
    </nc>
  </rcc>
  <rcc rId="3013" sId="1" numFmtId="4">
    <nc r="AA173">
      <v>0</v>
    </nc>
  </rcc>
  <rcc rId="3014" sId="1">
    <nc r="Y173">
      <f>Z173+AA173</f>
    </nc>
  </rcc>
  <rcc rId="3015" sId="1">
    <oc r="S174">
      <f>SUM(S169:S171)</f>
    </oc>
    <nc r="S174">
      <f>SUM(S169:S173)</f>
    </nc>
  </rcc>
  <rcc rId="3016" sId="1">
    <oc r="T174">
      <f>SUM(T169:T171)</f>
    </oc>
    <nc r="T174">
      <f>SUM(T169:T173)</f>
    </nc>
  </rcc>
  <rcc rId="3017" sId="1">
    <oc r="U174">
      <f>SUM(U169:U171)</f>
    </oc>
    <nc r="U174">
      <f>SUM(U169:U173)</f>
    </nc>
  </rcc>
  <rcc rId="3018" sId="1">
    <oc r="V174">
      <f>SUM(V169:V171)</f>
    </oc>
    <nc r="V174">
      <f>SUM(V169:V173)</f>
    </nc>
  </rcc>
  <rcc rId="3019" sId="1">
    <oc r="W174">
      <f>SUM(W169:W171)</f>
    </oc>
    <nc r="W174">
      <f>SUM(W169:W173)</f>
    </nc>
  </rcc>
  <rcc rId="3020" sId="1">
    <oc r="X174">
      <f>SUM(X169:X171)</f>
    </oc>
    <nc r="X174">
      <f>SUM(X169:X173)</f>
    </nc>
  </rcc>
  <rcc rId="3021" sId="1">
    <oc r="Y174">
      <f>SUM(Y169:Y171)</f>
    </oc>
    <nc r="Y174">
      <f>SUM(Y169:Y173)</f>
    </nc>
  </rcc>
  <rcc rId="3022" sId="1">
    <oc r="Z174">
      <f>SUM(Z169:Z171)</f>
    </oc>
    <nc r="Z174">
      <f>SUM(Z169:Z173)</f>
    </nc>
  </rcc>
  <rcc rId="3023" sId="1">
    <oc r="AA174">
      <f>SUM(AA169:AA171)</f>
    </oc>
    <nc r="AA174">
      <f>SUM(AA169:AA173)</f>
    </nc>
  </rcc>
  <rcc rId="3024" sId="1">
    <oc r="AB174">
      <f>SUM(AB169:AB171)</f>
    </oc>
    <nc r="AB174">
      <f>SUM(AB169:AB173)</f>
    </nc>
  </rcc>
  <rcc rId="3025" sId="1">
    <oc r="AC174">
      <f>SUM(AC169:AC171)</f>
    </oc>
    <nc r="AC174">
      <f>SUM(AC169:AC173)</f>
    </nc>
  </rcc>
  <rcc rId="3026" sId="1">
    <oc r="AD174">
      <f>SUM(AD169:AD171)</f>
    </oc>
    <nc r="AD174">
      <f>SUM(AD169:AD173)</f>
    </nc>
  </rcc>
  <rcc rId="3027" sId="1">
    <oc r="AE174">
      <f>SUM(AE169:AE171)</f>
    </oc>
    <nc r="AE174">
      <f>SUM(AE169:AE173)</f>
    </nc>
  </rcc>
  <rcc rId="3028" sId="1">
    <oc r="AF174">
      <f>SUM(AF169:AF171)</f>
    </oc>
    <nc r="AF174">
      <f>SUM(AF169:AF173)</f>
    </nc>
  </rcc>
  <rcc rId="3029" sId="1">
    <oc r="AG174">
      <f>SUM(AG169:AG171)</f>
    </oc>
    <nc r="AG174">
      <f>SUM(AG169:AG173)</f>
    </nc>
  </rcc>
  <rcc rId="3030" sId="1">
    <nc r="AH174">
      <f>SUM(AH169:AH173)</f>
    </nc>
  </rcc>
  <rcc rId="3031" sId="1">
    <oc r="AI174">
      <f>SUM(AI169:AI171)</f>
    </oc>
    <nc r="AI174">
      <f>SUM(AI169:AI173)</f>
    </nc>
  </rcc>
  <rcc rId="3032" sId="1">
    <oc r="AJ174">
      <f>SUM(AJ169:AJ171)</f>
    </oc>
    <nc r="AJ174">
      <f>SUM(AJ169:AJ173)</f>
    </nc>
  </rcc>
  <rcc rId="3033" sId="1">
    <oc r="AK174">
      <f>SUM(AK169:AK171)</f>
    </oc>
    <nc r="AK174">
      <f>SUM(AK169:AK173)</f>
    </nc>
  </rcc>
  <rcc rId="3034" sId="1" numFmtId="4">
    <nc r="AC173">
      <v>0</v>
    </nc>
  </rcc>
  <rcc rId="3035" sId="1" numFmtId="4">
    <nc r="AD173">
      <v>0</v>
    </nc>
  </rcc>
  <rcc rId="3036" sId="1">
    <nc r="AB173">
      <f>AC173+AD173</f>
    </nc>
  </rcc>
  <rcc rId="3037" sId="1">
    <nc r="AE173">
      <f>S173+V173+Y173+AB173</f>
    </nc>
  </rcc>
  <rcc rId="3038" sId="1" numFmtId="4">
    <nc r="AF173">
      <v>21896</v>
    </nc>
  </rcc>
  <rcc rId="3039" sId="1">
    <nc r="AG173">
      <f>AE173+AF173</f>
    </nc>
  </rcc>
  <rcc rId="3040" sId="1">
    <nc r="AH173" t="inlineStr">
      <is>
        <t xml:space="preserve"> în implementare</t>
      </is>
    </nc>
  </rcc>
  <rcc rId="3041" sId="1">
    <nc r="AI172" t="inlineStr">
      <is>
        <t>n.a</t>
      </is>
    </nc>
  </rcc>
  <rcc rId="3042" sId="1">
    <nc r="AI173" t="inlineStr">
      <is>
        <t>n.a</t>
      </is>
    </nc>
  </rcc>
  <rcc rId="3043" sId="1" numFmtId="4">
    <nc r="AJ173">
      <v>0</v>
    </nc>
  </rcc>
  <rcc rId="3044" sId="1" numFmtId="4">
    <nc r="AK173">
      <v>0</v>
    </nc>
  </rcc>
</revisions>
</file>

<file path=xl/revisions/revisionLog2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5" sId="1">
    <oc r="AH227" t="inlineStr">
      <is>
        <t xml:space="preserve"> în implementare</t>
      </is>
    </oc>
    <nc r="AH227" t="inlineStr">
      <is>
        <t>finalizat</t>
      </is>
    </nc>
  </rcc>
  <rcv guid="{905D93EA-5662-45AB-8995-A9908B3E5D52}" action="delete"/>
  <rdn rId="0" localSheetId="1" customView="1" name="Z_905D93EA_5662_45AB_8995_A9908B3E5D52_.wvu.PrintArea" hidden="1" oldHidden="1">
    <formula>Sheet1!$A$1:$AL$473</formula>
    <oldFormula>Sheet1!$A$1:$AL$473</oldFormula>
  </rdn>
  <rdn rId="0" localSheetId="1" customView="1" name="Z_905D93EA_5662_45AB_8995_A9908B3E5D52_.wvu.FilterData" hidden="1" oldHidden="1">
    <formula>Sheet1!$C$1:$C$484</formula>
    <oldFormula>Sheet1!$C$1:$C$484</oldFormula>
  </rdn>
  <rcv guid="{905D93EA-5662-45AB-8995-A9908B3E5D52}" action="add"/>
</revisions>
</file>

<file path=xl/revisions/revisionLog2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8" sId="1" numFmtId="19">
    <oc r="L211">
      <v>43677</v>
    </oc>
    <nc r="L211">
      <v>43799</v>
    </nc>
  </rcc>
  <rcc rId="3049" sId="1">
    <nc r="AI211" t="inlineStr">
      <is>
        <t>AA 1/08.07.2019</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53" start="0" length="0">
    <dxf>
      <font>
        <sz val="12"/>
        <color theme="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cc rId="4696" sId="1">
    <oc r="F453" t="inlineStr">
      <is>
        <t xml:space="preserve">IP 10/2018 </t>
      </is>
    </oc>
    <nc r="F453" t="inlineStr">
      <is>
        <t>IP 10/2018 (MySMIS: 
POCA/354/1/3/)</t>
      </is>
    </nc>
  </rcc>
  <rcv guid="{EA64E7D7-BA48-4965-B650-778AE412FE0C}" action="delete"/>
  <rdn rId="0" localSheetId="1" customView="1" name="Z_EA64E7D7_BA48_4965_B650_778AE412FE0C_.wvu.PrintArea" hidden="1" oldHidden="1">
    <formula>Sheet1!$A$1:$AL$487</formula>
    <oldFormula>Sheet1!$A$1:$AL$487</oldFormula>
  </rdn>
  <rdn rId="0" localSheetId="1" customView="1" name="Z_EA64E7D7_BA48_4965_B650_778AE412FE0C_.wvu.FilterData" hidden="1" oldHidden="1">
    <formula>Sheet1!$A$1:$DG$455</formula>
    <oldFormula>Sheet1!$A$1:$DG$455</oldFormula>
  </rdn>
  <rcv guid="{EA64E7D7-BA48-4965-B650-778AE412FE0C}" action="add"/>
</revisions>
</file>

<file path=xl/revisions/revisionLog2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50" sId="1" ref="A76:XFD76" action="insertRow">
    <undo index="65535" exp="area" ref3D="1" dr="$H$1:$N$1048576" dn="Z_65B035E3_87FA_46C5_996E_864F2C8D0EBC_.wvu.Cols" sId="1"/>
  </rrc>
  <rcc rId="3051" sId="1">
    <nc r="A76">
      <v>7</v>
    </nc>
  </rcc>
  <rcc rId="3052" sId="1">
    <nc r="B76">
      <v>129270</v>
    </nc>
  </rcc>
  <rcc rId="3053" sId="1">
    <nc r="C76">
      <v>647</v>
    </nc>
  </rcc>
  <rcc rId="3054" sId="1">
    <nc r="D76" t="inlineStr">
      <is>
        <t>MP</t>
      </is>
    </nc>
  </rcc>
  <rcc rId="3055" sId="1">
    <nc r="E76" t="inlineStr">
      <is>
        <t>AP 2/11i/2.1</t>
      </is>
    </nc>
  </rcc>
  <rcc rId="3056" sId="1">
    <nc r="F76" t="inlineStr">
      <is>
        <t>CP12 less/2018</t>
      </is>
    </nc>
  </rcc>
  <rcv guid="{7C1B4D6D-D666-48DD-AB17-E00791B6F0B6}" action="delete"/>
  <rdn rId="0" localSheetId="1" customView="1" name="Z_7C1B4D6D_D666_48DD_AB17_E00791B6F0B6_.wvu.PrintArea" hidden="1" oldHidden="1">
    <formula>Sheet1!$A$1:$AL$474</formula>
    <oldFormula>Sheet1!$A$1:$AL$474</oldFormula>
  </rdn>
  <rdn rId="0" localSheetId="1" customView="1" name="Z_7C1B4D6D_D666_48DD_AB17_E00791B6F0B6_.wvu.FilterData" hidden="1" oldHidden="1">
    <formula>Sheet1!$A$6:$DG$443</formula>
    <oldFormula>Sheet1!$A$6:$DG$443</oldFormula>
  </rdn>
  <rcv guid="{7C1B4D6D-D666-48DD-AB17-E00791B6F0B6}" action="add"/>
</revisions>
</file>

<file path=xl/revisions/revisionLog2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59" sId="1">
    <nc r="H76" t="inlineStr">
      <is>
        <t>Municipiul Râmnicu Sărat</t>
      </is>
    </nc>
  </rcc>
  <rcc rId="3060" sId="1">
    <nc r="G76" t="inlineStr">
      <is>
        <t>Soluții informatice integrate pentru simplificarea furnizării serviciilor către cetățeni si mediul de afaceri și optimizarea procedurilor administrative la nivelul Municipiului Râmnicu-Sărat</t>
      </is>
    </nc>
  </rcc>
  <rcc rId="3061" sId="1" numFmtId="19">
    <nc r="K76">
      <v>43656</v>
    </nc>
  </rcc>
  <rcc rId="3062" sId="1" numFmtId="19">
    <nc r="L76">
      <v>44206</v>
    </nc>
  </rcc>
  <rcc rId="3063" sId="1">
    <nc r="M76">
      <f>S76/AE76*100</f>
    </nc>
  </rcc>
  <rcc rId="3064" sId="1">
    <nc r="N76">
      <v>2</v>
    </nc>
  </rcc>
  <rcc rId="3065" sId="1">
    <nc r="O76" t="inlineStr">
      <is>
        <t>Buzău</t>
      </is>
    </nc>
  </rcc>
  <rcc rId="3066" sId="1">
    <nc r="P76" t="inlineStr">
      <is>
        <t>Municipiul Rm. Sarat</t>
      </is>
    </nc>
  </rcc>
  <rcc rId="3067" sId="1">
    <nc r="Q76" t="inlineStr">
      <is>
        <t>APL</t>
      </is>
    </nc>
  </rcc>
  <rcc rId="3068" sId="1">
    <nc r="R76" t="inlineStr">
      <is>
        <t>119 - Investiții în capacitatea instituțională și în eficiența administrațiilor și a serviciilor publice la nivel național, regional și local, în perspectiva realizării de reforme, a unei mai bune legiferări și a bunei guvernanțe</t>
      </is>
    </nc>
  </rcc>
  <rcc rId="3069" sId="1" numFmtId="4">
    <nc r="T76">
      <v>1749225.82</v>
    </nc>
  </rcc>
  <rcc rId="3070" sId="1">
    <nc r="S76">
      <f>T76+U76</f>
    </nc>
  </rcc>
  <rcc rId="3071" sId="1" numFmtId="4">
    <nc r="U76">
      <v>0</v>
    </nc>
  </rcc>
  <rcc rId="3072" sId="1" numFmtId="4">
    <nc r="W76">
      <v>267528.65999999997</v>
    </nc>
  </rcc>
  <rcc rId="3073" sId="1" numFmtId="4">
    <nc r="X76">
      <v>0</v>
    </nc>
  </rcc>
  <rcc rId="3074" sId="1">
    <nc r="V76">
      <f>W76+X76</f>
    </nc>
  </rcc>
  <rcc rId="3075" sId="1" numFmtId="4">
    <nc r="Z76">
      <v>41158.25</v>
    </nc>
  </rcc>
  <rcc rId="3076" sId="1" numFmtId="4">
    <nc r="AA76">
      <v>0</v>
    </nc>
  </rcc>
  <rcc rId="3077" sId="1">
    <nc r="Y76">
      <f>Z76+AA76</f>
    </nc>
  </rcc>
  <rcc rId="3078" sId="1" numFmtId="4">
    <nc r="AC76">
      <v>0</v>
    </nc>
  </rcc>
  <rcc rId="3079" sId="1" numFmtId="4">
    <nc r="AD76">
      <v>0</v>
    </nc>
  </rcc>
  <rcc rId="3080" sId="1" numFmtId="4">
    <nc r="AB76">
      <f>AC76+AD76</f>
    </nc>
  </rcc>
  <rcc rId="3081" sId="1" numFmtId="4">
    <nc r="AF76">
      <v>0</v>
    </nc>
  </rcc>
  <rcc rId="3082" sId="1">
    <nc r="AE76">
      <f>S76+V76+Y76+AB76</f>
    </nc>
  </rcc>
  <rcc rId="3083" sId="1" numFmtId="4">
    <oc r="AE78">
      <v>397889</v>
    </oc>
    <nc r="AE78">
      <f>S78+V78+Y78+AB78</f>
    </nc>
  </rcc>
  <rcc rId="3084" sId="1" numFmtId="4">
    <nc r="AG76">
      <f>AE76+AF76</f>
    </nc>
  </rcc>
  <rcc rId="3085" sId="1">
    <nc r="AH76" t="inlineStr">
      <is>
        <t xml:space="preserve"> în implementare</t>
      </is>
    </nc>
  </rcc>
</revisions>
</file>

<file path=xl/revisions/revisionLog2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6" sId="1">
    <nc r="I76" t="inlineStr">
      <is>
        <t>n.a</t>
      </is>
    </nc>
  </rcc>
</revisions>
</file>

<file path=xl/revisions/revisionLog2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7" sId="1">
    <nc r="J76" t="inlineStr">
      <is>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is>
    </nc>
  </rcc>
</revisions>
</file>

<file path=xl/revisions/revisionLog2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8" sId="1">
    <oc r="F76" t="inlineStr">
      <is>
        <t>CP12 less/2018</t>
      </is>
    </oc>
    <nc r="F76" t="inlineStr">
      <is>
        <t>CP 12 less/2018</t>
      </is>
    </nc>
  </rcc>
</revisions>
</file>

<file path=xl/revisions/revisionLog2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9" sId="1">
    <oc r="O96" t="inlineStr">
      <is>
        <t>Hunedoara</t>
      </is>
    </oc>
    <nc r="O96" t="inlineStr">
      <is>
        <t>Cluj</t>
      </is>
    </nc>
  </rcc>
  <rcv guid="{EF10298D-3F59-43F1-9A86-8C1CCA3B5D93}" action="delete"/>
  <rdn rId="0" localSheetId="1" customView="1" name="Z_EF10298D_3F59_43F1_9A86_8C1CCA3B5D93_.wvu.PrintArea" hidden="1" oldHidden="1">
    <formula>Sheet1!$A$1:$AL$474</formula>
    <oldFormula>Sheet1!$A$1:$AL$474</oldFormula>
  </rdn>
  <rdn rId="0" localSheetId="1" customView="1" name="Z_EF10298D_3F59_43F1_9A86_8C1CCA3B5D93_.wvu.FilterData" hidden="1" oldHidden="1">
    <formula>Sheet1!$A$6:$AL$474</formula>
    <oldFormula>Sheet1!$A$6:$AL$474</oldFormula>
  </rdn>
  <rcv guid="{EF10298D-3F59-43F1-9A86-8C1CCA3B5D93}" action="add"/>
</revisions>
</file>

<file path=xl/revisions/revisionLog2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92" sId="1">
    <oc r="H96" t="inlineStr">
      <is>
        <t>Judetul Hunedoara</t>
      </is>
    </oc>
    <nc r="H96" t="inlineStr">
      <is>
        <t>Municipiul Dej</t>
      </is>
    </nc>
  </rcc>
</revisions>
</file>

<file path=xl/revisions/revisionLog2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93" sId="1">
    <oc r="AH180" t="inlineStr">
      <is>
        <t xml:space="preserve"> în implementare</t>
      </is>
    </oc>
    <nc r="AH180" t="inlineStr">
      <is>
        <t>finalizat</t>
      </is>
    </nc>
  </rcc>
  <rcv guid="{905D93EA-5662-45AB-8995-A9908B3E5D52}" action="delete"/>
  <rdn rId="0" localSheetId="1" customView="1" name="Z_905D93EA_5662_45AB_8995_A9908B3E5D52_.wvu.PrintArea" hidden="1" oldHidden="1">
    <formula>Sheet1!$A$1:$AL$474</formula>
    <oldFormula>Sheet1!$A$1:$AL$474</oldFormula>
  </rdn>
  <rdn rId="0" localSheetId="1" customView="1" name="Z_905D93EA_5662_45AB_8995_A9908B3E5D52_.wvu.FilterData" hidden="1" oldHidden="1">
    <formula>Sheet1!$C$1:$C$485</formula>
    <oldFormula>Sheet1!$C$1:$C$485</oldFormula>
  </rdn>
  <rcv guid="{905D93EA-5662-45AB-8995-A9908B3E5D52}" action="add"/>
</revisions>
</file>

<file path=xl/revisions/revisionLog2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396">
    <dxf>
      <fill>
        <patternFill patternType="solid">
          <bgColor rgb="FFFFFFCC"/>
        </patternFill>
      </fill>
    </dxf>
  </rfmt>
  <rcc rId="3096" sId="1" numFmtId="19">
    <oc r="L160">
      <v>43677</v>
    </oc>
    <nc r="L160">
      <v>43830</v>
    </nc>
  </rcc>
  <rcv guid="{84FB199A-D56E-4FDD-AC4A-70CE86CD87BC}" action="delete"/>
  <rdn rId="0" localSheetId="1" customView="1" name="Z_84FB199A_D56E_4FDD_AC4A_70CE86CD87BC_.wvu.PrintArea" hidden="1" oldHidden="1">
    <formula>Sheet1!$A$1:$AL$474</formula>
    <oldFormula>Sheet1!$A$1:$AL$474</oldFormula>
  </rdn>
  <rdn rId="0" localSheetId="1" customView="1" name="Z_84FB199A_D56E_4FDD_AC4A_70CE86CD87BC_.wvu.FilterData" hidden="1" oldHidden="1">
    <formula>Sheet1!$C$1:$C$485</formula>
    <oldFormula>Sheet1!$A$1:$AL$443</oldFormula>
  </rdn>
  <rcv guid="{84FB199A-D56E-4FDD-AC4A-70CE86CD87BC}" action="add"/>
</revisions>
</file>

<file path=xl/revisions/revisionLog2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Sheet1!$A$1:$AL$474</formula>
    <oldFormula>Sheet1!$A$1:$AL$474</oldFormula>
  </rdn>
  <rdn rId="0" localSheetId="1" customView="1" name="Z_7C1B4D6D_D666_48DD_AB17_E00791B6F0B6_.wvu.FilterData" hidden="1" oldHidden="1">
    <formula>Sheet1!$A$6:$DG$443</formula>
    <oldFormula>Sheet1!$A$6:$DG$443</oldFormula>
  </rdn>
  <rcv guid="{7C1B4D6D-D666-48DD-AB17-E00791B6F0B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414">
    <dxf>
      <alignment wrapText="1"/>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99" sId="1">
    <oc r="J451" t="inlineStr">
      <is>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construcț+J482ii</t>
      </is>
    </oc>
    <nc r="J451" t="inlineStr">
      <is>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is>
    </nc>
  </rcc>
  <rfmt sheetId="1" sqref="J451">
    <dxf>
      <alignment horizontal="right"/>
    </dxf>
  </rfmt>
  <rfmt sheetId="1" sqref="J451">
    <dxf>
      <alignment horizontal="left"/>
    </dxf>
  </rfmt>
  <rcc rId="4700" sId="1" numFmtId="19">
    <oc r="K451">
      <v>43663</v>
    </oc>
    <nc r="K451">
      <v>43670</v>
    </nc>
  </rcc>
  <rcc rId="4701" sId="1" numFmtId="19">
    <oc r="L451">
      <v>44578</v>
    </oc>
    <nc r="L451">
      <v>44766</v>
    </nc>
  </rcc>
</revisions>
</file>

<file path=xl/revisions/revisionLog3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101" sId="1" ref="A454:XFD454" action="insertRow">
    <undo index="65535" exp="area" ref3D="1" dr="$H$1:$N$1048576" dn="Z_65B035E3_87FA_46C5_996E_864F2C8D0EBC_.wvu.Cols" sId="1"/>
  </rrc>
  <rcc rId="3102" sId="1">
    <nc r="D454">
      <f>COUNTIFS(F$7:F$444,$F454)</f>
    </nc>
  </rcc>
  <rcc rId="3103" sId="1">
    <nc r="E454" t="inlineStr">
      <is>
        <t>TOTAL</t>
      </is>
    </nc>
  </rcc>
  <rcc rId="3104" sId="1">
    <nc r="F454" t="inlineStr">
      <is>
        <t>IP 11/2018</t>
      </is>
    </nc>
  </rcc>
  <rcc rId="3105" sId="1">
    <nc r="S454">
      <f>SUMIFS(S$7:S$444,$F$7:$F$444,$F454)</f>
    </nc>
  </rcc>
  <rcc rId="3106" sId="1" endOfListFormulaUpdate="1">
    <oc r="S455">
      <f>SUM(S445:S453)</f>
    </oc>
    <nc r="S455">
      <f>SUM(S445:S454)</f>
    </nc>
  </rcc>
  <rcc rId="3107" sId="1">
    <nc r="T454">
      <f>SUMIFS(T$7:T$444,$F$7:$F$444,$F454)</f>
    </nc>
  </rcc>
  <rcc rId="3108" sId="1" endOfListFormulaUpdate="1">
    <oc r="T455">
      <f>SUM(T445:T453)</f>
    </oc>
    <nc r="T455">
      <f>SUM(T445:T454)</f>
    </nc>
  </rcc>
  <rcc rId="3109" sId="1">
    <nc r="U454">
      <f>SUMIFS(U$7:U$444,$F$7:$F$444,$F454)</f>
    </nc>
  </rcc>
  <rcc rId="3110" sId="1" endOfListFormulaUpdate="1">
    <oc r="U455">
      <f>SUM(U445:U453)</f>
    </oc>
    <nc r="U455">
      <f>SUM(U445:U454)</f>
    </nc>
  </rcc>
  <rcc rId="3111" sId="1">
    <nc r="V454">
      <f>SUMIFS(V$7:V$444,$F$7:$F$444,$F454)</f>
    </nc>
  </rcc>
  <rcc rId="3112" sId="1" endOfListFormulaUpdate="1">
    <oc r="V455">
      <f>SUM(V445:V453)</f>
    </oc>
    <nc r="V455">
      <f>SUM(V445:V454)</f>
    </nc>
  </rcc>
  <rcc rId="3113" sId="1">
    <nc r="W454">
      <f>SUMIFS(W$7:W$444,$F$7:$F$444,$F454)</f>
    </nc>
  </rcc>
  <rcc rId="3114" sId="1" endOfListFormulaUpdate="1">
    <oc r="W455">
      <f>SUM(W445:W453)</f>
    </oc>
    <nc r="W455">
      <f>SUM(W445:W454)</f>
    </nc>
  </rcc>
  <rcc rId="3115" sId="1">
    <nc r="X454">
      <f>SUMIFS(X$7:X$444,$F$7:$F$444,$F454)</f>
    </nc>
  </rcc>
  <rcc rId="3116" sId="1" endOfListFormulaUpdate="1">
    <oc r="X455">
      <f>SUM(X445:X453)</f>
    </oc>
    <nc r="X455">
      <f>SUM(X445:X454)</f>
    </nc>
  </rcc>
  <rcc rId="3117" sId="1">
    <nc r="Y454">
      <f>SUMIFS(Y$7:Y$444,$F$7:$F$444,$F454)</f>
    </nc>
  </rcc>
  <rcc rId="3118" sId="1" endOfListFormulaUpdate="1">
    <oc r="Y455">
      <f>SUM(Y445:Y453)</f>
    </oc>
    <nc r="Y455">
      <f>SUM(Y445:Y454)</f>
    </nc>
  </rcc>
  <rcc rId="3119" sId="1">
    <nc r="Z454">
      <f>SUMIFS(Z$7:Z$444,$F$7:$F$444,$F454)</f>
    </nc>
  </rcc>
  <rcc rId="3120" sId="1" endOfListFormulaUpdate="1">
    <oc r="Z455">
      <f>SUM(Z445:Z453)</f>
    </oc>
    <nc r="Z455">
      <f>SUM(Z445:Z454)</f>
    </nc>
  </rcc>
  <rcc rId="3121" sId="1">
    <nc r="AA454">
      <f>SUMIFS(AA$7:AA$444,$F$7:$F$444,$F454)</f>
    </nc>
  </rcc>
  <rcc rId="3122" sId="1" endOfListFormulaUpdate="1">
    <oc r="AA455">
      <f>SUM(AA445:AA453)</f>
    </oc>
    <nc r="AA455">
      <f>SUM(AA445:AA454)</f>
    </nc>
  </rcc>
  <rcc rId="3123" sId="1">
    <nc r="AB454">
      <f>SUMIFS(AB$7:AB$444,$F$7:$F$444,$F454)</f>
    </nc>
  </rcc>
  <rcc rId="3124" sId="1" endOfListFormulaUpdate="1">
    <oc r="AB455">
      <f>SUM(AB445:AB453)</f>
    </oc>
    <nc r="AB455">
      <f>SUM(AB445:AB454)</f>
    </nc>
  </rcc>
  <rcc rId="3125" sId="1">
    <nc r="AC454">
      <f>SUMIFS(AC$7:AC$444,$F$7:$F$444,$F454)</f>
    </nc>
  </rcc>
  <rcc rId="3126" sId="1" endOfListFormulaUpdate="1">
    <oc r="AC455">
      <f>SUM(AC445:AC453)</f>
    </oc>
    <nc r="AC455">
      <f>SUM(AC445:AC454)</f>
    </nc>
  </rcc>
  <rcc rId="3127" sId="1">
    <nc r="AD454">
      <f>SUMIFS(AD$7:AD$444,$F$7:$F$444,$F454)</f>
    </nc>
  </rcc>
  <rcc rId="3128" sId="1" endOfListFormulaUpdate="1">
    <oc r="AD455">
      <f>SUM(AD445:AD453)</f>
    </oc>
    <nc r="AD455">
      <f>SUM(AD445:AD454)</f>
    </nc>
  </rcc>
  <rcc rId="3129" sId="1">
    <nc r="AE454">
      <f>SUMIFS(AE$7:AE$444,$F$7:$F$444,$F454)</f>
    </nc>
  </rcc>
  <rcc rId="3130" sId="1" endOfListFormulaUpdate="1">
    <oc r="AE455">
      <f>SUM(AE445:AE453)</f>
    </oc>
    <nc r="AE455">
      <f>SUM(AE445:AE454)</f>
    </nc>
  </rcc>
  <rcc rId="3131" sId="1">
    <nc r="AF454">
      <f>SUMIFS(AF$7:AF$444,$F$7:$F$444,$F454)</f>
    </nc>
  </rcc>
  <rcc rId="3132" sId="1" endOfListFormulaUpdate="1">
    <oc r="AF455">
      <f>SUM(AF445:AF453)</f>
    </oc>
    <nc r="AF455">
      <f>SUM(AF445:AF454)</f>
    </nc>
  </rcc>
  <rcc rId="3133" sId="1">
    <nc r="AG454">
      <f>SUMIFS(AG$7:AG$444,$F$7:$F$444,$F454)</f>
    </nc>
  </rcc>
  <rcc rId="3134" sId="1" endOfListFormulaUpdate="1">
    <oc r="AG455">
      <f>SUM(AG445:AG453)</f>
    </oc>
    <nc r="AG455">
      <f>SUM(AG445:AG454)</f>
    </nc>
  </rcc>
  <rcc rId="3135" sId="1">
    <nc r="AJ454">
      <f>SUMIFS(AJ$7:AJ$444,$F$7:$F$444,$F454)</f>
    </nc>
  </rcc>
  <rcc rId="3136" sId="1" endOfListFormulaUpdate="1">
    <oc r="AJ455">
      <f>SUM(AJ445:AJ453)</f>
    </oc>
    <nc r="AJ455">
      <f>SUM(AJ445:AJ454)</f>
    </nc>
  </rcc>
  <rcc rId="3137" sId="1">
    <nc r="AK454">
      <f>SUMIFS(AK$7:AK$444,$F$7:$F$444,$F454)</f>
    </nc>
  </rcc>
  <rcc rId="3138" sId="1" endOfListFormulaUpdate="1">
    <oc r="AK455">
      <f>SUM(AK445:AK453)</f>
    </oc>
    <nc r="AK455">
      <f>SUM(AK445:AK454)</f>
    </nc>
  </rcc>
  <rrc rId="3139" sId="1" ref="A441:XFD442" action="insertRow">
    <undo index="65535" exp="area" ref3D="1" dr="$H$1:$N$1048576" dn="Z_65B035E3_87FA_46C5_996E_864F2C8D0EBC_.wvu.Cols" sId="1"/>
  </rrc>
  <rfmt sheetId="1" sqref="A440" start="0" length="0">
    <dxf>
      <border>
        <left style="thin">
          <color indexed="64"/>
        </left>
      </border>
    </dxf>
  </rfmt>
  <rfmt sheetId="1" sqref="A440:AL440" start="0" length="0">
    <dxf>
      <border>
        <top style="thin">
          <color indexed="64"/>
        </top>
      </border>
    </dxf>
  </rfmt>
  <rfmt sheetId="1" sqref="AL440" start="0" length="0">
    <dxf>
      <border>
        <right style="thin">
          <color indexed="64"/>
        </right>
      </border>
    </dxf>
  </rfmt>
  <rfmt sheetId="1" sqref="A440:AL440" start="0" length="0">
    <dxf>
      <border>
        <bottom style="thin">
          <color indexed="64"/>
        </bottom>
      </border>
    </dxf>
  </rfmt>
  <rfmt sheetId="1" sqref="A440:AL440">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441" start="0" length="0">
    <dxf>
      <border outline="0">
        <left style="thin">
          <color indexed="64"/>
        </left>
        <right style="thin">
          <color indexed="64"/>
        </right>
        <top style="thin">
          <color indexed="64"/>
        </top>
        <bottom style="thin">
          <color indexed="64"/>
        </bottom>
      </border>
    </dxf>
  </rfmt>
  <rfmt sheetId="1" sqref="B441" start="0" length="0">
    <dxf>
      <border outline="0">
        <left style="thin">
          <color indexed="64"/>
        </left>
        <right style="thin">
          <color indexed="64"/>
        </right>
        <top style="thin">
          <color indexed="64"/>
        </top>
        <bottom style="thin">
          <color indexed="64"/>
        </bottom>
      </border>
    </dxf>
  </rfmt>
  <rfmt sheetId="1" sqref="C441" start="0" length="0">
    <dxf>
      <border outline="0">
        <left style="thin">
          <color indexed="64"/>
        </left>
        <right style="thin">
          <color indexed="64"/>
        </right>
        <top style="thin">
          <color indexed="64"/>
        </top>
        <bottom style="thin">
          <color indexed="64"/>
        </bottom>
      </border>
    </dxf>
  </rfmt>
  <rfmt sheetId="1" sqref="D441" start="0" length="0">
    <dxf>
      <border outline="0">
        <left style="thin">
          <color indexed="64"/>
        </left>
        <right style="thin">
          <color indexed="64"/>
        </right>
        <top style="thin">
          <color indexed="64"/>
        </top>
        <bottom style="thin">
          <color indexed="64"/>
        </bottom>
      </border>
    </dxf>
  </rfmt>
  <rfmt sheetId="1" sqref="E441" start="0" length="0">
    <dxf>
      <border outline="0">
        <left style="thin">
          <color indexed="64"/>
        </left>
        <right style="thin">
          <color indexed="64"/>
        </right>
        <top style="thin">
          <color indexed="64"/>
        </top>
        <bottom style="thin">
          <color indexed="64"/>
        </bottom>
      </border>
    </dxf>
  </rfmt>
  <rfmt sheetId="1" sqref="F441" start="0" length="0">
    <dxf>
      <border outline="0">
        <left style="thin">
          <color indexed="64"/>
        </left>
        <right style="thin">
          <color indexed="64"/>
        </right>
        <top style="thin">
          <color indexed="64"/>
        </top>
        <bottom style="thin">
          <color indexed="64"/>
        </bottom>
      </border>
    </dxf>
  </rfmt>
  <rfmt sheetId="1" sqref="G441" start="0" length="0">
    <dxf>
      <border outline="0">
        <left style="thin">
          <color indexed="64"/>
        </left>
        <right style="thin">
          <color indexed="64"/>
        </right>
        <top style="thin">
          <color indexed="64"/>
        </top>
        <bottom style="thin">
          <color indexed="64"/>
        </bottom>
      </border>
    </dxf>
  </rfmt>
  <rfmt sheetId="1" sqref="H441" start="0" length="0">
    <dxf>
      <border outline="0">
        <left style="thin">
          <color indexed="64"/>
        </left>
        <right style="thin">
          <color indexed="64"/>
        </right>
        <top style="thin">
          <color indexed="64"/>
        </top>
        <bottom style="thin">
          <color indexed="64"/>
        </bottom>
      </border>
    </dxf>
  </rfmt>
  <rfmt sheetId="1" sqref="I441" start="0" length="0">
    <dxf>
      <border outline="0">
        <left style="thin">
          <color indexed="64"/>
        </left>
        <right style="thin">
          <color indexed="64"/>
        </right>
        <top style="thin">
          <color indexed="64"/>
        </top>
        <bottom style="thin">
          <color indexed="64"/>
        </bottom>
      </border>
    </dxf>
  </rfmt>
  <rfmt sheetId="1" sqref="J441" start="0" length="0">
    <dxf>
      <border outline="0">
        <left style="thin">
          <color indexed="64"/>
        </left>
        <right style="thin">
          <color indexed="64"/>
        </right>
        <top style="thin">
          <color indexed="64"/>
        </top>
        <bottom style="thin">
          <color indexed="64"/>
        </bottom>
      </border>
    </dxf>
  </rfmt>
  <rfmt sheetId="1" sqref="K441" start="0" length="0">
    <dxf>
      <border outline="0">
        <left style="thin">
          <color indexed="64"/>
        </left>
        <right style="thin">
          <color indexed="64"/>
        </right>
        <top style="thin">
          <color indexed="64"/>
        </top>
        <bottom style="thin">
          <color indexed="64"/>
        </bottom>
      </border>
    </dxf>
  </rfmt>
  <rcc rId="3140" sId="1" odxf="1" dxf="1" numFmtId="19">
    <nc r="L441">
      <v>44432</v>
    </nc>
    <odxf>
      <border outline="0">
        <left/>
        <right/>
        <top/>
        <bottom/>
      </border>
    </odxf>
    <ndxf>
      <border outline="0">
        <left style="thin">
          <color indexed="64"/>
        </left>
        <right style="thin">
          <color indexed="64"/>
        </right>
        <top style="thin">
          <color indexed="64"/>
        </top>
        <bottom style="thin">
          <color indexed="64"/>
        </bottom>
      </border>
    </ndxf>
  </rcc>
  <rcc rId="3141" sId="1" odxf="1" dxf="1">
    <nc r="M441">
      <f>S441/AE441*100</f>
    </nc>
    <odxf>
      <border outline="0">
        <left/>
        <right/>
        <top/>
        <bottom/>
      </border>
    </odxf>
    <ndxf>
      <border outline="0">
        <left style="thin">
          <color indexed="64"/>
        </left>
        <right style="thin">
          <color indexed="64"/>
        </right>
        <top style="thin">
          <color indexed="64"/>
        </top>
        <bottom style="thin">
          <color indexed="64"/>
        </bottom>
      </border>
    </ndxf>
  </rcc>
  <rcc rId="3142" sId="1" odxf="1" dxf="1">
    <nc r="N441" t="inlineStr">
      <is>
        <t xml:space="preserve"> Proiect cu acoperire națională</t>
      </is>
    </nc>
    <odxf>
      <border outline="0">
        <left/>
        <right/>
        <top/>
        <bottom/>
      </border>
    </odxf>
    <ndxf>
      <border outline="0">
        <left style="thin">
          <color indexed="64"/>
        </left>
        <right style="thin">
          <color indexed="64"/>
        </right>
        <top style="thin">
          <color indexed="64"/>
        </top>
        <bottom style="thin">
          <color indexed="64"/>
        </bottom>
      </border>
    </ndxf>
  </rcc>
  <rcc rId="3143" sId="1" odxf="1" dxf="1">
    <nc r="O441" t="inlineStr">
      <is>
        <t>București</t>
      </is>
    </nc>
    <odxf>
      <border outline="0">
        <left/>
        <right/>
        <top/>
        <bottom/>
      </border>
    </odxf>
    <ndxf>
      <border outline="0">
        <left style="thin">
          <color indexed="64"/>
        </left>
        <right style="thin">
          <color indexed="64"/>
        </right>
        <top style="thin">
          <color indexed="64"/>
        </top>
        <bottom style="thin">
          <color indexed="64"/>
        </bottom>
      </border>
    </ndxf>
  </rcc>
  <rcc rId="3144" sId="1" odxf="1" dxf="1">
    <nc r="P441" t="inlineStr">
      <is>
        <t>Bucuresti</t>
      </is>
    </nc>
    <odxf>
      <border outline="0">
        <left/>
        <right/>
        <top/>
        <bottom/>
      </border>
    </odxf>
    <ndxf>
      <border outline="0">
        <left style="thin">
          <color indexed="64"/>
        </left>
        <right style="thin">
          <color indexed="64"/>
        </right>
        <top style="thin">
          <color indexed="64"/>
        </top>
        <bottom style="thin">
          <color indexed="64"/>
        </bottom>
      </border>
    </ndxf>
  </rcc>
  <rcc rId="3145" sId="1" odxf="1" dxf="1">
    <nc r="Q441" t="inlineStr">
      <is>
        <t>APC</t>
      </is>
    </nc>
    <odxf>
      <border outline="0">
        <left/>
        <right/>
        <top/>
        <bottom/>
      </border>
    </odxf>
    <ndxf>
      <border outline="0">
        <left style="thin">
          <color indexed="64"/>
        </left>
        <right style="thin">
          <color indexed="64"/>
        </right>
        <top style="thin">
          <color indexed="64"/>
        </top>
        <bottom style="thin">
          <color indexed="64"/>
        </bottom>
      </border>
    </ndxf>
  </rcc>
  <rcc rId="3146" sId="1" odxf="1" dxf="1">
    <nc r="R441" t="inlineStr">
      <is>
        <t>129 - Investiții în capacitatea instituțională și în eficiența administrațiilor și a serviciilor publice la nivel național, regional și local, în perspectiva realizării de reforme, a unei mai bune legiferări și a bunei guvernanțe</t>
      </is>
    </nc>
    <odxf>
      <border outline="0">
        <left/>
        <right/>
        <top/>
        <bottom/>
      </border>
    </odxf>
    <ndxf>
      <border outline="0">
        <left style="thin">
          <color indexed="64"/>
        </left>
        <right style="thin">
          <color indexed="64"/>
        </right>
        <top style="thin">
          <color indexed="64"/>
        </top>
        <bottom style="thin">
          <color indexed="64"/>
        </bottom>
      </border>
    </ndxf>
  </rcc>
  <rcc rId="3147" sId="1" odxf="1" dxf="1">
    <nc r="S441">
      <f>T441+U441</f>
    </nc>
    <odxf>
      <border outline="0">
        <left/>
        <right/>
        <top/>
        <bottom/>
      </border>
    </odxf>
    <ndxf>
      <border outline="0">
        <left style="thin">
          <color indexed="64"/>
        </left>
        <right style="thin">
          <color indexed="64"/>
        </right>
        <top style="thin">
          <color indexed="64"/>
        </top>
        <bottom style="thin">
          <color indexed="64"/>
        </bottom>
      </border>
    </ndxf>
  </rcc>
  <rcc rId="3148" sId="1" odxf="1" dxf="1" numFmtId="4">
    <nc r="T441">
      <v>1930581.13</v>
    </nc>
    <odxf>
      <border outline="0">
        <left/>
        <right/>
        <top/>
        <bottom/>
      </border>
    </odxf>
    <ndxf>
      <border outline="0">
        <left style="thin">
          <color indexed="64"/>
        </left>
        <right style="thin">
          <color indexed="64"/>
        </right>
        <top style="thin">
          <color indexed="64"/>
        </top>
        <bottom style="thin">
          <color indexed="64"/>
        </bottom>
      </border>
    </ndxf>
  </rcc>
  <rcc rId="3149" sId="1" odxf="1" dxf="1" numFmtId="4">
    <nc r="U441">
      <v>463454.47</v>
    </nc>
    <odxf>
      <border outline="0">
        <left/>
        <right/>
        <top/>
        <bottom/>
      </border>
    </odxf>
    <ndxf>
      <border outline="0">
        <left style="thin">
          <color indexed="64"/>
        </left>
        <right style="thin">
          <color indexed="64"/>
        </right>
        <top style="thin">
          <color indexed="64"/>
        </top>
        <bottom style="thin">
          <color indexed="64"/>
        </bottom>
      </border>
    </ndxf>
  </rcc>
  <rcc rId="3150" sId="1" odxf="1" dxf="1">
    <nc r="V441">
      <f>W441+X441</f>
    </nc>
    <odxf>
      <border outline="0">
        <left/>
        <right/>
        <top/>
        <bottom/>
      </border>
    </odxf>
    <ndxf>
      <border outline="0">
        <left style="thin">
          <color indexed="64"/>
        </left>
        <right style="thin">
          <color indexed="64"/>
        </right>
        <top style="thin">
          <color indexed="64"/>
        </top>
        <bottom style="thin">
          <color indexed="64"/>
        </bottom>
      </border>
    </ndxf>
  </rcc>
  <rcc rId="3151" sId="1" odxf="1" dxf="1" numFmtId="4">
    <nc r="W441">
      <v>0</v>
    </nc>
    <odxf>
      <border outline="0">
        <left/>
        <right/>
        <top/>
        <bottom/>
      </border>
    </odxf>
    <ndxf>
      <border outline="0">
        <left style="thin">
          <color indexed="64"/>
        </left>
        <right style="thin">
          <color indexed="64"/>
        </right>
        <top style="thin">
          <color indexed="64"/>
        </top>
        <bottom style="thin">
          <color indexed="64"/>
        </bottom>
      </border>
    </ndxf>
  </rcc>
  <rcc rId="3152" sId="1" odxf="1" dxf="1" numFmtId="4">
    <nc r="X441">
      <v>0</v>
    </nc>
    <odxf>
      <border outline="0">
        <left/>
        <right/>
        <top/>
        <bottom/>
      </border>
    </odxf>
    <ndxf>
      <border outline="0">
        <left style="thin">
          <color indexed="64"/>
        </left>
        <right style="thin">
          <color indexed="64"/>
        </right>
        <top style="thin">
          <color indexed="64"/>
        </top>
        <bottom style="thin">
          <color indexed="64"/>
        </bottom>
      </border>
    </ndxf>
  </rcc>
  <rcc rId="3153" sId="1" odxf="1" dxf="1">
    <nc r="Y441">
      <f>Z441+AA441</f>
    </nc>
    <odxf>
      <border outline="0">
        <left/>
        <right/>
        <top/>
        <bottom/>
      </border>
    </odxf>
    <ndxf>
      <border outline="0">
        <left style="thin">
          <color indexed="64"/>
        </left>
        <right style="thin">
          <color indexed="64"/>
        </right>
        <top style="thin">
          <color indexed="64"/>
        </top>
        <bottom style="thin">
          <color indexed="64"/>
        </bottom>
      </border>
    </ndxf>
  </rcc>
  <rcc rId="3154" sId="1" odxf="1" dxf="1" numFmtId="4">
    <nc r="Z441">
      <v>340690.78</v>
    </nc>
    <odxf>
      <border outline="0">
        <left/>
        <right/>
        <top/>
        <bottom/>
      </border>
    </odxf>
    <ndxf>
      <border outline="0">
        <left style="thin">
          <color indexed="64"/>
        </left>
        <right style="thin">
          <color indexed="64"/>
        </right>
        <top style="thin">
          <color indexed="64"/>
        </top>
        <bottom style="thin">
          <color indexed="64"/>
        </bottom>
      </border>
    </ndxf>
  </rcc>
  <rcc rId="3155" sId="1" odxf="1" dxf="1" numFmtId="4">
    <nc r="AA441">
      <v>115863.62</v>
    </nc>
    <odxf>
      <border outline="0">
        <left/>
        <right/>
        <top/>
        <bottom/>
      </border>
    </odxf>
    <ndxf>
      <border outline="0">
        <left style="thin">
          <color indexed="64"/>
        </left>
        <right style="thin">
          <color indexed="64"/>
        </right>
        <top style="thin">
          <color indexed="64"/>
        </top>
        <bottom style="thin">
          <color indexed="64"/>
        </bottom>
      </border>
    </ndxf>
  </rcc>
  <rfmt sheetId="1" sqref="AB441" start="0" length="0">
    <dxf>
      <border outline="0">
        <left style="thin">
          <color indexed="64"/>
        </left>
        <right style="thin">
          <color indexed="64"/>
        </right>
        <top style="thin">
          <color indexed="64"/>
        </top>
        <bottom style="thin">
          <color indexed="64"/>
        </bottom>
      </border>
    </dxf>
  </rfmt>
  <rcc rId="3156" sId="1" odxf="1" dxf="1" numFmtId="4">
    <nc r="AC441">
      <v>0</v>
    </nc>
    <odxf>
      <border outline="0">
        <left/>
        <right/>
        <top/>
        <bottom/>
      </border>
    </odxf>
    <ndxf>
      <border outline="0">
        <left style="thin">
          <color indexed="64"/>
        </left>
        <right style="thin">
          <color indexed="64"/>
        </right>
        <top style="thin">
          <color indexed="64"/>
        </top>
        <bottom style="thin">
          <color indexed="64"/>
        </bottom>
      </border>
    </ndxf>
  </rcc>
  <rcc rId="3157" sId="1" odxf="1" dxf="1" numFmtId="4">
    <nc r="AD441">
      <v>0</v>
    </nc>
    <odxf>
      <border outline="0">
        <left/>
        <right/>
        <top/>
        <bottom/>
      </border>
    </odxf>
    <ndxf>
      <border outline="0">
        <left style="thin">
          <color indexed="64"/>
        </left>
        <right style="thin">
          <color indexed="64"/>
        </right>
        <top style="thin">
          <color indexed="64"/>
        </top>
        <bottom style="thin">
          <color indexed="64"/>
        </bottom>
      </border>
    </ndxf>
  </rcc>
  <rcc rId="3158" sId="1" odxf="1" dxf="1">
    <nc r="AE441">
      <f>S441+V441+Y441+AB441</f>
    </nc>
    <odxf>
      <border outline="0">
        <left/>
        <right/>
        <top/>
        <bottom/>
      </border>
    </odxf>
    <ndxf>
      <border outline="0">
        <left style="thin">
          <color indexed="64"/>
        </left>
        <right style="thin">
          <color indexed="64"/>
        </right>
        <top style="thin">
          <color indexed="64"/>
        </top>
        <bottom style="thin">
          <color indexed="64"/>
        </bottom>
      </border>
    </ndxf>
  </rcc>
  <rcc rId="3159" sId="1" odxf="1" dxf="1" numFmtId="4">
    <nc r="AF441">
      <v>0</v>
    </nc>
    <odxf>
      <border outline="0">
        <left/>
        <right/>
        <top/>
        <bottom/>
      </border>
    </odxf>
    <ndxf>
      <border outline="0">
        <left style="thin">
          <color indexed="64"/>
        </left>
        <right style="thin">
          <color indexed="64"/>
        </right>
        <top style="thin">
          <color indexed="64"/>
        </top>
        <bottom style="thin">
          <color indexed="64"/>
        </bottom>
      </border>
    </ndxf>
  </rcc>
  <rcc rId="3160" sId="1" odxf="1" dxf="1">
    <nc r="AG441">
      <f>AE441+AF441</f>
    </nc>
    <odxf>
      <border outline="0">
        <left/>
        <right/>
        <top/>
        <bottom/>
      </border>
    </odxf>
    <ndxf>
      <border outline="0">
        <left style="thin">
          <color indexed="64"/>
        </left>
        <right style="thin">
          <color indexed="64"/>
        </right>
        <top style="thin">
          <color indexed="64"/>
        </top>
        <bottom style="thin">
          <color indexed="64"/>
        </bottom>
      </border>
    </ndxf>
  </rcc>
  <rcc rId="3161" sId="1" odxf="1" dxf="1">
    <nc r="AH441">
      <f>AH440</f>
    </nc>
    <odxf>
      <border outline="0">
        <left/>
        <right/>
        <top/>
        <bottom/>
      </border>
    </odxf>
    <ndxf>
      <border outline="0">
        <left style="thin">
          <color indexed="64"/>
        </left>
        <right style="thin">
          <color indexed="64"/>
        </right>
        <top style="thin">
          <color indexed="64"/>
        </top>
        <bottom style="thin">
          <color indexed="64"/>
        </bottom>
      </border>
    </ndxf>
  </rcc>
  <rfmt sheetId="1" sqref="AI441" start="0" length="0">
    <dxf>
      <border outline="0">
        <left style="thin">
          <color indexed="64"/>
        </left>
        <right style="thin">
          <color indexed="64"/>
        </right>
        <top style="thin">
          <color indexed="64"/>
        </top>
        <bottom style="thin">
          <color indexed="64"/>
        </bottom>
      </border>
    </dxf>
  </rfmt>
  <rfmt sheetId="1" sqref="AJ441" start="0" length="0">
    <dxf>
      <border outline="0">
        <left style="thin">
          <color indexed="64"/>
        </left>
        <right style="thin">
          <color indexed="64"/>
        </right>
        <top style="thin">
          <color indexed="64"/>
        </top>
        <bottom style="thin">
          <color indexed="64"/>
        </bottom>
      </border>
    </dxf>
  </rfmt>
  <rfmt sheetId="1" sqref="AK441" start="0" length="0">
    <dxf>
      <border outline="0">
        <left style="thin">
          <color indexed="64"/>
        </left>
        <right style="thin">
          <color indexed="64"/>
        </right>
        <top style="thin">
          <color indexed="64"/>
        </top>
        <bottom style="thin">
          <color indexed="64"/>
        </bottom>
      </border>
    </dxf>
  </rfmt>
  <rfmt sheetId="1" sqref="AL441" start="0" length="0">
    <dxf>
      <border outline="0">
        <left style="thin">
          <color indexed="64"/>
        </left>
        <right style="thin">
          <color indexed="64"/>
        </right>
        <top style="thin">
          <color indexed="64"/>
        </top>
        <bottom style="thin">
          <color indexed="64"/>
        </bottom>
      </border>
    </dxf>
  </rfmt>
  <rcc rId="3162" sId="1">
    <nc r="A441">
      <v>194</v>
    </nc>
  </rcc>
  <rcc rId="3163" sId="1">
    <nc r="B441">
      <v>126949</v>
    </nc>
  </rcc>
  <rcc rId="3164" sId="1">
    <nc r="C441">
      <v>625</v>
    </nc>
  </rcc>
  <rcc rId="3165" sId="1">
    <nc r="D441" t="inlineStr">
      <is>
        <t>MP</t>
      </is>
    </nc>
  </rcc>
  <rcc rId="3166" sId="1">
    <nc r="E441" t="inlineStr">
      <is>
        <t>AP1/11i /1.4</t>
      </is>
    </nc>
  </rcc>
  <rcc rId="3167" sId="1">
    <nc r="F441" t="inlineStr">
      <is>
        <t>IP 11/2018</t>
      </is>
    </nc>
  </rcc>
  <rcc rId="3168" sId="1" numFmtId="19">
    <nc r="K441">
      <v>43656</v>
    </nc>
  </rcc>
  <rcv guid="{7C1B4D6D-D666-48DD-AB17-E00791B6F0B6}" action="delete"/>
  <rdn rId="0" localSheetId="1" customView="1" name="Z_7C1B4D6D_D666_48DD_AB17_E00791B6F0B6_.wvu.PrintArea" hidden="1" oldHidden="1">
    <formula>Sheet1!$A$1:$AL$477</formula>
    <oldFormula>Sheet1!$A$1:$AL$477</oldFormula>
  </rdn>
  <rdn rId="0" localSheetId="1" customView="1" name="Z_7C1B4D6D_D666_48DD_AB17_E00791B6F0B6_.wvu.FilterData" hidden="1" oldHidden="1">
    <formula>Sheet1!$A$6:$DG$445</formula>
    <oldFormula>Sheet1!$A$6:$DG$445</oldFormula>
  </rdn>
  <rcv guid="{7C1B4D6D-D666-48DD-AB17-E00791B6F0B6}" action="add"/>
</revisions>
</file>

<file path=xl/revisions/revisionLog3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71" sId="1">
    <nc r="H441" t="inlineStr">
      <is>
        <t>Agenția Națională pentru Achiziții Publice</t>
      </is>
    </nc>
  </rcc>
  <rcc rId="3172" sId="1">
    <nc r="G441" t="inlineStr">
      <is>
        <t>Sprijin în implementarea SNAP prin consolidarea capacitații administrative a ANAP și a autoritaților contractante</t>
      </is>
    </nc>
  </rcc>
  <rcc rId="3173" sId="1" odxf="1" dxf="1">
    <nc r="J441" t="inlineStr">
      <is>
        <t>Institutul Național de Administrație</t>
      </is>
    </nc>
    <ndxf>
      <font>
        <sz val="12"/>
        <color auto="1"/>
        <charset val="1"/>
      </font>
      <alignment horizontal="left" vertical="center"/>
    </ndxf>
  </rcc>
  <rfmt sheetId="1" sqref="L441" start="0" length="0">
    <dxf>
      <fill>
        <patternFill patternType="solid">
          <bgColor theme="0"/>
        </patternFill>
      </fill>
    </dxf>
  </rfmt>
  <rcc rId="3174" sId="1" numFmtId="19">
    <oc r="L441">
      <v>44432</v>
    </oc>
    <nc r="L441">
      <v>44752</v>
    </nc>
  </rcc>
  <rcc rId="3175" sId="1">
    <oc r="R440" t="inlineStr">
      <is>
        <t>129 - Investiții în capacitatea instituțională și în eficiența administrațiilor și a serviciilor publice la nivel național, regional și local, în perspectiva realizării de reforme, a unei mai bune legiferări și a bunei guvernanțe</t>
      </is>
    </oc>
    <nc r="R440" t="inlineStr">
      <is>
        <t>119 - Investiții în capacitatea instituțională și în eficiența administrațiilor și a serviciilor publice la nivel național, regional și local, în perspectiva realizării de reforme, a unei mai bune legiferări și a bunei guvernanțe</t>
      </is>
    </nc>
  </rcc>
  <rcc rId="3176" sId="1">
    <oc r="R441" t="inlineStr">
      <is>
        <t>129 - Investiții în capacitatea instituțională și în eficiența administrațiilor și a serviciilor publice la nivel național, regional și local, în perspectiva realizării de reforme, a unei mai bune legiferări și a bunei guvernanțe</t>
      </is>
    </oc>
    <nc r="R441"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3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77" sId="1" numFmtId="4">
    <oc r="T441">
      <v>1930581.13</v>
    </oc>
    <nc r="T441">
      <v>81188172.530000016</v>
    </nc>
  </rcc>
  <rcc rId="3178" sId="1" numFmtId="4">
    <oc r="U441">
      <v>463454.47</v>
    </oc>
    <nc r="U441">
      <v>19489997.489999998</v>
    </nc>
  </rcc>
  <rcc rId="3179" sId="1" numFmtId="4">
    <oc r="W441">
      <v>0</v>
    </oc>
    <nc r="W441">
      <v>2851092.66</v>
    </nc>
  </rcc>
  <rcc rId="3180" sId="1" numFmtId="4">
    <oc r="X441">
      <v>0</v>
    </oc>
    <nc r="X441">
      <v>1006904.87</v>
    </nc>
  </rcc>
</revisions>
</file>

<file path=xl/revisions/revisionLog3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81" sId="1">
    <nc r="AB441">
      <f>AC441+AD441</f>
    </nc>
  </rcc>
</revisions>
</file>

<file path=xl/revisions/revisionLog3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82" sId="1" numFmtId="4">
    <oc r="Z441">
      <v>340690.78</v>
    </oc>
    <nc r="Z441">
      <v>11476231.890000001</v>
    </nc>
  </rcc>
  <rcc rId="3183" sId="1" numFmtId="4">
    <oc r="AA441">
      <v>115863.62</v>
    </oc>
    <nc r="AA441">
      <v>3865594.52</v>
    </nc>
  </rcc>
  <rcc rId="3184" sId="1" numFmtId="4">
    <oc r="AF441">
      <v>0</v>
    </oc>
    <nc r="AF441">
      <v>93474.39</v>
    </nc>
  </rcc>
  <rcv guid="{7C1B4D6D-D666-48DD-AB17-E00791B6F0B6}" action="delete"/>
  <rdn rId="0" localSheetId="1" customView="1" name="Z_7C1B4D6D_D666_48DD_AB17_E00791B6F0B6_.wvu.PrintArea" hidden="1" oldHidden="1">
    <formula>Sheet1!$A$1:$AL$477</formula>
    <oldFormula>Sheet1!$A$1:$AL$477</oldFormula>
  </rdn>
  <rdn rId="0" localSheetId="1" customView="1" name="Z_7C1B4D6D_D666_48DD_AB17_E00791B6F0B6_.wvu.FilterData" hidden="1" oldHidden="1">
    <formula>Sheet1!$A$6:$DG$445</formula>
    <oldFormula>Sheet1!$A$6:$DG$445</oldFormula>
  </rdn>
  <rcv guid="{7C1B4D6D-D666-48DD-AB17-E00791B6F0B6}" action="add"/>
</revisions>
</file>

<file path=xl/revisions/revisionLog3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87" sId="1">
    <nc r="AI441" t="inlineStr">
      <is>
        <t>n.a</t>
      </is>
    </nc>
  </rcc>
  <rcc rId="3188" sId="1">
    <oc r="J441" t="inlineStr">
      <is>
        <t>Institutul Național de Administrație</t>
      </is>
    </oc>
    <nc r="J441"/>
  </rcc>
  <rcc rId="3189" sId="1">
    <nc r="I441" t="inlineStr">
      <is>
        <t>Institutul Național de Administrație</t>
      </is>
    </nc>
  </rcc>
</revisions>
</file>

<file path=xl/revisions/revisionLog3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0" sId="1">
    <nc r="J441" t="inlineStr">
      <is>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is>
    </nc>
  </rcc>
  <rcv guid="{7C1B4D6D-D666-48DD-AB17-E00791B6F0B6}" action="delete"/>
  <rdn rId="0" localSheetId="1" customView="1" name="Z_7C1B4D6D_D666_48DD_AB17_E00791B6F0B6_.wvu.PrintArea" hidden="1" oldHidden="1">
    <formula>Sheet1!$A$1:$AL$477</formula>
    <oldFormula>Sheet1!$A$1:$AL$477</oldFormula>
  </rdn>
  <rdn rId="0" localSheetId="1" customView="1" name="Z_7C1B4D6D_D666_48DD_AB17_E00791B6F0B6_.wvu.FilterData" hidden="1" oldHidden="1">
    <formula>Sheet1!$A$6:$DG$445</formula>
    <oldFormula>Sheet1!$A$6:$DG$445</oldFormula>
  </rdn>
  <rcv guid="{7C1B4D6D-D666-48DD-AB17-E00791B6F0B6}" action="add"/>
</revisions>
</file>

<file path=xl/revisions/revisionLog3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3" sId="1">
    <oc r="S445">
      <f>SUM(S249:S436)</f>
    </oc>
    <nc r="S445">
      <f>SUM(S249:S444)</f>
    </nc>
  </rcc>
  <rcc rId="3194" sId="1">
    <oc r="T445">
      <f>SUM(T249:T436)</f>
    </oc>
    <nc r="T445">
      <f>SUM(T249:T444)</f>
    </nc>
  </rcc>
  <rcc rId="3195" sId="1">
    <oc r="U445">
      <f>SUM(U249:U436)</f>
    </oc>
    <nc r="U445">
      <f>SUM(U249:U444)</f>
    </nc>
  </rcc>
  <rcc rId="3196" sId="1">
    <oc r="V445">
      <f>SUM(V249:V436)</f>
    </oc>
    <nc r="V445">
      <f>SUM(V249:V444)</f>
    </nc>
  </rcc>
  <rcc rId="3197" sId="1">
    <oc r="W445">
      <f>SUM(W249:W436)</f>
    </oc>
    <nc r="W445">
      <f>SUM(W249:W444)</f>
    </nc>
  </rcc>
  <rcc rId="3198" sId="1">
    <oc r="X445">
      <f>SUM(X249:X436)</f>
    </oc>
    <nc r="X445">
      <f>SUM(X249:X444)</f>
    </nc>
  </rcc>
  <rcc rId="3199" sId="1">
    <oc r="Y445">
      <f>SUM(Y249:Y436)</f>
    </oc>
    <nc r="Y445">
      <f>SUM(Y249:Y444)</f>
    </nc>
  </rcc>
  <rcc rId="3200" sId="1">
    <oc r="Z445">
      <f>SUM(Z249:Z436)</f>
    </oc>
    <nc r="Z445">
      <f>SUM(Z249:Z444)</f>
    </nc>
  </rcc>
  <rcc rId="3201" sId="1">
    <oc r="AA445">
      <f>SUM(AA249:AA436)</f>
    </oc>
    <nc r="AA445">
      <f>SUM(AA249:AA444)</f>
    </nc>
  </rcc>
  <rcc rId="3202" sId="1">
    <oc r="AB445">
      <f>SUM(AB249:AB436)</f>
    </oc>
    <nc r="AB445">
      <f>SUM(AB249:AB444)</f>
    </nc>
  </rcc>
  <rcc rId="3203" sId="1">
    <oc r="AC445">
      <f>SUM(AC249:AC436)</f>
    </oc>
    <nc r="AC445">
      <f>SUM(AC249:AC444)</f>
    </nc>
  </rcc>
  <rcc rId="3204" sId="1">
    <oc r="AD445">
      <f>SUM(AD249:AD436)</f>
    </oc>
    <nc r="AD445">
      <f>SUM(AD249:AD444)</f>
    </nc>
  </rcc>
  <rcc rId="3205" sId="1">
    <oc r="AE445">
      <f>SUM(AE249:AE436)</f>
    </oc>
    <nc r="AE445">
      <f>SUM(AE249:AE444)</f>
    </nc>
  </rcc>
  <rcc rId="3206" sId="1">
    <oc r="AF445">
      <f>SUM(AF249:AF436)</f>
    </oc>
    <nc r="AF445">
      <f>SUM(AF249:AF444)</f>
    </nc>
  </rcc>
  <rcc rId="3207" sId="1">
    <oc r="AG445">
      <f>SUM(AG249:AG436)</f>
    </oc>
    <nc r="AG445">
      <f>SUM(AG249:AG444)</f>
    </nc>
  </rcc>
  <rcc rId="3208" sId="1">
    <oc r="AH445">
      <f>SUM(AH249:AH416)</f>
    </oc>
    <nc r="AH445">
      <f>SUM(AH249:AH444)</f>
    </nc>
  </rcc>
  <rcc rId="3209" sId="1">
    <oc r="AI445">
      <f>SUM(AI249:AI416)</f>
    </oc>
    <nc r="AI445">
      <f>SUM(AI249:AI444)</f>
    </nc>
  </rcc>
  <rcc rId="3210" sId="1">
    <oc r="AJ445">
      <f>SUM(AJ249:AJ420)</f>
    </oc>
    <nc r="AJ445">
      <f>SUM(AJ249:AJ444)</f>
    </nc>
  </rcc>
  <rcc rId="3211" sId="1">
    <oc r="AK445">
      <f>SUM(AK249:AK420)</f>
    </oc>
    <nc r="AK445">
      <f>SUM(AK249:AK444)</f>
    </nc>
  </rcc>
  <rcv guid="{7C1B4D6D-D666-48DD-AB17-E00791B6F0B6}" action="delete"/>
  <rdn rId="0" localSheetId="1" customView="1" name="Z_7C1B4D6D_D666_48DD_AB17_E00791B6F0B6_.wvu.PrintArea" hidden="1" oldHidden="1">
    <formula>Sheet1!$A$1:$AL$477</formula>
    <oldFormula>Sheet1!$A$1:$AL$477</oldFormula>
  </rdn>
  <rdn rId="0" localSheetId="1" customView="1" name="Z_7C1B4D6D_D666_48DD_AB17_E00791B6F0B6_.wvu.FilterData" hidden="1" oldHidden="1">
    <formula>Sheet1!$A$6:$DG$445</formula>
    <oldFormula>Sheet1!$A$6:$DG$445</oldFormula>
  </rdn>
  <rcv guid="{7C1B4D6D-D666-48DD-AB17-E00791B6F0B6}" action="add"/>
</revisions>
</file>

<file path=xl/revisions/revisionLog3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14" sId="1">
    <oc r="D457">
      <f>SUM(D447:D455)</f>
    </oc>
    <nc r="D457">
      <f>SUM(D447:D456)</f>
    </nc>
  </rcc>
</revisions>
</file>

<file path=xl/revisions/revisionLog3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A64E7D7-BA48-4965-B650-778AE412FE0C}" action="delete"/>
  <rdn rId="0" localSheetId="1" customView="1" name="Z_EA64E7D7_BA48_4965_B650_778AE412FE0C_.wvu.PrintArea" hidden="1" oldHidden="1">
    <formula>Sheet1!$A$1:$AL$477</formula>
    <oldFormula>Sheet1!$A$1:$AL$477</oldFormula>
  </rdn>
  <rdn rId="0" localSheetId="1" customView="1" name="Z_EA64E7D7_BA48_4965_B650_778AE412FE0C_.wvu.FilterData" hidden="1" oldHidden="1">
    <formula>Sheet1!$A$1:$DG$446</formula>
    <oldFormula>Sheet1!$A$1:$DG$446</oldFormula>
  </rdn>
  <rcv guid="{EA64E7D7-BA48-4965-B650-778AE412FE0C}"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53" start="0" length="0">
    <dxf>
      <font>
        <sz val="12"/>
        <color theme="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C453"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D4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4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4702" sId="1">
    <nc r="C453">
      <v>639</v>
    </nc>
  </rcc>
  <rcc rId="4703" sId="1">
    <nc r="D453" t="inlineStr">
      <is>
        <t>DV</t>
      </is>
    </nc>
  </rcc>
  <rcc rId="4704" sId="1" odxf="1" dxf="1">
    <nc r="B453">
      <v>126229</v>
    </nc>
    <ndxf>
      <font>
        <sz val="12"/>
        <color auto="1"/>
      </font>
      <alignment horizontal="center"/>
    </ndxf>
  </rcc>
  <rfmt sheetId="1" sqref="A453"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4705" sId="1">
    <nc r="A453">
      <v>194</v>
    </nc>
  </rcc>
  <rcc rId="4706" sId="1">
    <nc r="E453" t="inlineStr">
      <is>
        <t xml:space="preserve">AP1/11i /1.1 </t>
      </is>
    </nc>
  </rcc>
  <rcc rId="4707" sId="1" odxf="1" dxf="1">
    <nc r="G453" t="inlineStr">
      <is>
        <t>Ghidul specializărilor expertizei tehnice judiciare</t>
      </is>
    </nc>
    <ndxf>
      <font>
        <sz val="12"/>
        <color theme="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ndxf>
  </rcc>
  <rcc rId="4708" sId="1" odxf="1" dxf="1">
    <nc r="H453" t="inlineStr">
      <is>
        <t>MINISTERUL JUSTITIEI</t>
      </is>
    </nc>
    <ndxf>
      <font>
        <sz val="11"/>
        <color theme="1"/>
        <name val="Trebuchet MS"/>
        <family val="2"/>
        <charset val="238"/>
        <scheme val="none"/>
      </font>
      <alignment horizontal="general" vertical="center" wrapText="1"/>
      <border outline="0">
        <left style="thin">
          <color indexed="64"/>
        </left>
        <right style="thin">
          <color indexed="64"/>
        </right>
        <top style="thin">
          <color indexed="64"/>
        </top>
        <bottom style="thin">
          <color indexed="64"/>
        </bottom>
      </border>
    </ndxf>
  </rcc>
  <rfmt sheetId="1" sqref="I453" start="0" length="0">
    <dxf>
      <font>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cc rId="4709" sId="1">
    <nc r="I453" t="inlineStr">
      <is>
        <t>PARCHETUL DE PE LINGA INALTA CURTE DE CASATIE SI JUSTITIE      / TRIBUNALUL BUCURESTI</t>
      </is>
    </nc>
  </rcc>
  <rfmt sheetId="1" sqref="J453"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cc rId="4710" sId="1">
    <nc r="J453" t="inlineStr">
      <is>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is>
    </nc>
  </rcc>
  <rfmt sheetId="1" sqref="K453" start="0" length="0">
    <dxf>
      <font>
        <sz val="12"/>
        <color auto="1"/>
        <name val="Calibri"/>
        <family val="2"/>
        <charset val="238"/>
        <scheme val="minor"/>
      </font>
      <numFmt numFmtId="19" formatCode="dd/mm/yyyy"/>
      <alignment vertical="center" wrapText="1"/>
      <border outline="0">
        <left style="thin">
          <color indexed="64"/>
        </left>
        <right style="thin">
          <color indexed="64"/>
        </right>
        <top style="thin">
          <color indexed="64"/>
        </top>
        <bottom style="thin">
          <color indexed="64"/>
        </bottom>
      </border>
    </dxf>
  </rfmt>
  <rcc rId="4711" sId="1" numFmtId="19">
    <nc r="K453">
      <v>43670</v>
    </nc>
  </rcc>
  <rfmt sheetId="1" sqref="L453" start="0" length="0">
    <dxf>
      <font>
        <sz val="12"/>
        <color auto="1"/>
        <name val="Calibri"/>
        <family val="2"/>
        <charset val="238"/>
        <scheme val="minor"/>
      </font>
      <numFmt numFmtId="19" formatCode="dd/mm/yyyy"/>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cc rId="4712" sId="1" numFmtId="19">
    <nc r="L453">
      <v>44401</v>
    </nc>
  </rcc>
  <rcc rId="4713" sId="1" odxf="1" dxf="1">
    <nc r="N453" t="inlineStr">
      <is>
        <t xml:space="preserve"> Proiect cu acoperire națională</t>
      </is>
    </nc>
    <ndxf>
      <alignment vertical="center" wrapText="1"/>
      <border outline="0">
        <left style="thin">
          <color indexed="64"/>
        </left>
        <right style="thin">
          <color indexed="64"/>
        </right>
        <top style="thin">
          <color indexed="64"/>
        </top>
        <bottom style="thin">
          <color indexed="64"/>
        </bottom>
      </border>
    </ndxf>
  </rcc>
  <rcc rId="4714" sId="1" odxf="1" dxf="1">
    <nc r="O453" t="inlineStr">
      <is>
        <t>București</t>
      </is>
    </nc>
    <odxf>
      <font>
        <sz val="11"/>
        <color theme="1"/>
        <name val="Calibri"/>
        <family val="2"/>
        <charset val="238"/>
        <scheme val="minor"/>
      </font>
      <alignment vertical="top" wrapText="0"/>
      <border outline="0">
        <left/>
        <right/>
        <top/>
        <bottom/>
      </border>
    </odxf>
    <ndxf>
      <font>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ndxf>
  </rcc>
  <rfmt sheetId="1" xfDxf="1" sqref="P453" start="0" length="0">
    <dxf>
      <alignment horizontal="center"/>
    </dxf>
  </rfmt>
  <rcc rId="4715" sId="1" odxf="1" dxf="1">
    <nc r="P453" t="inlineStr">
      <is>
        <t>Bucuresti</t>
      </is>
    </nc>
    <ndxf>
      <font>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ndxf>
  </rcc>
  <rcc rId="4716" sId="1" odxf="1" dxf="1">
    <nc r="Q453" t="inlineStr">
      <is>
        <t>APC</t>
      </is>
    </nc>
    <odxf>
      <alignment vertical="top"/>
      <border outline="0">
        <left/>
        <right/>
        <top/>
        <bottom/>
      </border>
    </odxf>
    <ndxf>
      <alignment vertical="center"/>
      <border outline="0">
        <left style="thin">
          <color indexed="64"/>
        </left>
        <right style="thin">
          <color indexed="64"/>
        </right>
        <top style="thin">
          <color indexed="64"/>
        </top>
        <bottom style="thin">
          <color indexed="64"/>
        </bottom>
      </border>
    </ndxf>
  </rcc>
  <rcc rId="4717" sId="1" odxf="1" dxf="1">
    <nc r="R453" t="inlineStr">
      <is>
        <t>119 - Investiții în capacitatea instituțională și în eficiența administrațiilor și a serviciilor publice la nivel național, regional și local, în perspectiva realizării de reforme, a unei mai bune legiferări și a bunei guvernanțe</t>
      </is>
    </nc>
    <ndxf>
      <font>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ndxf>
  </rcc>
  <rcv guid="{EA64E7D7-BA48-4965-B650-778AE412FE0C}" action="delete"/>
  <rdn rId="0" localSheetId="1" customView="1" name="Z_EA64E7D7_BA48_4965_B650_778AE412FE0C_.wvu.PrintArea" hidden="1" oldHidden="1">
    <formula>Sheet1!$A$1:$AL$487</formula>
    <oldFormula>Sheet1!$A$1:$AL$487</oldFormula>
  </rdn>
  <rdn rId="0" localSheetId="1" customView="1" name="Z_EA64E7D7_BA48_4965_B650_778AE412FE0C_.wvu.FilterData" hidden="1" oldHidden="1">
    <formula>Sheet1!$A$1:$DG$455</formula>
    <oldFormula>Sheet1!$A$1:$DG$455</oldFormula>
  </rdn>
  <rcv guid="{EA64E7D7-BA48-4965-B650-778AE412FE0C}" action="add"/>
</revisions>
</file>

<file path=xl/revisions/revisionLog3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17" sId="1">
    <nc r="AM126" t="inlineStr">
      <is>
        <t>FINALIZAT</t>
      </is>
    </nc>
  </rcc>
  <rfmt sheetId="1" sqref="AM126">
    <dxf>
      <alignment horizontal="center"/>
    </dxf>
  </rfmt>
  <rfmt sheetId="1" sqref="AM126">
    <dxf>
      <alignment vertical="center"/>
    </dxf>
  </rfmt>
  <rcv guid="{901F9774-8BE7-424D-87C2-1026F3FA2E93}" action="delete"/>
  <rdn rId="0" localSheetId="1" customView="1" name="Z_901F9774_8BE7_424D_87C2_1026F3FA2E93_.wvu.PrintArea" hidden="1" oldHidden="1">
    <formula>Sheet1!$A$1:$AL$477</formula>
    <oldFormula>Sheet1!$A$1:$AL$477</oldFormula>
  </rdn>
  <rdn rId="0" localSheetId="1" customView="1" name="Z_901F9774_8BE7_424D_87C2_1026F3FA2E93_.wvu.FilterData" hidden="1" oldHidden="1">
    <formula>Sheet1!$C$1:$C$484</formula>
    <oldFormula>Sheet1!$C$1:$C$484</oldFormula>
  </rdn>
  <rcv guid="{901F9774-8BE7-424D-87C2-1026F3FA2E93}" action="add"/>
</revisions>
</file>

<file path=xl/revisions/revisionLog3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M126">
    <dxf>
      <fill>
        <patternFill patternType="solid">
          <bgColor rgb="FFFFFF00"/>
        </patternFill>
      </fill>
    </dxf>
  </rfmt>
</revisions>
</file>

<file path=xl/revisions/revisionLog3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M51">
    <dxf>
      <alignment horizontal="center"/>
    </dxf>
  </rfmt>
  <rfmt sheetId="1" sqref="AM51">
    <dxf>
      <alignment vertical="center"/>
    </dxf>
  </rfmt>
  <rcc rId="3220" sId="1">
    <nc r="AM51" t="inlineStr">
      <is>
        <t>FINALIZAT</t>
      </is>
    </nc>
  </rcc>
  <rfmt sheetId="1" sqref="AM51">
    <dxf>
      <fill>
        <patternFill patternType="solid">
          <bgColor rgb="FFFFFF00"/>
        </patternFill>
      </fill>
    </dxf>
  </rfmt>
</revisions>
</file>

<file path=xl/revisions/revisionLog3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M7">
    <dxf>
      <alignment horizontal="center"/>
    </dxf>
  </rfmt>
  <rfmt sheetId="1" sqref="AM7">
    <dxf>
      <alignment vertical="center"/>
    </dxf>
  </rfmt>
  <rcc rId="3221" sId="1">
    <nc r="AM7" t="inlineStr">
      <is>
        <t>FINALIZAT</t>
      </is>
    </nc>
  </rcc>
  <rfmt sheetId="1" sqref="AM7">
    <dxf>
      <fill>
        <patternFill patternType="solid">
          <bgColor rgb="FFFFFF00"/>
        </patternFill>
      </fill>
    </dxf>
  </rfmt>
</revisions>
</file>

<file path=xl/revisions/revisionLog3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M12">
    <dxf>
      <alignment horizontal="center"/>
    </dxf>
  </rfmt>
  <rfmt sheetId="1" sqref="AM12">
    <dxf>
      <alignment vertical="center"/>
    </dxf>
  </rfmt>
  <rcc rId="3222" sId="1">
    <nc r="AM12" t="inlineStr">
      <is>
        <t>FINALIZAT</t>
      </is>
    </nc>
  </rcc>
  <rfmt sheetId="1" sqref="AM12">
    <dxf>
      <fill>
        <patternFill patternType="solid">
          <bgColor rgb="FFFFFF00"/>
        </patternFill>
      </fill>
    </dxf>
  </rfmt>
</revisions>
</file>

<file path=xl/revisions/revisionLog3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M249:AM250">
    <dxf>
      <alignment horizontal="center"/>
    </dxf>
  </rfmt>
  <rfmt sheetId="1" sqref="AM249:AM250">
    <dxf>
      <alignment vertical="center"/>
    </dxf>
  </rfmt>
  <rcc rId="3223" sId="1">
    <nc r="AM249" t="inlineStr">
      <is>
        <t>FINALIZAT</t>
      </is>
    </nc>
  </rcc>
  <rcc rId="3224" sId="1" odxf="1" dxf="1">
    <nc r="AM250" t="inlineStr">
      <is>
        <t>FINALIZAT</t>
      </is>
    </nc>
    <odxf>
      <alignment wrapText="0"/>
    </odxf>
    <ndxf>
      <alignment wrapText="1"/>
    </ndxf>
  </rcc>
  <rfmt sheetId="1" sqref="AM249:AM250">
    <dxf>
      <fill>
        <patternFill patternType="solid">
          <bgColor rgb="FFFFFF00"/>
        </patternFill>
      </fill>
    </dxf>
  </rfmt>
</revisions>
</file>

<file path=xl/revisions/revisionLog3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01F9774-8BE7-424D-87C2-1026F3FA2E93}" action="delete"/>
  <rdn rId="0" localSheetId="1" customView="1" name="Z_901F9774_8BE7_424D_87C2_1026F3FA2E93_.wvu.PrintArea" hidden="1" oldHidden="1">
    <formula>Sheet1!$A$1:$AL$477</formula>
    <oldFormula>Sheet1!$A$1:$AL$477</oldFormula>
  </rdn>
  <rdn rId="0" localSheetId="1" customView="1" name="Z_901F9774_8BE7_424D_87C2_1026F3FA2E93_.wvu.FilterData" hidden="1" oldHidden="1">
    <formula>Sheet1!$C$1:$C$484</formula>
    <oldFormula>Sheet1!$C$1:$C$484</oldFormula>
  </rdn>
  <rcv guid="{901F9774-8BE7-424D-87C2-1026F3FA2E93}" action="add"/>
</revisions>
</file>

<file path=xl/revisions/revisionLog3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05D93EA-5662-45AB-8995-A9908B3E5D52}" action="delete"/>
  <rdn rId="0" localSheetId="1" customView="1" name="Z_905D93EA_5662_45AB_8995_A9908B3E5D52_.wvu.PrintArea" hidden="1" oldHidden="1">
    <formula>Sheet1!$A$1:$AL$477</formula>
    <oldFormula>Sheet1!$A$1:$AL$477</oldFormula>
  </rdn>
  <rdn rId="0" localSheetId="1" customView="1" name="Z_905D93EA_5662_45AB_8995_A9908B3E5D52_.wvu.FilterData" hidden="1" oldHidden="1">
    <formula>Sheet1!$C$1:$C$484</formula>
    <oldFormula>Sheet1!$C$1:$C$488</oldFormula>
  </rdn>
  <rcv guid="{905D93EA-5662-45AB-8995-A9908B3E5D52}" action="add"/>
</revisions>
</file>

<file path=xl/revisions/revisionLog3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29" sId="1">
    <oc r="D300" t="inlineStr">
      <is>
        <t>DSS</t>
      </is>
    </oc>
    <nc r="D300" t="inlineStr">
      <is>
        <t>OD</t>
      </is>
    </nc>
  </rcc>
  <rcc rId="3230" sId="1">
    <oc r="D301" t="inlineStr">
      <is>
        <t>DSS</t>
      </is>
    </oc>
    <nc r="D301" t="inlineStr">
      <is>
        <t>OD</t>
      </is>
    </nc>
  </rcc>
  <rcc rId="3231" sId="1">
    <oc r="D177" t="inlineStr">
      <is>
        <t>DSS</t>
      </is>
    </oc>
    <nc r="D177" t="inlineStr">
      <is>
        <t>OD</t>
      </is>
    </nc>
  </rcc>
  <rcc rId="3232" sId="1">
    <oc r="D91" t="inlineStr">
      <is>
        <t>DSS</t>
      </is>
    </oc>
    <nc r="D91" t="inlineStr">
      <is>
        <t>OD</t>
      </is>
    </nc>
  </rcc>
  <rcc rId="3233" sId="1">
    <oc r="D358" t="inlineStr">
      <is>
        <t>DSS</t>
      </is>
    </oc>
    <nc r="D358" t="inlineStr">
      <is>
        <t>OD</t>
      </is>
    </nc>
  </rcc>
  <rcc rId="3234" sId="1">
    <oc r="D52" t="inlineStr">
      <is>
        <t>DSS</t>
      </is>
    </oc>
    <nc r="D52" t="inlineStr">
      <is>
        <t>OD</t>
      </is>
    </nc>
  </rcc>
  <rcv guid="{FE50EAC0-52A5-4C33-B973-65E93D03D3EA}" action="delete"/>
  <rdn rId="0" localSheetId="1" customView="1" name="Z_FE50EAC0_52A5_4C33_B973_65E93D03D3EA_.wvu.PrintArea" hidden="1" oldHidden="1">
    <formula>Sheet1!$A$1:$AL$477</formula>
    <oldFormula>Sheet1!$A$1:$AL$477</oldFormula>
  </rdn>
  <rdn rId="0" localSheetId="1" customView="1" name="Z_FE50EAC0_52A5_4C33_B973_65E93D03D3EA_.wvu.FilterData" hidden="1" oldHidden="1">
    <formula>Sheet1!$A$1:$AL$445</formula>
    <oldFormula>Sheet1!$A$1:$AL$445</oldFormula>
  </rdn>
  <rcv guid="{FE50EAC0-52A5-4C33-B973-65E93D03D3EA}" action="add"/>
</revisions>
</file>

<file path=xl/revisions/revisionLog3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37" sId="1" ref="A37:XFD37" action="insertRow">
    <undo index="65535" exp="area" ref3D="1" dr="$H$1:$N$1048576" dn="Z_65B035E3_87FA_46C5_996E_864F2C8D0EBC_.wvu.Cols" sId="1"/>
  </rrc>
  <rcc rId="3238" sId="1">
    <nc r="A37">
      <v>3</v>
    </nc>
  </rcc>
  <rcc rId="3239" sId="1">
    <nc r="B37">
      <v>129383</v>
    </nc>
  </rcc>
  <rcc rId="3240" sId="1">
    <nc r="C37">
      <v>685</v>
    </nc>
  </rcc>
  <rcc rId="3241" sId="1">
    <nc r="D37" t="inlineStr">
      <is>
        <t>MN</t>
      </is>
    </nc>
  </rcc>
  <rcc rId="3242" sId="1" odxf="1" dxf="1">
    <nc r="E37" t="inlineStr">
      <is>
        <t>AP 2/11i/2.1</t>
      </is>
    </nc>
    <odxf>
      <alignment horizontal="center"/>
    </odxf>
    <ndxf>
      <alignment horizontal="left"/>
    </ndxf>
  </rcc>
  <rcc rId="3243" sId="1">
    <nc r="F37" t="inlineStr">
      <is>
        <t>CP 12 less/2018</t>
      </is>
    </nc>
  </rcc>
  <rcc rId="3244" sId="1">
    <nc r="H37" t="inlineStr">
      <is>
        <t>Județul Bihor</t>
      </is>
    </nc>
  </rcc>
  <rcc rId="3245" sId="1">
    <nc r="I37" t="inlineStr">
      <is>
        <t>n.a.</t>
      </is>
    </nc>
  </rcc>
  <rcc rId="3246" sId="1" numFmtId="19">
    <nc r="K37">
      <v>43657</v>
    </nc>
  </rcc>
  <rcc rId="3247" sId="1" numFmtId="19">
    <nc r="L37">
      <v>44207</v>
    </nc>
  </rcc>
  <rcc rId="3248" sId="1">
    <nc r="N37">
      <v>6</v>
    </nc>
  </rcc>
  <rcc rId="3249" sId="1">
    <nc r="O37" t="inlineStr">
      <is>
        <t>Bihor</t>
      </is>
    </nc>
  </rcc>
  <rcc rId="3250" sId="1">
    <nc r="P37" t="inlineStr">
      <is>
        <t xml:space="preserve">Oradea </t>
      </is>
    </nc>
  </rcc>
  <rcc rId="3251" sId="1">
    <nc r="Q37" t="inlineStr">
      <is>
        <t>APL</t>
      </is>
    </nc>
  </rcc>
  <rcc rId="3252" sId="1">
    <nc r="R37" t="inlineStr">
      <is>
        <t>119 - Investiții în capacitatea instituțională și în eficiența administrațiilor și a serviciilor publice la nivel național, regional și local, în perspectiva realizării de reforme, a unei mai bune legiferări și a bunei guvernanțe</t>
      </is>
    </nc>
  </rcc>
  <rcc rId="3253" sId="1" endOfListFormulaUpdate="1">
    <oc r="T38">
      <f>SUM(T35:T36)</f>
    </oc>
    <nc r="T38">
      <f>SUM(T35:T37)</f>
    </nc>
  </rcc>
  <rcc rId="3254" sId="1" numFmtId="4">
    <nc r="U37">
      <v>0</v>
    </nc>
  </rcc>
  <rcc rId="3255" sId="1" numFmtId="4">
    <nc r="X37">
      <v>0</v>
    </nc>
  </rcc>
  <rcc rId="3256" sId="1" numFmtId="4">
    <nc r="T37">
      <v>2541977.39</v>
    </nc>
  </rcc>
  <rcc rId="3257" sId="1" numFmtId="4">
    <nc r="W37">
      <v>388773.02</v>
    </nc>
  </rcc>
  <rcc rId="3258" sId="1" numFmtId="4">
    <nc r="Z37">
      <v>59811.22</v>
    </nc>
  </rcc>
  <rcc rId="3259" sId="1" numFmtId="4">
    <nc r="AA37">
      <v>0</v>
    </nc>
  </rcc>
  <rcc rId="3260" sId="1" numFmtId="4">
    <nc r="AB37">
      <v>0</v>
    </nc>
  </rcc>
  <rcc rId="3261" sId="1" numFmtId="4">
    <nc r="AC37">
      <v>0</v>
    </nc>
  </rcc>
  <rcc rId="3262" sId="1" numFmtId="4">
    <nc r="AD37">
      <v>0</v>
    </nc>
  </rcc>
  <rcc rId="3263" sId="1" odxf="1" dxf="1" numFmtId="4">
    <oc r="Y36">
      <v>12197.48</v>
    </oc>
    <nc r="Y36">
      <f>Z36+AA36</f>
    </nc>
    <odxf>
      <font>
        <sz val="12"/>
        <color auto="1"/>
      </font>
      <numFmt numFmtId="166" formatCode="#,##0.00_ ;\-#,##0.00\ "/>
      <border outline="0">
        <bottom style="thin">
          <color indexed="64"/>
        </bottom>
      </border>
    </odxf>
    <ndxf>
      <font>
        <sz val="12"/>
        <color auto="1"/>
      </font>
      <numFmt numFmtId="4" formatCode="#,##0.00"/>
      <border outline="0">
        <bottom/>
      </border>
    </ndxf>
  </rcc>
  <rcc rId="3264" sId="1" odxf="1" dxf="1" numFmtId="4">
    <nc r="Y37">
      <f>Z37+AA37</f>
    </nc>
    <ndxf>
      <font>
        <sz val="12"/>
        <color auto="1"/>
      </font>
      <numFmt numFmtId="4" formatCode="#,##0.00"/>
      <border outline="0">
        <bottom/>
      </border>
    </ndxf>
  </rcc>
  <rcc rId="3265" sId="1" odxf="1" dxf="1" numFmtId="4">
    <oc r="V36">
      <v>79283.62</v>
    </oc>
    <nc r="V36">
      <f>W36+X36</f>
    </nc>
    <odxf>
      <font>
        <sz val="12"/>
        <color auto="1"/>
      </font>
      <border outline="0">
        <bottom style="thin">
          <color indexed="64"/>
        </bottom>
      </border>
    </odxf>
    <ndxf>
      <font>
        <sz val="12"/>
        <color auto="1"/>
      </font>
      <border outline="0">
        <bottom/>
      </border>
    </ndxf>
  </rcc>
  <rcc rId="3266" sId="1" odxf="1" dxf="1" numFmtId="4">
    <nc r="V37">
      <f>W37+X37</f>
    </nc>
    <ndxf>
      <font>
        <sz val="12"/>
        <color auto="1"/>
      </font>
      <border outline="0">
        <bottom/>
      </border>
    </ndxf>
  </rcc>
  <rcc rId="3267" sId="1" odxf="1" dxf="1" numFmtId="4">
    <oc r="S36">
      <v>518392.9</v>
    </oc>
    <nc r="S36">
      <f>T36+U36</f>
    </nc>
    <odxf>
      <font>
        <sz val="12"/>
        <color auto="1"/>
      </font>
    </odxf>
    <ndxf>
      <font>
        <sz val="12"/>
        <color auto="1"/>
      </font>
    </ndxf>
  </rcc>
  <rcc rId="3268" sId="1" odxf="1" dxf="1" numFmtId="4">
    <nc r="S37">
      <f>T37+U37</f>
    </nc>
    <ndxf>
      <font>
        <sz val="12"/>
        <color auto="1"/>
      </font>
    </ndxf>
  </rcc>
  <rcc rId="3269" sId="1">
    <nc r="M37">
      <f>S37/AE37*100</f>
    </nc>
  </rcc>
  <rcc rId="3270" sId="1" odxf="1" dxf="1">
    <nc r="AE37">
      <f>S37+V37+Y37+AB37</f>
    </nc>
    <odxf>
      <font>
        <sz val="12"/>
        <color auto="1"/>
      </font>
    </odxf>
    <ndxf>
      <font>
        <sz val="12"/>
        <color auto="1"/>
      </font>
    </ndxf>
  </rcc>
  <rcc rId="3271" sId="1" numFmtId="4">
    <nc r="AF37">
      <v>0</v>
    </nc>
  </rcc>
  <rcc rId="3272" sId="1" endOfListFormulaUpdate="1">
    <oc r="AF38">
      <f>SUM(AF35:AF36)</f>
    </oc>
    <nc r="AF38">
      <f>SUM(AF35:AF37)</f>
    </nc>
  </rcc>
  <rcc rId="3273" sId="1" numFmtId="4">
    <nc r="AG37">
      <v>0</v>
    </nc>
  </rcc>
  <rcc rId="3274" sId="1">
    <nc r="AH37" t="inlineStr">
      <is>
        <t xml:space="preserve"> în implementare</t>
      </is>
    </nc>
  </rcc>
  <rcv guid="{53ED3D47-B2C0-43A1-9A1E-F030D529F74C}" action="delete"/>
  <rdn rId="0" localSheetId="1" customView="1" name="Z_53ED3D47_B2C0_43A1_9A1E_F030D529F74C_.wvu.PrintArea" hidden="1" oldHidden="1">
    <formula>Sheet1!$A$1:$AL$478</formula>
    <oldFormula>Sheet1!$A$1:$AL$478</oldFormula>
  </rdn>
  <rdn rId="0" localSheetId="1" customView="1" name="Z_53ED3D47_B2C0_43A1_9A1E_F030D529F74C_.wvu.FilterData" hidden="1" oldHidden="1">
    <formula>Sheet1!$A$6:$AL$478</formula>
    <oldFormula>Sheet1!$A$6:$AL$478</oldFormula>
  </rdn>
  <rcv guid="{53ED3D47-B2C0-43A1-9A1E-F030D529F74C}"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20" sId="1" numFmtId="4">
    <oc r="T451">
      <v>7440987.5499999998</v>
    </oc>
    <nc r="T451">
      <v>14455958</v>
    </nc>
  </rcc>
  <rcc rId="4721" sId="1" numFmtId="4">
    <oc r="U451">
      <v>1786280.24</v>
    </oc>
    <nc r="U451">
      <v>3470291.02</v>
    </nc>
  </rcc>
  <rcc rId="4722" sId="1" numFmtId="4">
    <oc r="W451">
      <v>1138033.3600000001</v>
    </oc>
    <nc r="W451">
      <v>1330197.26</v>
    </nc>
  </rcc>
  <rcc rId="4723" sId="1" numFmtId="4">
    <oc r="X451">
      <v>401913.08</v>
    </oc>
    <nc r="X451">
      <v>469778.51</v>
    </nc>
  </rcc>
  <rcc rId="4724" sId="1" numFmtId="4">
    <oc r="AA451">
      <v>44656.99</v>
    </oc>
    <nc r="AA451">
      <v>397794.23</v>
    </nc>
  </rcc>
  <rcc rId="4725" sId="1" numFmtId="4">
    <oc r="Z451">
      <v>175082.08</v>
    </oc>
    <nc r="Z451">
      <v>1220854.1599999999</v>
    </nc>
  </rcc>
</revisions>
</file>

<file path=xl/revisions/revisionLog3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77" sId="1">
    <nc r="J37" t="inlineStr">
      <is>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is>
    </nc>
  </rcc>
  <rcc rId="3278" sId="1">
    <nc r="G37" t="inlineStr">
      <is>
        <t>Solutii informatice integrate pentru simplificarea procedurilor administrative si reducerea birocratiei la nivelul Municipiului Oradea</t>
      </is>
    </nc>
  </rcc>
  <rcv guid="{53ED3D47-B2C0-43A1-9A1E-F030D529F74C}" action="delete"/>
  <rdn rId="0" localSheetId="1" customView="1" name="Z_53ED3D47_B2C0_43A1_9A1E_F030D529F74C_.wvu.PrintArea" hidden="1" oldHidden="1">
    <formula>Sheet1!$A$1:$AL$478</formula>
    <oldFormula>Sheet1!$A$1:$AL$478</oldFormula>
  </rdn>
  <rdn rId="0" localSheetId="1" customView="1" name="Z_53ED3D47_B2C0_43A1_9A1E_F030D529F74C_.wvu.FilterData" hidden="1" oldHidden="1">
    <formula>Sheet1!$A$6:$AL$478</formula>
    <oldFormula>Sheet1!$A$6:$AL$478</oldFormula>
  </rdn>
  <rcv guid="{53ED3D47-B2C0-43A1-9A1E-F030D529F74C}" action="add"/>
</revisions>
</file>

<file path=xl/revisions/revisionLog3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81" sId="1" ref="A163:XFD163" action="insertRow">
    <undo index="65535" exp="area" ref3D="1" dr="$H$1:$N$1048576" dn="Z_65B035E3_87FA_46C5_996E_864F2C8D0EBC_.wvu.Cols" sId="1"/>
  </rrc>
  <rcc rId="3282" sId="1">
    <nc r="A163">
      <v>3</v>
    </nc>
  </rcc>
  <rcv guid="{36624B2D-80F9-4F79-AC4A-B3547C36F23F}" action="delete"/>
  <rdn rId="0" localSheetId="1" customView="1" name="Z_36624B2D_80F9_4F79_AC4A_B3547C36F23F_.wvu.PrintArea" hidden="1" oldHidden="1">
    <formula>Sheet1!$A$1:$AL$479</formula>
    <oldFormula>Sheet1!$A$1:$AL$479</oldFormula>
  </rdn>
  <rdn rId="0" localSheetId="1" customView="1" name="Z_36624B2D_80F9_4F79_AC4A_B3547C36F23F_.wvu.FilterData" hidden="1" oldHidden="1">
    <formula>Sheet1!$A$1:$AL$447</formula>
    <oldFormula>Sheet1!$A$1:$AL$447</oldFormula>
  </rdn>
  <rcv guid="{36624B2D-80F9-4F79-AC4A-B3547C36F23F}" action="add"/>
</revisions>
</file>

<file path=xl/revisions/revisionLog3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5" sId="1">
    <nc r="B163">
      <v>128946</v>
    </nc>
  </rcc>
  <rcc rId="3286" sId="1">
    <nc r="C163">
      <v>654</v>
    </nc>
  </rcc>
</revisions>
</file>

<file path=xl/revisions/revisionLog3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7" sId="1">
    <nc r="D163" t="inlineStr">
      <is>
        <t>ET</t>
      </is>
    </nc>
  </rcc>
  <rcc rId="3288" sId="1">
    <nc r="E163" t="inlineStr">
      <is>
        <t>AP 2/11i/2.1</t>
      </is>
    </nc>
  </rcc>
</revisions>
</file>

<file path=xl/revisions/revisionLog3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9" sId="1" xfDxf="1" dxf="1">
    <nc r="F163" t="inlineStr">
      <is>
        <t>CP 12 more/2018</t>
      </is>
    </nc>
    <n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evisions>
</file>

<file path=xl/revisions/revisionLog3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0" sId="1">
    <nc r="G163" t="inlineStr">
      <is>
        <t>Planificare strategica si decizionala la nivelul Unității Administrativ Teritoriale Județul Ilfov – garanția unui cadru administrativ coerent în beneficiul comunității</t>
      </is>
    </nc>
  </rcc>
</revisions>
</file>

<file path=xl/revisions/revisionLog3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1" sId="1">
    <nc r="H163" t="inlineStr">
      <is>
        <t>Județul Ilfov</t>
      </is>
    </nc>
  </rcc>
  <rcc rId="3292" sId="1">
    <nc r="I163" t="inlineStr">
      <is>
        <t>n.a</t>
      </is>
    </nc>
  </rcc>
</revisions>
</file>

<file path=xl/revisions/revisionLog3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3" sId="1">
    <nc r="J163" t="inlineStr">
      <is>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is>
    </nc>
  </rcc>
  <rcc rId="3294" sId="1" numFmtId="19">
    <nc r="K163">
      <v>43657</v>
    </nc>
  </rcc>
</revisions>
</file>

<file path=xl/revisions/revisionLog3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5" sId="1" numFmtId="19">
    <nc r="L163">
      <v>44207</v>
    </nc>
  </rcc>
</revisions>
</file>

<file path=xl/revisions/revisionLog3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6" sId="1">
    <nc r="N163">
      <v>8</v>
    </nc>
  </rcc>
  <rcc rId="3297" sId="1">
    <nc r="O163" t="inlineStr">
      <is>
        <t>Ilfov</t>
      </is>
    </nc>
  </rcc>
  <rcc rId="3298" sId="1">
    <nc r="P163" t="inlineStr">
      <is>
        <t>Bucurețti</t>
      </is>
    </nc>
  </rcc>
  <rcc rId="3299" sId="1">
    <nc r="M163">
      <f>S163/AE163*100</f>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T45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4726" sId="1" numFmtId="4">
    <nc r="T453">
      <v>3891600.89</v>
    </nc>
  </rcc>
  <rfmt sheetId="1" s="1" sqref="U45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4727" sId="1" numFmtId="4">
    <nc r="U453">
      <v>934215.99</v>
    </nc>
  </rcc>
  <rcc rId="4728" sId="1" odxf="1" s="1" dxf="1">
    <nc r="S452">
      <f>T452+U452</f>
    </nc>
    <odxf>
      <numFmt numFmtId="0" formatCode="General"/>
    </odxf>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4729" sId="1" odxf="1" s="1" dxf="1">
    <nc r="S453">
      <f>T453+U453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4730" sId="1" odxf="1" s="1" dxf="1">
    <nc r="V452">
      <f>W452+X452</f>
    </nc>
    <odxf>
      <numFmt numFmtId="0" formatCode="General"/>
    </odxf>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4731" sId="1" odxf="1" s="1" dxf="1">
    <nc r="V453">
      <f>W453+X453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4732" sId="1" odxf="1" s="1" dxf="1">
    <nc r="Y452">
      <f>Z452+AA452</f>
    </nc>
    <odxf>
      <numFmt numFmtId="0" formatCode="General"/>
    </odxf>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4733" sId="1" odxf="1" s="1" dxf="1">
    <nc r="Y453">
      <f>Z453+AA453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4734" sId="1" odxf="1" s="1" dxf="1">
    <nc r="AB452">
      <f>AC452+AD452</f>
    </nc>
    <odxf>
      <numFmt numFmtId="0" formatCode="General"/>
    </odxf>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4735" sId="1" odxf="1" s="1" dxf="1">
    <nc r="AB453">
      <f>AC453+AD453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W45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X45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4736" sId="1" numFmtId="4">
    <nc r="W453">
      <v>0</v>
    </nc>
  </rcc>
  <rcc rId="4737" sId="1" numFmtId="4">
    <nc r="X453">
      <v>0</v>
    </nc>
  </rcc>
  <rfmt sheetId="1" s="1" sqref="Z45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A45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4738" sId="1" numFmtId="4">
    <nc r="AA453">
      <v>233554</v>
    </nc>
  </rcc>
  <rcc rId="4739" sId="1" numFmtId="4">
    <nc r="Z453">
      <v>686753.09</v>
    </nc>
  </rcc>
  <rfmt sheetId="1" s="1" sqref="AC45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4740" sId="1" numFmtId="4">
    <nc r="AC453">
      <v>0</v>
    </nc>
  </rcc>
  <rfmt sheetId="1" s="1" sqref="AD45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4741" sId="1" numFmtId="4">
    <nc r="AD453">
      <v>0</v>
    </nc>
  </rcc>
  <rcc rId="4742" sId="1" odxf="1" s="1" dxf="1">
    <nc r="AE452">
      <f>S452+V452+Y452+AB452</f>
    </nc>
    <odxf>
      <numFmt numFmtId="0" formatCode="General"/>
      <fill>
        <patternFill patternType="solid">
          <fgColor indexed="64"/>
          <bgColor theme="0"/>
        </patternFill>
      </fill>
    </odxf>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E45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453">
    <dxf>
      <alignment horizontal="center"/>
    </dxf>
  </rfmt>
  <rcc rId="4743" sId="1">
    <nc r="AE453">
      <f>S453+V453+Y453+AB453</f>
    </nc>
  </rcc>
  <rcc rId="4744" sId="1" odxf="1" dxf="1">
    <nc r="AH452">
      <f>AH448</f>
    </nc>
    <odxf>
      <font>
        <sz val="11"/>
        <color theme="1"/>
        <name val="Calibri"/>
        <family val="2"/>
        <charset val="238"/>
        <scheme val="minor"/>
      </font>
      <numFmt numFmtId="0" formatCode="General"/>
      <alignment horizontal="general" vertical="bottom" wrapText="0"/>
      <border outline="0">
        <left/>
        <right/>
        <top/>
        <bottom/>
      </border>
    </odxf>
    <n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4745" sId="1" odxf="1" dxf="1">
    <nc r="AH453">
      <f>AH449</f>
    </nc>
    <odxf>
      <font>
        <sz val="11"/>
        <color theme="1"/>
        <name val="Calibri"/>
        <family val="2"/>
        <charset val="238"/>
        <scheme val="minor"/>
      </font>
      <numFmt numFmtId="0" formatCode="General"/>
      <alignment horizontal="general" vertical="bottom" wrapText="0"/>
      <border outline="0">
        <left/>
        <right/>
        <top/>
        <bottom/>
      </border>
    </odxf>
    <n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fmt sheetId="1" sqref="AI453">
    <dxf>
      <alignment vertical="center"/>
    </dxf>
  </rfmt>
  <rfmt sheetId="1" sqref="AI453">
    <dxf>
      <alignment horizontal="center"/>
    </dxf>
  </rfmt>
  <rcc rId="4746" sId="1">
    <nc r="AI453" t="inlineStr">
      <is>
        <t>n.a.</t>
      </is>
    </nc>
  </rcc>
</revisions>
</file>

<file path=xl/revisions/revisionLog3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00" sId="1">
    <nc r="Q163" t="inlineStr">
      <is>
        <t>APL</t>
      </is>
    </nc>
  </rcc>
  <rcc rId="3301" sId="1">
    <nc r="R163" t="inlineStr">
      <is>
        <t>119 - Investiții în capacitatea instituțională și în eficiența administrațiilor și a serviciilor publice la nivel național, regional și local, în perspectiva realizării de reforme, a unei mai bune legiferări și a bunei guvernanțe</t>
      </is>
    </nc>
  </rcc>
  <rfmt sheetId="1" sqref="T163:V163" start="0" length="0">
    <dxf>
      <border>
        <top style="thin">
          <color indexed="64"/>
        </top>
      </border>
    </dxf>
  </rfmt>
  <rfmt sheetId="1" sqref="T163:V163">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3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W162:Z163">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A162:AC163">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3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02" sId="1" numFmtId="4">
    <nc r="T163">
      <v>0</v>
    </nc>
  </rcc>
  <rcc rId="3303" sId="1" numFmtId="4">
    <nc r="U163">
      <v>271938.8</v>
    </nc>
  </rcc>
  <rcc rId="3304" sId="1">
    <nc r="S163">
      <f>T163+U163</f>
    </nc>
  </rcc>
  <rcc rId="3305" sId="1" odxf="1" dxf="1">
    <nc r="V163">
      <f>W163+X163</f>
    </nc>
    <odxf>
      <border outline="0">
        <bottom style="thin">
          <color indexed="64"/>
        </bottom>
      </border>
    </odxf>
    <ndxf>
      <border outline="0">
        <bottom/>
      </border>
    </ndxf>
  </rcc>
  <rcc rId="3306" sId="1">
    <nc r="Y163">
      <f>Z163+AA163</f>
    </nc>
  </rcc>
  <rcc rId="3307" sId="1">
    <nc r="AB163">
      <f>AC163+AD163</f>
    </nc>
  </rcc>
  <rcc rId="3308" sId="1" numFmtId="4">
    <nc r="W163">
      <v>0</v>
    </nc>
  </rcc>
  <rcc rId="3309" sId="1" numFmtId="4">
    <nc r="X163">
      <v>61186.239999999998</v>
    </nc>
  </rcc>
</revisions>
</file>

<file path=xl/revisions/revisionLog3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10" sId="1" numFmtId="4">
    <nc r="Z163">
      <v>0</v>
    </nc>
  </rcc>
  <rcc rId="3311" sId="1" numFmtId="4">
    <nc r="AA163">
      <v>6798.46</v>
    </nc>
  </rcc>
</revisions>
</file>

<file path=xl/revisions/revisionLog3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12" sId="1" numFmtId="4">
    <nc r="AC163">
      <v>0</v>
    </nc>
  </rcc>
  <rcc rId="3313" sId="1" numFmtId="4">
    <nc r="AD163">
      <v>0</v>
    </nc>
  </rcc>
  <rcc rId="3314" sId="1">
    <nc r="AE163">
      <f>S163+V163+Y163+AB163</f>
    </nc>
  </rcc>
  <rcc rId="3315" sId="1" numFmtId="4">
    <nc r="AF163">
      <v>0</v>
    </nc>
  </rcc>
  <rcc rId="3316" sId="1" endOfListFormulaUpdate="1">
    <oc r="AF164">
      <f>SUM(AF161:AF162)</f>
    </oc>
    <nc r="AF164">
      <f>SUM(AF161:AF163)</f>
    </nc>
  </rcc>
  <rcc rId="3317" sId="1">
    <nc r="AG163">
      <f>AE163+AF163</f>
    </nc>
  </rcc>
  <rcc rId="3318" sId="1">
    <nc r="AH163" t="inlineStr">
      <is>
        <t xml:space="preserve"> în implementare</t>
      </is>
    </nc>
  </rcc>
</revisions>
</file>

<file path=xl/revisions/revisionLog3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Sheet1!$A$1:$AL$479</formula>
    <oldFormula>Sheet1!$A$1:$AL$479</oldFormula>
  </rdn>
  <rdn rId="0" localSheetId="1" customView="1" name="Z_36624B2D_80F9_4F79_AC4A_B3547C36F23F_.wvu.FilterData" hidden="1" oldHidden="1">
    <formula>Sheet1!$A$1:$AL$447</formula>
    <oldFormula>Sheet1!$A$1:$AL$447</oldFormula>
  </rdn>
  <rcv guid="{36624B2D-80F9-4F79-AC4A-B3547C36F23F}" action="add"/>
</revisions>
</file>

<file path=xl/revisions/revisionLog3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21" sId="1" ref="A204:XFD204" action="insertRow">
    <undo index="65535" exp="area" ref3D="1" dr="$H$1:$N$1048576" dn="Z_65B035E3_87FA_46C5_996E_864F2C8D0EBC_.wvu.Cols" sId="1"/>
  </rrc>
  <rcv guid="{7C1B4D6D-D666-48DD-AB17-E00791B6F0B6}" action="delete"/>
  <rdn rId="0" localSheetId="1" customView="1" name="Z_7C1B4D6D_D666_48DD_AB17_E00791B6F0B6_.wvu.PrintArea" hidden="1" oldHidden="1">
    <formula>Sheet1!$A$1:$AL$480</formula>
    <oldFormula>Sheet1!$A$1:$AL$480</oldFormula>
  </rdn>
  <rdn rId="0" localSheetId="1" customView="1" name="Z_7C1B4D6D_D666_48DD_AB17_E00791B6F0B6_.wvu.FilterData" hidden="1" oldHidden="1">
    <formula>Sheet1!$A$6:$DG$448</formula>
    <oldFormula>Sheet1!$A$6:$DG$448</oldFormula>
  </rdn>
  <rcv guid="{7C1B4D6D-D666-48DD-AB17-E00791B6F0B6}" action="add"/>
</revisions>
</file>

<file path=xl/revisions/revisionLog3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24" sId="1">
    <nc r="A204">
      <v>5</v>
    </nc>
  </rcc>
  <rcc rId="3325" sId="1">
    <nc r="B204">
      <v>129622</v>
    </nc>
  </rcc>
  <rcc rId="3326" sId="1">
    <nc r="C204">
      <v>660</v>
    </nc>
  </rcc>
  <rcc rId="3327" sId="1">
    <nc r="D204" t="inlineStr">
      <is>
        <t>MP</t>
      </is>
    </nc>
  </rcc>
  <rcc rId="3328" sId="1">
    <nc r="E204" t="inlineStr">
      <is>
        <t>AP 2/11i/2.1</t>
      </is>
    </nc>
  </rcc>
  <rcc rId="3329" sId="1">
    <nc r="F204" t="inlineStr">
      <is>
        <t>CP12 less /2018</t>
      </is>
    </nc>
  </rcc>
</revisions>
</file>

<file path=xl/revisions/revisionLog3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30" sId="1">
    <nc r="G204" t="inlineStr">
      <is>
        <t>Resurse Integrate pentru o Dezvoltare Locală Sustenabilă</t>
      </is>
    </nc>
  </rcc>
</revisions>
</file>

<file path=xl/revisions/revisionLog3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31" sId="1">
    <nc r="H204" t="inlineStr">
      <is>
        <t>Municipiul Mediaș</t>
      </is>
    </nc>
  </rcc>
  <rcc rId="3332" sId="1">
    <nc r="I204" t="inlineStr">
      <is>
        <t>n.a</t>
      </is>
    </nc>
  </rcc>
  <rcc rId="3333" sId="1" numFmtId="19">
    <nc r="K204">
      <v>43658</v>
    </nc>
  </rcc>
  <rcc rId="3334" sId="1" numFmtId="19">
    <nc r="L204">
      <v>44542</v>
    </nc>
  </rcc>
  <rcc rId="3335" sId="1">
    <nc r="M204">
      <f>S204/AE204*100</f>
    </nc>
  </rcc>
  <rcc rId="3336" sId="1">
    <nc r="N204">
      <v>7</v>
    </nc>
  </rcc>
  <rcc rId="3337" sId="1">
    <nc r="O204" t="inlineStr">
      <is>
        <t>Sibiu</t>
      </is>
    </nc>
  </rcc>
  <rcc rId="3338" sId="1">
    <nc r="Q204" t="inlineStr">
      <is>
        <t>APL</t>
      </is>
    </nc>
  </rcc>
  <rcc rId="3339" sId="1">
    <nc r="R204" t="inlineStr">
      <is>
        <t>119 - Investiții în capacitatea instituțională și în eficiența administrațiilor și a serviciilor publice la nivel național, regional și local, în perspectiva realizării de reforme, a unei mai bune legiferări și a bunei guvernanțe</t>
      </is>
    </nc>
  </rcc>
  <rcc rId="3340" sId="1">
    <nc r="P204" t="inlineStr">
      <is>
        <t>Municipiul Mediaș</t>
      </is>
    </nc>
  </rcc>
  <rcc rId="3341" sId="1" endOfListFormulaUpdate="1">
    <oc r="T205">
      <f>SUM(T200:T203)</f>
    </oc>
    <nc r="T205">
      <f>SUM(T200:T204)</f>
    </nc>
  </rcc>
  <rcc rId="3342" sId="1" numFmtId="4">
    <nc r="U204">
      <v>0</v>
    </nc>
  </rcc>
  <rcc rId="3343" sId="1" endOfListFormulaUpdate="1">
    <oc r="U205">
      <f>SUM(U200:U203)</f>
    </oc>
    <nc r="U205">
      <f>SUM(U200:U204)</f>
    </nc>
  </rcc>
  <rcc rId="3344" sId="1">
    <nc r="S204">
      <f>T204+U204</f>
    </nc>
  </rcc>
  <rcc rId="3345" sId="1" endOfListFormulaUpdate="1">
    <oc r="X205">
      <f>SUM(X200:X203)</f>
    </oc>
    <nc r="X205">
      <f>SUM(X200:X204)</f>
    </nc>
  </rcc>
  <rcc rId="3346" sId="1">
    <nc r="V204">
      <f>W204+X204</f>
    </nc>
  </rcc>
  <rcc rId="3347" sId="1" odxf="1" dxf="1" numFmtId="4">
    <nc r="W204">
      <v>519873.26</v>
    </nc>
    <ndxf>
      <font>
        <sz val="12"/>
        <color auto="1"/>
      </font>
      <numFmt numFmtId="4" formatCode="#,##0.00"/>
    </ndxf>
  </rcc>
  <rcc rId="3348" sId="1" numFmtId="4">
    <nc r="X204">
      <v>0</v>
    </nc>
  </rcc>
  <rcc rId="3349" sId="1" numFmtId="4">
    <nc r="Z204">
      <v>79980.5</v>
    </nc>
  </rcc>
  <rcc rId="3350" sId="1" endOfListFormulaUpdate="1">
    <oc r="Z205">
      <f>SUM(Z200:Z203)</f>
    </oc>
    <nc r="Z205">
      <f>SUM(Z200:Z204)</f>
    </nc>
  </rcc>
  <rcc rId="3351" sId="1" numFmtId="4">
    <nc r="AA204">
      <v>0</v>
    </nc>
  </rcc>
  <rcc rId="3352" sId="1" endOfListFormulaUpdate="1">
    <oc r="AA205">
      <f>SUM(AA200:AA203)</f>
    </oc>
    <nc r="AA205">
      <f>SUM(AA200:AA204)</f>
    </nc>
  </rcc>
  <rcc rId="3353" sId="1">
    <nc r="Y204">
      <f>Z204+AA204</f>
    </nc>
  </rcc>
  <rcc rId="3354" sId="1" numFmtId="4">
    <nc r="AC204">
      <v>0</v>
    </nc>
  </rcc>
  <rcc rId="3355" sId="1" endOfListFormulaUpdate="1">
    <oc r="AC205">
      <f>SUM(AC200:AC203)</f>
    </oc>
    <nc r="AC205">
      <f>SUM(AC200:AC204)</f>
    </nc>
  </rcc>
  <rcc rId="3356" sId="1" numFmtId="4">
    <nc r="AD204">
      <v>0</v>
    </nc>
  </rcc>
  <rcc rId="3357" sId="1" endOfListFormulaUpdate="1">
    <oc r="AD205">
      <f>SUM(AD200:AD203)</f>
    </oc>
    <nc r="AD205">
      <f>SUM(AD200:AD204)</f>
    </nc>
  </rcc>
  <rcc rId="3358" sId="1">
    <nc r="AB204">
      <f>AC204+AD204</f>
    </nc>
  </rcc>
  <rcc rId="3359" sId="1">
    <nc r="AE204">
      <f>S204+V204+Y204+AB204</f>
    </nc>
  </rcc>
  <rcc rId="3360" sId="1" numFmtId="4">
    <nc r="AF204">
      <v>0</v>
    </nc>
  </rcc>
  <rfmt sheetId="1" sqref="AF204">
    <dxf>
      <numFmt numFmtId="164" formatCode="_-* #,##0.00\ _l_e_i_-;\-* #,##0.00\ _l_e_i_-;_-* &quot;-&quot;??\ _l_e_i_-;_-@_-"/>
    </dxf>
  </rfmt>
  <rfmt sheetId="1" sqref="AF204">
    <dxf>
      <numFmt numFmtId="169" formatCode="_-* #,##0.0\ _l_e_i_-;\-* #,##0.0\ _l_e_i_-;_-* &quot;-&quot;??\ _l_e_i_-;_-@_-"/>
    </dxf>
  </rfmt>
  <rfmt sheetId="1" sqref="AF204">
    <dxf>
      <numFmt numFmtId="170" formatCode="_-* #,##0\ _l_e_i_-;\-* #,##0\ _l_e_i_-;_-* &quot;-&quot;??\ _l_e_i_-;_-@_-"/>
    </dxf>
  </rfmt>
  <rfmt sheetId="1" sqref="AF204">
    <dxf>
      <numFmt numFmtId="2" formatCode="0.00"/>
    </dxf>
  </rfmt>
  <rcc rId="3361" sId="1">
    <nc r="AG204">
      <f>AE204+AF204</f>
    </nc>
  </rcc>
  <rcc rId="3362" sId="1" numFmtId="4">
    <nc r="T204">
      <v>3399171.34</v>
    </nc>
  </rcc>
  <rcc rId="3363" sId="1">
    <nc r="AH204" t="inlineStr">
      <is>
        <t xml:space="preserve"> în implementare</t>
      </is>
    </nc>
  </rcc>
  <rcc rId="3364" sId="1">
    <nc r="AI204" t="inlineStr">
      <is>
        <t>n.a</t>
      </is>
    </nc>
  </rcc>
  <rcc rId="3365" sId="1" endOfListFormulaUpdate="1">
    <oc r="AI205">
      <f>SUM(AI200:AI203)</f>
    </oc>
    <nc r="AI205">
      <f>SUM(AI200:AI204)</f>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747" sId="1" ref="A452:XFD452" action="deleteRow">
    <undo index="65535" exp="area" ref3D="1" dr="$H$1:$N$1048576" dn="Z_65B035E3_87FA_46C5_996E_864F2C8D0EBC_.wvu.Cols" sId="1"/>
    <rfmt sheetId="1" xfDxf="1" sqref="A452:XFD452" start="0" length="0"/>
    <rfmt sheetId="1" sqref="B452" start="0" length="0">
      <dxf>
        <fill>
          <patternFill patternType="solid">
            <bgColor rgb="FFFFFF00"/>
          </patternFill>
        </fill>
      </dxf>
    </rfmt>
    <rfmt sheetId="1" sqref="C452" start="0" length="0">
      <dxf>
        <font>
          <b/>
          <sz val="11"/>
          <color theme="1"/>
          <name val="Calibri"/>
          <family val="2"/>
          <charset val="238"/>
          <scheme val="minor"/>
        </font>
        <fill>
          <patternFill patternType="solid">
            <bgColor rgb="FFFFFF00"/>
          </patternFill>
        </fill>
      </dxf>
    </rfmt>
    <rfmt sheetId="1" sqref="D452" start="0" length="0">
      <dxf>
        <fill>
          <patternFill patternType="solid">
            <bgColor rgb="FFFFFF00"/>
          </patternFill>
        </fill>
      </dxf>
    </rfmt>
    <rfmt sheetId="1" sqref="F452" start="0" length="0">
      <dxf>
        <fill>
          <patternFill patternType="solid">
            <bgColor rgb="FFFFFF00"/>
          </patternFill>
        </fill>
      </dxf>
    </rfmt>
    <rfmt sheetId="1" sqref="G452" start="0" length="0">
      <dxf>
        <alignment horizontal="left" vertical="top"/>
      </dxf>
    </rfmt>
    <rfmt sheetId="1" sqref="H452" start="0" length="0">
      <dxf>
        <alignment horizontal="left" vertical="top"/>
      </dxf>
    </rfmt>
    <rfmt sheetId="1" sqref="I452" start="0" length="0">
      <dxf>
        <fill>
          <patternFill patternType="solid">
            <bgColor rgb="FFFFFF00"/>
          </patternFill>
        </fill>
        <alignment horizontal="center" vertical="top"/>
      </dxf>
    </rfmt>
    <rfmt sheetId="1" sqref="K452" start="0" length="0">
      <dxf>
        <fill>
          <patternFill patternType="solid">
            <bgColor theme="0"/>
          </patternFill>
        </fill>
        <alignment horizontal="center" vertical="top"/>
      </dxf>
    </rfmt>
    <rfmt sheetId="1" sqref="L452" start="0" length="0">
      <dxf>
        <alignment horizontal="center" vertical="top"/>
      </dxf>
    </rfmt>
    <rfmt sheetId="1" sqref="M452" start="0" length="0">
      <dxf>
        <alignment horizontal="center" vertical="top"/>
      </dxf>
    </rfmt>
    <rfmt sheetId="1" sqref="N452" start="0" length="0">
      <dxf>
        <alignment horizontal="center" vertical="top"/>
      </dxf>
    </rfmt>
    <rfmt sheetId="1" sqref="O452" start="0" length="0">
      <dxf>
        <alignment horizontal="center" vertical="top"/>
      </dxf>
    </rfmt>
    <rfmt sheetId="1" sqref="P452" start="0" length="0">
      <dxf>
        <alignment horizontal="center" vertical="top"/>
      </dxf>
    </rfmt>
    <rfmt sheetId="1" sqref="Q452" start="0" length="0">
      <dxf>
        <alignment horizontal="center" vertical="top"/>
      </dxf>
    </rfmt>
    <rfmt sheetId="1" sqref="R452" start="0" length="0">
      <dxf>
        <alignment horizontal="center" vertical="top"/>
      </dxf>
    </rfmt>
    <rcc rId="0" sId="1" s="1" dxf="1">
      <nc r="S452">
        <f>T452+U452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452" start="0" length="0">
      <dxf>
        <fill>
          <patternFill patternType="solid">
            <bgColor rgb="FFFFFF00"/>
          </patternFill>
        </fill>
      </dxf>
    </rfmt>
    <rfmt sheetId="1" sqref="U452" start="0" length="0">
      <dxf>
        <fill>
          <patternFill patternType="solid">
            <bgColor rgb="FFFFFF00"/>
          </patternFill>
        </fill>
      </dxf>
    </rfmt>
    <rcc rId="0" sId="1" s="1" dxf="1">
      <nc r="V452">
        <f>W452+X452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452" start="0" length="0">
      <dxf>
        <fill>
          <patternFill patternType="solid">
            <bgColor rgb="FFFFFF00"/>
          </patternFill>
        </fill>
      </dxf>
    </rfmt>
    <rfmt sheetId="1" sqref="X452" start="0" length="0">
      <dxf>
        <fill>
          <patternFill patternType="solid">
            <bgColor rgb="FFFFFF00"/>
          </patternFill>
        </fill>
      </dxf>
    </rfmt>
    <rcc rId="0" sId="1" s="1" dxf="1">
      <nc r="Y452">
        <f>Z452+AA452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452" start="0" length="0">
      <dxf>
        <fill>
          <patternFill patternType="solid">
            <bgColor rgb="FFFFFF00"/>
          </patternFill>
        </fill>
      </dxf>
    </rfmt>
    <rfmt sheetId="1" sqref="AA452" start="0" length="0">
      <dxf>
        <fill>
          <patternFill patternType="solid">
            <bgColor rgb="FFFFFF00"/>
          </patternFill>
        </fill>
      </dxf>
    </rfmt>
    <rcc rId="0" sId="1" s="1" dxf="1">
      <nc r="AB452">
        <f>AC452+AD452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452" start="0" length="0">
      <dxf>
        <fill>
          <patternFill patternType="solid">
            <bgColor rgb="FFFFFF00"/>
          </patternFill>
        </fill>
      </dxf>
    </rfmt>
    <rfmt sheetId="1" sqref="AD452" start="0" length="0">
      <dxf>
        <fill>
          <patternFill patternType="solid">
            <bgColor rgb="FFFFFF00"/>
          </patternFill>
        </fill>
      </dxf>
    </rfmt>
    <rcc rId="0" sId="1" s="1" dxf="1">
      <nc r="AE452">
        <f>S452+V452+Y452+AB452</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cc rId="0" sId="1" dxf="1">
      <nc r="AH452">
        <f>AH448</f>
      </nc>
      <n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fmt sheetId="1" sqref="AI452" start="0" length="0">
      <dxf>
        <alignment vertical="top" wrapText="1"/>
      </dxf>
    </rfmt>
  </rrc>
  <rcc rId="4748" sId="1" odxf="1" dxf="1">
    <nc r="M452">
      <f>S452/AE452*100</f>
    </nc>
    <odxf>
      <font>
        <sz val="11"/>
        <color theme="1"/>
        <name val="Calibri"/>
        <family val="2"/>
        <charset val="238"/>
        <scheme val="minor"/>
      </font>
      <numFmt numFmtId="0" formatCode="General"/>
      <alignment vertical="top" wrapText="0"/>
      <border outline="0">
        <left/>
        <right/>
        <top/>
        <bottom/>
      </border>
    </odxf>
    <ndxf>
      <font>
        <sz val="12"/>
        <color auto="1"/>
        <name val="Calibri"/>
        <family val="2"/>
        <charset val="238"/>
        <scheme val="minor"/>
      </font>
      <numFmt numFmtId="165" formatCode="0.000000000"/>
      <alignment vertical="center" wrapText="1"/>
      <border outline="0">
        <left style="thin">
          <color indexed="64"/>
        </left>
        <right style="thin">
          <color indexed="64"/>
        </right>
        <top style="thin">
          <color indexed="64"/>
        </top>
        <bottom style="thin">
          <color indexed="64"/>
        </bottom>
      </border>
    </ndxf>
  </rcc>
  <rfmt sheetId="1" sqref="AL452" start="0" length="0">
    <dxf>
      <border>
        <right style="thin">
          <color indexed="64"/>
        </right>
      </border>
    </dxf>
  </rfmt>
  <rfmt sheetId="1" sqref="AI452:AL452" start="0" length="0">
    <dxf>
      <border>
        <bottom style="thin">
          <color indexed="64"/>
        </bottom>
      </border>
    </dxf>
  </rfmt>
  <rfmt sheetId="1" sqref="AI452:AL452">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F452:AG452">
    <dxf>
      <border>
        <left style="thin">
          <color indexed="64"/>
        </left>
        <right style="thin">
          <color indexed="64"/>
        </right>
        <top style="thin">
          <color indexed="64"/>
        </top>
        <bottom style="thin">
          <color indexed="64"/>
        </bottom>
        <vertical style="thin">
          <color indexed="64"/>
        </vertical>
        <horizontal style="thin">
          <color indexed="64"/>
        </horizontal>
      </border>
    </dxf>
  </rfmt>
  <rcc rId="4749" sId="1" odxf="1" dxf="1">
    <oc r="AI452" t="inlineStr">
      <is>
        <t>n.a.</t>
      </is>
    </oc>
    <nc r="AI452" t="inlineStr">
      <is>
        <t>n.a</t>
      </is>
    </nc>
    <odxf>
      <font>
        <sz val="11"/>
        <color theme="1"/>
        <name val="Calibri"/>
        <family val="2"/>
        <charset val="238"/>
        <scheme val="minor"/>
      </font>
      <numFmt numFmtId="0" formatCode="General"/>
      <alignment horizontal="center"/>
    </odxf>
    <ndxf>
      <font>
        <sz val="12"/>
        <color theme="1"/>
        <name val="Trebuchet MS"/>
        <family val="2"/>
        <charset val="238"/>
        <scheme val="none"/>
      </font>
      <numFmt numFmtId="19" formatCode="dd/mm/yyyy"/>
      <alignment horizontal="right"/>
    </ndxf>
  </rcc>
  <rcc rId="4750" sId="1" numFmtId="4">
    <oc r="Z452">
      <v>686753.09</v>
    </oc>
    <nc r="Z452">
      <v>686753.08</v>
    </nc>
  </rcc>
  <rcc rId="4751" sId="1" numFmtId="4">
    <oc r="AA452">
      <v>233554</v>
    </oc>
    <nc r="AA452">
      <v>233554.04</v>
    </nc>
  </rcc>
  <rrc rId="4752" sId="1" ref="A466:XFD466" action="insertRow">
    <undo index="65535" exp="area" ref3D="1" dr="$H$1:$N$1048576" dn="Z_65B035E3_87FA_46C5_996E_864F2C8D0EBC_.wvu.Cols" sId="1"/>
  </rrc>
  <rcc rId="4753" sId="1">
    <nc r="D466">
      <f>COUNTIFS(F$7:F$454,$F466)</f>
    </nc>
  </rcc>
  <rcc rId="4754" sId="1">
    <nc r="E466" t="inlineStr">
      <is>
        <t>TOTAL</t>
      </is>
    </nc>
  </rcc>
  <rcc rId="4755" sId="1">
    <nc r="F466" t="inlineStr">
      <is>
        <t>IP 10/2018 (MySMIS: 
POCA/354/1/3/)</t>
      </is>
    </nc>
  </rcc>
  <rcc rId="4756" sId="1">
    <nc r="S466">
      <f>SUMIFS(S$7:S$454,$F$7:$F$454,$F466)</f>
    </nc>
  </rcc>
  <rcc rId="4757" sId="1" endOfListFormulaUpdate="1">
    <oc r="S467">
      <f>SUM(S455:S465)</f>
    </oc>
    <nc r="S467">
      <f>SUM(S455:S466)</f>
    </nc>
  </rcc>
  <rcc rId="4758" sId="1">
    <nc r="T466">
      <f>SUMIFS(T$7:T$454,$F$7:$F$454,$F466)</f>
    </nc>
  </rcc>
  <rcc rId="4759" sId="1" endOfListFormulaUpdate="1">
    <oc r="T467">
      <f>SUM(T455:T465)</f>
    </oc>
    <nc r="T467">
      <f>SUM(T455:T466)</f>
    </nc>
  </rcc>
  <rcc rId="4760" sId="1">
    <nc r="U466">
      <f>SUMIFS(U$7:U$454,$F$7:$F$454,$F466)</f>
    </nc>
  </rcc>
  <rcc rId="4761" sId="1" endOfListFormulaUpdate="1">
    <oc r="U467">
      <f>SUM(U455:U465)</f>
    </oc>
    <nc r="U467">
      <f>SUM(U455:U466)</f>
    </nc>
  </rcc>
  <rcc rId="4762" sId="1">
    <nc r="V466">
      <f>SUMIFS(V$7:V$454,$F$7:$F$454,$F466)</f>
    </nc>
  </rcc>
  <rcc rId="4763" sId="1" endOfListFormulaUpdate="1">
    <oc r="V467">
      <f>SUM(V455:V465)</f>
    </oc>
    <nc r="V467">
      <f>SUM(V455:V466)</f>
    </nc>
  </rcc>
  <rcc rId="4764" sId="1">
    <nc r="W466">
      <f>SUMIFS(W$7:W$454,$F$7:$F$454,$F466)</f>
    </nc>
  </rcc>
  <rcc rId="4765" sId="1" endOfListFormulaUpdate="1">
    <oc r="W467">
      <f>SUM(W455:W465)</f>
    </oc>
    <nc r="W467">
      <f>SUM(W455:W466)</f>
    </nc>
  </rcc>
  <rcc rId="4766" sId="1">
    <nc r="X466">
      <f>SUMIFS(X$7:X$454,$F$7:$F$454,$F466)</f>
    </nc>
  </rcc>
  <rcc rId="4767" sId="1" endOfListFormulaUpdate="1">
    <oc r="X467">
      <f>SUM(X455:X465)</f>
    </oc>
    <nc r="X467">
      <f>SUM(X455:X466)</f>
    </nc>
  </rcc>
  <rcc rId="4768" sId="1">
    <nc r="Y466">
      <f>SUMIFS(Y$7:Y$454,$F$7:$F$454,$F466)</f>
    </nc>
  </rcc>
  <rcc rId="4769" sId="1" endOfListFormulaUpdate="1">
    <oc r="Y467">
      <f>SUM(Y455:Y465)</f>
    </oc>
    <nc r="Y467">
      <f>SUM(Y455:Y466)</f>
    </nc>
  </rcc>
  <rcc rId="4770" sId="1">
    <nc r="Z466">
      <f>SUMIFS(Z$7:Z$454,$F$7:$F$454,$F466)</f>
    </nc>
  </rcc>
  <rcc rId="4771" sId="1" endOfListFormulaUpdate="1">
    <oc r="Z467">
      <f>SUM(Z455:Z465)</f>
    </oc>
    <nc r="Z467">
      <f>SUM(Z455:Z466)</f>
    </nc>
  </rcc>
  <rcc rId="4772" sId="1">
    <nc r="AA466">
      <f>SUMIFS(AA$7:AA$454,$F$7:$F$454,$F466)</f>
    </nc>
  </rcc>
  <rcc rId="4773" sId="1" endOfListFormulaUpdate="1">
    <oc r="AA467">
      <f>SUM(AA455:AA465)</f>
    </oc>
    <nc r="AA467">
      <f>SUM(AA455:AA466)</f>
    </nc>
  </rcc>
  <rcc rId="4774" sId="1">
    <nc r="AB466">
      <f>SUMIFS(AB$7:AB$454,$F$7:$F$454,$F466)</f>
    </nc>
  </rcc>
  <rcc rId="4775" sId="1" endOfListFormulaUpdate="1">
    <oc r="AB467">
      <f>SUM(AB455:AB465)</f>
    </oc>
    <nc r="AB467">
      <f>SUM(AB455:AB466)</f>
    </nc>
  </rcc>
  <rcc rId="4776" sId="1">
    <nc r="AC466">
      <f>SUMIFS(AC$7:AC$454,$F$7:$F$454,$F466)</f>
    </nc>
  </rcc>
  <rcc rId="4777" sId="1" endOfListFormulaUpdate="1">
    <oc r="AC467">
      <f>SUM(AC455:AC465)</f>
    </oc>
    <nc r="AC467">
      <f>SUM(AC455:AC466)</f>
    </nc>
  </rcc>
  <rcc rId="4778" sId="1">
    <nc r="AD466">
      <f>SUMIFS(AD$7:AD$454,$F$7:$F$454,$F466)</f>
    </nc>
  </rcc>
  <rcc rId="4779" sId="1" endOfListFormulaUpdate="1">
    <oc r="AD467">
      <f>SUM(AD455:AD465)</f>
    </oc>
    <nc r="AD467">
      <f>SUM(AD455:AD466)</f>
    </nc>
  </rcc>
  <rcc rId="4780" sId="1">
    <nc r="AE466">
      <f>SUMIFS(AE$7:AE$454,$F$7:$F$454,$F466)</f>
    </nc>
  </rcc>
  <rcc rId="4781" sId="1" endOfListFormulaUpdate="1">
    <oc r="AE467">
      <f>SUM(AE455:AE465)</f>
    </oc>
    <nc r="AE467">
      <f>SUM(AE455:AE466)</f>
    </nc>
  </rcc>
  <rcc rId="4782" sId="1">
    <nc r="AF466">
      <f>SUMIFS(AF$7:AF$454,$F$7:$F$454,$F466)</f>
    </nc>
  </rcc>
  <rcc rId="4783" sId="1" endOfListFormulaUpdate="1">
    <oc r="AF467">
      <f>SUM(AF455:AF465)</f>
    </oc>
    <nc r="AF467">
      <f>SUM(AF455:AF466)</f>
    </nc>
  </rcc>
  <rcc rId="4784" sId="1">
    <nc r="AG466">
      <f>SUMIFS(AG$7:AG$454,$F$7:$F$454,$F466)</f>
    </nc>
  </rcc>
  <rcc rId="4785" sId="1" endOfListFormulaUpdate="1">
    <oc r="AG467">
      <f>SUM(AG455:AG465)</f>
    </oc>
    <nc r="AG467">
      <f>SUM(AG455:AG466)</f>
    </nc>
  </rcc>
  <rcc rId="4786" sId="1">
    <nc r="AJ466">
      <f>SUMIFS(AJ$7:AJ$454,$F$7:$F$454,$F466)</f>
    </nc>
  </rcc>
  <rcc rId="4787" sId="1" endOfListFormulaUpdate="1">
    <oc r="AJ467">
      <f>SUM(AJ455:AJ465)</f>
    </oc>
    <nc r="AJ467">
      <f>SUM(AJ455:AJ466)</f>
    </nc>
  </rcc>
  <rcc rId="4788" sId="1">
    <nc r="AK466">
      <f>SUMIFS(AK$7:AK$454,$F$7:$F$454,$F466)</f>
    </nc>
  </rcc>
  <rcc rId="4789" sId="1" endOfListFormulaUpdate="1">
    <oc r="AK467">
      <f>SUM(AK455:AK465)</f>
    </oc>
    <nc r="AK467">
      <f>SUM(AK455:AK466)</f>
    </nc>
  </rcc>
  <rcv guid="{7C1B4D6D-D666-48DD-AB17-E00791B6F0B6}" action="delete"/>
  <rdn rId="0" localSheetId="1" customView="1" name="Z_7C1B4D6D_D666_48DD_AB17_E00791B6F0B6_.wvu.PrintArea" hidden="1" oldHidden="1">
    <formula>Sheet1!$A$1:$AL$487</formula>
    <oldFormula>Sheet1!$A$1:$AL$487</oldFormula>
  </rdn>
  <rdn rId="0" localSheetId="1" customView="1" name="Z_7C1B4D6D_D666_48DD_AB17_E00791B6F0B6_.wvu.FilterData" hidden="1" oldHidden="1">
    <formula>Sheet1!$A$6:$DG$453</formula>
    <oldFormula>Sheet1!$A$6:$DG$453</oldFormula>
  </rdn>
  <rcv guid="{7C1B4D6D-D666-48DD-AB17-E00791B6F0B6}" action="add"/>
</revisions>
</file>

<file path=xl/revisions/revisionLog3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66" sId="1">
    <oc r="S205">
      <f>SUM(S200:S203)</f>
    </oc>
    <nc r="S205">
      <f>SUM(S200:S204)</f>
    </nc>
  </rcc>
  <rcc rId="3367" sId="1">
    <oc r="T205">
      <f>SUM(T200:T204)</f>
    </oc>
    <nc r="T205">
      <f>SUM(T200:T204)</f>
    </nc>
  </rcc>
  <rcc rId="3368" sId="1">
    <oc r="U205">
      <f>SUM(U200:U204)</f>
    </oc>
    <nc r="U205">
      <f>SUM(U200:U204)</f>
    </nc>
  </rcc>
  <rcc rId="3369" sId="1">
    <oc r="V205">
      <f>SUM(V200:V203)</f>
    </oc>
    <nc r="V205">
      <f>SUM(V200:V204)</f>
    </nc>
  </rcc>
  <rcc rId="3370" sId="1">
    <oc r="W205">
      <f>SUM(W200:W203)</f>
    </oc>
    <nc r="W205">
      <f>SUM(W200:W204)</f>
    </nc>
  </rcc>
  <rcc rId="3371" sId="1">
    <oc r="X205">
      <f>SUM(X200:X204)</f>
    </oc>
    <nc r="X205">
      <f>SUM(X200:X204)</f>
    </nc>
  </rcc>
  <rcc rId="3372" sId="1">
    <oc r="Y205">
      <f>SUM(Y200:Y203)</f>
    </oc>
    <nc r="Y205">
      <f>SUM(Y200:Y204)</f>
    </nc>
  </rcc>
  <rcc rId="3373" sId="1">
    <oc r="Z205">
      <f>SUM(Z200:Z204)</f>
    </oc>
    <nc r="Z205">
      <f>SUM(Z200:Z204)</f>
    </nc>
  </rcc>
  <rcc rId="3374" sId="1">
    <oc r="AA205">
      <f>SUM(AA200:AA204)</f>
    </oc>
    <nc r="AA205">
      <f>SUM(AA200:AA204)</f>
    </nc>
  </rcc>
  <rcc rId="3375" sId="1">
    <oc r="AB205">
      <f>SUM(AB200:AB203)</f>
    </oc>
    <nc r="AB205">
      <f>SUM(AB200:AB204)</f>
    </nc>
  </rcc>
  <rcc rId="3376" sId="1">
    <oc r="AC205">
      <f>SUM(AC200:AC204)</f>
    </oc>
    <nc r="AC205">
      <f>SUM(AC200:AC204)</f>
    </nc>
  </rcc>
  <rcc rId="3377" sId="1">
    <oc r="AD205">
      <f>SUM(AD200:AD204)</f>
    </oc>
    <nc r="AD205">
      <f>SUM(AD200:AD204)</f>
    </nc>
  </rcc>
  <rcc rId="3378" sId="1">
    <oc r="AE205">
      <f>SUM(AE200:AE203)</f>
    </oc>
    <nc r="AE205">
      <f>SUM(AE200:AE204)</f>
    </nc>
  </rcc>
  <rcc rId="3379" sId="1">
    <oc r="AF205">
      <f>SUM(AF200:AF203)</f>
    </oc>
    <nc r="AF205">
      <f>SUM(AF200:AF204)</f>
    </nc>
  </rcc>
  <rcc rId="3380" sId="1">
    <oc r="AG205">
      <f>SUM(AG200:AG203)</f>
    </oc>
    <nc r="AG205">
      <f>SUM(AG200:AG204)</f>
    </nc>
  </rcc>
  <rcc rId="3381" sId="1">
    <nc r="AH205">
      <f>SUM(AH200:AH204)</f>
    </nc>
  </rcc>
  <rcc rId="3382" sId="1">
    <oc r="AI205">
      <f>SUM(AI200:AI204)</f>
    </oc>
    <nc r="AI205">
      <f>SUM(AI200:AI204)</f>
    </nc>
  </rcc>
  <rcc rId="3383" sId="1">
    <oc r="AJ205">
      <f>SUM(AJ200:AJ203)</f>
    </oc>
    <nc r="AJ205">
      <f>SUM(AJ200:AJ204)</f>
    </nc>
  </rcc>
  <rcc rId="3384" sId="1">
    <oc r="AK205">
      <f>SUM(AK200:AK203)</f>
    </oc>
    <nc r="AK205">
      <f>SUM(AK200:AK204)</f>
    </nc>
  </rcc>
</revisions>
</file>

<file path=xl/revisions/revisionLog3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85" sId="1">
    <oc r="F204" t="inlineStr">
      <is>
        <t>CP12 less /2018</t>
      </is>
    </oc>
    <nc r="F204" t="inlineStr">
      <is>
        <t>CP 12 less/2018</t>
      </is>
    </nc>
  </rcc>
</revisions>
</file>

<file path=xl/revisions/revisionLog3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86" sId="1" ref="A444:XFD444" action="insertRow">
    <undo index="65535" exp="area" ref3D="1" dr="$H$1:$N$1048576" dn="Z_65B035E3_87FA_46C5_996E_864F2C8D0EBC_.wvu.Cols" sId="1"/>
  </rrc>
  <rcc rId="3387" sId="1">
    <nc r="A444">
      <v>194</v>
    </nc>
  </rcc>
  <rcc rId="3388" sId="1">
    <nc r="B444">
      <v>126949</v>
    </nc>
  </rcc>
  <rcc rId="3389" sId="1">
    <nc r="C444">
      <v>625</v>
    </nc>
  </rcc>
  <rcc rId="3390" sId="1">
    <nc r="D444" t="inlineStr">
      <is>
        <t>MP</t>
      </is>
    </nc>
  </rcc>
  <rcc rId="3391" sId="1">
    <nc r="E444" t="inlineStr">
      <is>
        <t>AP1/11i /1.4</t>
      </is>
    </nc>
  </rcc>
  <rcc rId="3392" sId="1">
    <nc r="F444" t="inlineStr">
      <is>
        <t>IP 11/2018</t>
      </is>
    </nc>
  </rcc>
  <rcc rId="3393" sId="1">
    <nc r="G444" t="inlineStr">
      <is>
        <t>Sprijin în implementarea SNAP prin consolidarea capacitații administrative a ANAP și a autoritaților contractante</t>
      </is>
    </nc>
  </rcc>
  <rcc rId="3394" sId="1">
    <nc r="H444" t="inlineStr">
      <is>
        <t>Agenția Națională pentru Achiziții Publice</t>
      </is>
    </nc>
  </rcc>
  <rcc rId="3395" sId="1">
    <nc r="I444" t="inlineStr">
      <is>
        <t>Institutul Național de Administrație</t>
      </is>
    </nc>
  </rcc>
  <rcc rId="3396" sId="1" odxf="1" dxf="1">
    <nc r="J444" t="inlineStr">
      <is>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is>
    </nc>
    <odxf>
      <font>
        <sz val="12"/>
        <color auto="1"/>
      </font>
      <alignment horizontal="justify" vertical="top"/>
    </odxf>
    <ndxf>
      <font>
        <sz val="12"/>
        <color auto="1"/>
        <charset val="1"/>
      </font>
      <alignment horizontal="left" vertical="center"/>
    </ndxf>
  </rcc>
  <rcc rId="3397" sId="1" numFmtId="19">
    <nc r="K444">
      <v>43656</v>
    </nc>
  </rcc>
  <rcc rId="3398" sId="1" odxf="1" dxf="1" numFmtId="19">
    <nc r="L444">
      <v>44752</v>
    </nc>
    <odxf>
      <fill>
        <patternFill patternType="none">
          <bgColor indexed="65"/>
        </patternFill>
      </fill>
    </odxf>
    <ndxf>
      <fill>
        <patternFill patternType="solid">
          <bgColor theme="0"/>
        </patternFill>
      </fill>
    </ndxf>
  </rcc>
  <rcc rId="3399" sId="1">
    <nc r="M444">
      <f>S444/AE444*100</f>
    </nc>
  </rcc>
  <rcc rId="3400" sId="1">
    <nc r="N444" t="inlineStr">
      <is>
        <t xml:space="preserve"> Proiect cu acoperire națională</t>
      </is>
    </nc>
  </rcc>
  <rcc rId="3401" sId="1">
    <nc r="O444" t="inlineStr">
      <is>
        <t>București</t>
      </is>
    </nc>
  </rcc>
  <rcc rId="3402" sId="1">
    <nc r="P444" t="inlineStr">
      <is>
        <t>Bucuresti</t>
      </is>
    </nc>
  </rcc>
  <rcc rId="3403" sId="1">
    <nc r="Q444" t="inlineStr">
      <is>
        <t>APC</t>
      </is>
    </nc>
  </rcc>
  <rcc rId="3404" sId="1">
    <nc r="R444" t="inlineStr">
      <is>
        <t>119 - Investiții în capacitatea instituțională și în eficiența administrațiilor și a serviciilor publice la nivel național, regional și local, în perspectiva realizării de reforme, a unei mai bune legiferări și a bunei guvernanțe</t>
      </is>
    </nc>
  </rcc>
  <rcc rId="3405" sId="1">
    <nc r="S444">
      <f>T444+U444</f>
    </nc>
  </rcc>
  <rcc rId="3406" sId="1" numFmtId="4">
    <nc r="T444">
      <v>81188172.530000016</v>
    </nc>
  </rcc>
  <rcc rId="3407" sId="1" numFmtId="4">
    <nc r="U444">
      <v>19489997.489999998</v>
    </nc>
  </rcc>
  <rcc rId="3408" sId="1">
    <nc r="V444">
      <f>W444+X444</f>
    </nc>
  </rcc>
  <rcc rId="3409" sId="1" numFmtId="4">
    <nc r="W444">
      <v>2851092.66</v>
    </nc>
  </rcc>
  <rcc rId="3410" sId="1" numFmtId="4">
    <nc r="X444">
      <v>1006904.87</v>
    </nc>
  </rcc>
  <rcc rId="3411" sId="1">
    <nc r="Y444">
      <f>Z444+AA444</f>
    </nc>
  </rcc>
  <rcc rId="3412" sId="1" numFmtId="4">
    <nc r="Z444">
      <v>11476231.890000001</v>
    </nc>
  </rcc>
  <rcc rId="3413" sId="1" numFmtId="4">
    <nc r="AA444">
      <v>3865594.52</v>
    </nc>
  </rcc>
  <rcc rId="3414" sId="1">
    <nc r="AB444">
      <f>AC444+AD444</f>
    </nc>
  </rcc>
  <rcc rId="3415" sId="1" numFmtId="4">
    <nc r="AC444">
      <v>0</v>
    </nc>
  </rcc>
  <rcc rId="3416" sId="1" numFmtId="4">
    <nc r="AD444">
      <v>0</v>
    </nc>
  </rcc>
  <rcc rId="3417" sId="1">
    <nc r="AE444">
      <f>S444+V444+Y444+AB444</f>
    </nc>
  </rcc>
  <rcc rId="3418" sId="1" numFmtId="4">
    <nc r="AF444">
      <v>93474.39</v>
    </nc>
  </rcc>
  <rcc rId="3419" sId="1">
    <nc r="AG444">
      <f>AE444+AF444</f>
    </nc>
  </rcc>
  <rcc rId="3420" sId="1">
    <nc r="AH444">
      <f>AH442</f>
    </nc>
  </rcc>
  <rcc rId="3421" sId="1">
    <nc r="AI444" t="inlineStr">
      <is>
        <t>n.a</t>
      </is>
    </nc>
  </rcc>
  <rcc rId="3422" sId="1">
    <oc r="A445">
      <v>194</v>
    </oc>
    <nc r="A445">
      <v>195</v>
    </nc>
  </rcc>
  <rcc rId="3423" sId="1">
    <oc r="C445">
      <v>625</v>
    </oc>
    <nc r="C445">
      <v>583</v>
    </nc>
  </rcc>
  <rcc rId="3424" sId="1">
    <oc r="B445">
      <v>126949</v>
    </oc>
    <nc r="B445">
      <v>127610</v>
    </nc>
  </rcc>
  <rcc rId="3425" sId="1">
    <oc r="D445" t="inlineStr">
      <is>
        <t>MP</t>
      </is>
    </oc>
    <nc r="D445" t="inlineStr">
      <is>
        <t>MM</t>
      </is>
    </nc>
  </rcc>
  <rcc rId="3426" sId="1">
    <oc r="E445" t="inlineStr">
      <is>
        <t>AP1/11i /1.4</t>
      </is>
    </oc>
    <nc r="E445" t="inlineStr">
      <is>
        <t>AP1/11i /1.1</t>
      </is>
    </nc>
  </rcc>
  <rcc rId="3427" sId="1">
    <oc r="F445" t="inlineStr">
      <is>
        <t>IP 11/2018</t>
      </is>
    </oc>
    <nc r="F445" t="inlineStr">
      <is>
        <t>IP12/2018
(MySMIS: 
POCA/ 399/1/1)</t>
      </is>
    </nc>
  </rcc>
  <rcc rId="3428" sId="1">
    <oc r="G445" t="inlineStr">
      <is>
        <t>Sprijin în implementarea SNAP prin consolidarea capacitații administrative a ANAP și a autoritaților contractante</t>
      </is>
    </oc>
    <nc r="G445" t="inlineStr">
      <is>
        <t>Consolidarea capacitaþii de implementare si evaluare a strategiilor/politicilor publice pe care le
coordoneaza OSIM si ME</t>
      </is>
    </nc>
  </rcc>
  <rcc rId="3429" sId="1" xfDxf="1" dxf="1">
    <oc r="H445" t="inlineStr">
      <is>
        <t>Agenția Națională pentru Achiziții Publice</t>
      </is>
    </oc>
    <nc r="H445" t="inlineStr">
      <is>
        <t>OFICIUL DE STAT PENTRU INVENTII SI MARCI</t>
      </is>
    </nc>
    <ndxf>
      <font>
        <sz val="12"/>
        <color auto="1"/>
        <charset val="1"/>
      </font>
      <alignment horizontal="left" vertical="center" wrapText="1"/>
      <border outline="0">
        <left style="thin">
          <color indexed="64"/>
        </left>
        <right style="thin">
          <color indexed="64"/>
        </right>
        <top style="thin">
          <color indexed="64"/>
        </top>
        <bottom style="thin">
          <color indexed="64"/>
        </bottom>
      </border>
    </ndxf>
  </rcc>
  <rcc rId="3430" sId="1">
    <oc r="I445" t="inlineStr">
      <is>
        <t>Institutul Național de Administrație</t>
      </is>
    </oc>
    <nc r="I445" t="inlineStr">
      <is>
        <t>Ministerul Economiei</t>
      </is>
    </nc>
  </rcc>
  <rcc rId="3431" sId="1">
    <oc r="J445" t="inlineStr">
      <is>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is>
    </oc>
    <nc r="J445" t="inlineStr">
      <is>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is>
    </nc>
  </rcc>
  <rcc rId="3432" sId="1" numFmtId="19">
    <oc r="K445">
      <v>43656</v>
    </oc>
    <nc r="K445">
      <v>43658</v>
    </nc>
  </rcc>
  <rcc rId="3433" sId="1" numFmtId="19">
    <oc r="L445">
      <v>44752</v>
    </oc>
    <nc r="L445">
      <v>44389</v>
    </nc>
  </rcc>
  <rcc rId="3434" sId="1" numFmtId="4">
    <oc r="AF445">
      <v>93474.39</v>
    </oc>
    <nc r="AF445"/>
  </rcc>
  <rcc rId="3435" sId="1">
    <oc r="AG445">
      <f>AE445+AF445</f>
    </oc>
    <nc r="AG445"/>
  </rcc>
  <rcc rId="3436" sId="1" numFmtId="4">
    <oc r="T445">
      <v>81188172.530000016</v>
    </oc>
    <nc r="T445">
      <v>6627699.5899999999</v>
    </nc>
  </rcc>
  <rcc rId="3437" sId="1" numFmtId="4">
    <oc r="U445">
      <v>19489997.489999998</v>
    </oc>
    <nc r="U445">
      <v>1591042.69</v>
    </nc>
  </rcc>
  <rcc rId="3438" sId="1" numFmtId="4">
    <oc r="W445">
      <v>2851092.66</v>
    </oc>
    <nc r="W445">
      <v>1005988.26</v>
    </nc>
  </rcc>
  <rcc rId="3439" sId="1" numFmtId="4">
    <oc r="X445">
      <v>1006904.87</v>
    </oc>
    <nc r="X445">
      <v>355279.4</v>
    </nc>
  </rcc>
  <rcc rId="3440" sId="1" numFmtId="4">
    <oc r="AA445">
      <v>3865594.52</v>
    </oc>
    <nc r="AA445">
      <v>42481.27</v>
    </nc>
  </rcc>
  <rcc rId="3441" sId="1" numFmtId="4">
    <oc r="Z445">
      <v>11476231.890000001</v>
    </oc>
    <nc r="Z445">
      <v>163605.79</v>
    </nc>
  </rcc>
  <rcv guid="{65C35D6D-934F-4431-BA92-90255FC17BA4}" action="delete"/>
  <rdn rId="0" localSheetId="1" customView="1" name="Z_65C35D6D_934F_4431_BA92_90255FC17BA4_.wvu.PrintArea" hidden="1" oldHidden="1">
    <formula>Sheet1!$A$1:$AL$481</formula>
    <oldFormula>Sheet1!$A$1:$AL$481</oldFormula>
  </rdn>
  <rdn rId="0" localSheetId="1" customView="1" name="Z_65C35D6D_934F_4431_BA92_90255FC17BA4_.wvu.FilterData" hidden="1" oldHidden="1">
    <formula>Sheet1!$A$1:$AL$84</formula>
    <oldFormula>Sheet1!$A$1:$AL$84</oldFormula>
  </rdn>
  <rcv guid="{65C35D6D-934F-4431-BA92-90255FC17BA4}" action="add"/>
</revisions>
</file>

<file path=xl/revisions/revisionLog3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444" sId="1" ref="A446:XFD446" action="insertRow">
    <undo index="65535" exp="area" ref3D="1" dr="$H$1:$N$1048576" dn="Z_65B035E3_87FA_46C5_996E_864F2C8D0EBC_.wvu.Cols" sId="1"/>
  </rrc>
  <rfmt sheetId="1" sqref="A446" start="0" length="0">
    <dxf>
      <border outline="0">
        <left style="thin">
          <color indexed="64"/>
        </left>
        <right style="thin">
          <color indexed="64"/>
        </right>
        <top style="thin">
          <color indexed="64"/>
        </top>
        <bottom style="thin">
          <color indexed="64"/>
        </bottom>
      </border>
    </dxf>
  </rfmt>
  <rfmt sheetId="1" sqref="B446" start="0" length="0">
    <dxf>
      <border outline="0">
        <left style="thin">
          <color indexed="64"/>
        </left>
        <right style="thin">
          <color indexed="64"/>
        </right>
        <top style="thin">
          <color indexed="64"/>
        </top>
        <bottom style="thin">
          <color indexed="64"/>
        </bottom>
      </border>
    </dxf>
  </rfmt>
  <rfmt sheetId="1" sqref="C446" start="0" length="0">
    <dxf>
      <border outline="0">
        <left style="thin">
          <color indexed="64"/>
        </left>
        <right style="thin">
          <color indexed="64"/>
        </right>
        <top style="thin">
          <color indexed="64"/>
        </top>
        <bottom style="thin">
          <color indexed="64"/>
        </bottom>
      </border>
    </dxf>
  </rfmt>
  <rfmt sheetId="1" sqref="D446" start="0" length="0">
    <dxf>
      <border outline="0">
        <left style="thin">
          <color indexed="64"/>
        </left>
        <right style="thin">
          <color indexed="64"/>
        </right>
        <top style="thin">
          <color indexed="64"/>
        </top>
        <bottom style="thin">
          <color indexed="64"/>
        </bottom>
      </border>
    </dxf>
  </rfmt>
  <rcc rId="3445" sId="1" odxf="1" dxf="1">
    <nc r="E446" t="inlineStr">
      <is>
        <t>AP1/11i /1.1</t>
      </is>
    </nc>
    <odxf>
      <border outline="0">
        <left/>
        <right/>
        <top/>
        <bottom/>
      </border>
    </odxf>
    <ndxf>
      <border outline="0">
        <left style="thin">
          <color indexed="64"/>
        </left>
        <right style="thin">
          <color indexed="64"/>
        </right>
        <top style="thin">
          <color indexed="64"/>
        </top>
        <bottom style="thin">
          <color indexed="64"/>
        </bottom>
      </border>
    </ndxf>
  </rcc>
  <rcc rId="3446" sId="1" odxf="1" dxf="1">
    <nc r="F446" t="inlineStr">
      <is>
        <t>IP12/2018
(MySMIS: 
POCA/ 399/1/1)</t>
      </is>
    </nc>
    <odxf>
      <border outline="0">
        <left/>
        <right/>
        <top/>
        <bottom/>
      </border>
    </odxf>
    <ndxf>
      <border outline="0">
        <left style="thin">
          <color indexed="64"/>
        </left>
        <right style="thin">
          <color indexed="64"/>
        </right>
        <top style="thin">
          <color indexed="64"/>
        </top>
        <bottom style="thin">
          <color indexed="64"/>
        </bottom>
      </border>
    </ndxf>
  </rcc>
  <rfmt sheetId="1" sqref="G446" start="0" length="0">
    <dxf>
      <border outline="0">
        <left style="thin">
          <color indexed="64"/>
        </left>
        <right style="thin">
          <color indexed="64"/>
        </right>
        <top style="thin">
          <color indexed="64"/>
        </top>
        <bottom style="thin">
          <color indexed="64"/>
        </bottom>
      </border>
    </dxf>
  </rfmt>
  <rfmt sheetId="1" sqref="H446" start="0" length="0">
    <dxf>
      <border outline="0">
        <left style="thin">
          <color indexed="64"/>
        </left>
        <right style="thin">
          <color indexed="64"/>
        </right>
        <top style="thin">
          <color indexed="64"/>
        </top>
        <bottom style="thin">
          <color indexed="64"/>
        </bottom>
      </border>
    </dxf>
  </rfmt>
  <rfmt sheetId="1" sqref="I446" start="0" length="0">
    <dxf>
      <border outline="0">
        <left style="thin">
          <color indexed="64"/>
        </left>
        <right style="thin">
          <color indexed="64"/>
        </right>
        <top style="thin">
          <color indexed="64"/>
        </top>
        <bottom style="thin">
          <color indexed="64"/>
        </bottom>
      </border>
    </dxf>
  </rfmt>
  <rfmt sheetId="1" sqref="J446" start="0" length="0">
    <dxf>
      <border outline="0">
        <left style="thin">
          <color indexed="64"/>
        </left>
        <right style="thin">
          <color indexed="64"/>
        </right>
        <top style="thin">
          <color indexed="64"/>
        </top>
        <bottom style="thin">
          <color indexed="64"/>
        </bottom>
      </border>
    </dxf>
  </rfmt>
  <rfmt sheetId="1" sqref="K446" start="0" length="0">
    <dxf>
      <border outline="0">
        <left style="thin">
          <color indexed="64"/>
        </left>
        <right style="thin">
          <color indexed="64"/>
        </right>
        <top style="thin">
          <color indexed="64"/>
        </top>
        <bottom style="thin">
          <color indexed="64"/>
        </bottom>
      </border>
    </dxf>
  </rfmt>
  <rfmt sheetId="1" sqref="L446" start="0" length="0">
    <dxf>
      <border outline="0">
        <left style="thin">
          <color indexed="64"/>
        </left>
        <right style="thin">
          <color indexed="64"/>
        </right>
        <top style="thin">
          <color indexed="64"/>
        </top>
        <bottom style="thin">
          <color indexed="64"/>
        </bottom>
      </border>
    </dxf>
  </rfmt>
  <rcc rId="3447" sId="1" odxf="1" dxf="1">
    <nc r="M446">
      <f>S446/AE446*100</f>
    </nc>
    <odxf>
      <border outline="0">
        <left/>
        <right/>
        <top/>
        <bottom/>
      </border>
    </odxf>
    <ndxf>
      <border outline="0">
        <left style="thin">
          <color indexed="64"/>
        </left>
        <right style="thin">
          <color indexed="64"/>
        </right>
        <top style="thin">
          <color indexed="64"/>
        </top>
        <bottom style="thin">
          <color indexed="64"/>
        </bottom>
      </border>
    </ndxf>
  </rcc>
  <rcc rId="3448" sId="1" odxf="1" dxf="1">
    <nc r="N446" t="inlineStr">
      <is>
        <t xml:space="preserve"> Proiect cu acoperire națională</t>
      </is>
    </nc>
    <odxf>
      <border outline="0">
        <left/>
        <right/>
        <top/>
        <bottom/>
      </border>
    </odxf>
    <ndxf>
      <border outline="0">
        <left style="thin">
          <color indexed="64"/>
        </left>
        <right style="thin">
          <color indexed="64"/>
        </right>
        <top style="thin">
          <color indexed="64"/>
        </top>
        <bottom style="thin">
          <color indexed="64"/>
        </bottom>
      </border>
    </ndxf>
  </rcc>
  <rcc rId="3449" sId="1" odxf="1" dxf="1">
    <nc r="O446" t="inlineStr">
      <is>
        <t>București</t>
      </is>
    </nc>
    <odxf>
      <border outline="0">
        <left/>
        <right/>
        <top/>
        <bottom/>
      </border>
    </odxf>
    <ndxf>
      <border outline="0">
        <left style="thin">
          <color indexed="64"/>
        </left>
        <right style="thin">
          <color indexed="64"/>
        </right>
        <top style="thin">
          <color indexed="64"/>
        </top>
        <bottom style="thin">
          <color indexed="64"/>
        </bottom>
      </border>
    </ndxf>
  </rcc>
  <rcc rId="3450" sId="1" odxf="1" dxf="1">
    <nc r="P446" t="inlineStr">
      <is>
        <t>Bucuresti</t>
      </is>
    </nc>
    <odxf>
      <border outline="0">
        <left/>
        <right/>
        <top/>
        <bottom/>
      </border>
    </odxf>
    <ndxf>
      <border outline="0">
        <left style="thin">
          <color indexed="64"/>
        </left>
        <right style="thin">
          <color indexed="64"/>
        </right>
        <top style="thin">
          <color indexed="64"/>
        </top>
        <bottom style="thin">
          <color indexed="64"/>
        </bottom>
      </border>
    </ndxf>
  </rcc>
  <rcc rId="3451" sId="1" odxf="1" dxf="1">
    <nc r="Q446" t="inlineStr">
      <is>
        <t>APC</t>
      </is>
    </nc>
    <odxf>
      <border outline="0">
        <left/>
        <right/>
        <top/>
        <bottom/>
      </border>
    </odxf>
    <ndxf>
      <border outline="0">
        <left style="thin">
          <color indexed="64"/>
        </left>
        <right style="thin">
          <color indexed="64"/>
        </right>
        <top style="thin">
          <color indexed="64"/>
        </top>
        <bottom style="thin">
          <color indexed="64"/>
        </bottom>
      </border>
    </ndxf>
  </rcc>
  <rcc rId="3452" sId="1" odxf="1" dxf="1">
    <nc r="R446" t="inlineStr">
      <is>
        <t>119 - Investiții în capacitatea instituțională și în eficiența administrațiilor și a serviciilor publice la nivel național, regional și local, în perspectiva realizării de reforme, a unei mai bune legiferări și a bunei guvernanțe</t>
      </is>
    </nc>
    <odxf>
      <border outline="0">
        <left/>
        <right/>
        <top/>
        <bottom/>
      </border>
    </odxf>
    <ndxf>
      <border outline="0">
        <left style="thin">
          <color indexed="64"/>
        </left>
        <right style="thin">
          <color indexed="64"/>
        </right>
        <top style="thin">
          <color indexed="64"/>
        </top>
        <bottom style="thin">
          <color indexed="64"/>
        </bottom>
      </border>
    </ndxf>
  </rcc>
  <rcc rId="3453" sId="1" odxf="1" dxf="1">
    <nc r="S446">
      <f>T446+U446</f>
    </nc>
    <odxf>
      <border outline="0">
        <left/>
        <right/>
        <top/>
        <bottom/>
      </border>
    </odxf>
    <ndxf>
      <border outline="0">
        <left style="thin">
          <color indexed="64"/>
        </left>
        <right style="thin">
          <color indexed="64"/>
        </right>
        <top style="thin">
          <color indexed="64"/>
        </top>
        <bottom style="thin">
          <color indexed="64"/>
        </bottom>
      </border>
    </ndxf>
  </rcc>
  <rfmt sheetId="1" sqref="T446" start="0" length="0">
    <dxf>
      <border outline="0">
        <left style="thin">
          <color indexed="64"/>
        </left>
        <right style="thin">
          <color indexed="64"/>
        </right>
        <top style="thin">
          <color indexed="64"/>
        </top>
        <bottom style="thin">
          <color indexed="64"/>
        </bottom>
      </border>
    </dxf>
  </rfmt>
  <rfmt sheetId="1" sqref="U446" start="0" length="0">
    <dxf>
      <border outline="0">
        <left style="thin">
          <color indexed="64"/>
        </left>
        <right style="thin">
          <color indexed="64"/>
        </right>
        <top style="thin">
          <color indexed="64"/>
        </top>
        <bottom style="thin">
          <color indexed="64"/>
        </bottom>
      </border>
    </dxf>
  </rfmt>
  <rcc rId="3454" sId="1" odxf="1" dxf="1">
    <nc r="V446">
      <f>W446+X446</f>
    </nc>
    <odxf>
      <border outline="0">
        <left/>
        <right/>
        <top/>
        <bottom/>
      </border>
    </odxf>
    <ndxf>
      <border outline="0">
        <left style="thin">
          <color indexed="64"/>
        </left>
        <right style="thin">
          <color indexed="64"/>
        </right>
        <top style="thin">
          <color indexed="64"/>
        </top>
        <bottom style="thin">
          <color indexed="64"/>
        </bottom>
      </border>
    </ndxf>
  </rcc>
  <rfmt sheetId="1" sqref="W446" start="0" length="0">
    <dxf>
      <border outline="0">
        <left style="thin">
          <color indexed="64"/>
        </left>
        <right style="thin">
          <color indexed="64"/>
        </right>
        <top style="thin">
          <color indexed="64"/>
        </top>
        <bottom style="thin">
          <color indexed="64"/>
        </bottom>
      </border>
    </dxf>
  </rfmt>
  <rfmt sheetId="1" sqref="X446" start="0" length="0">
    <dxf>
      <border outline="0">
        <left style="thin">
          <color indexed="64"/>
        </left>
        <right style="thin">
          <color indexed="64"/>
        </right>
        <top style="thin">
          <color indexed="64"/>
        </top>
        <bottom style="thin">
          <color indexed="64"/>
        </bottom>
      </border>
    </dxf>
  </rfmt>
  <rcc rId="3455" sId="1" odxf="1" dxf="1">
    <nc r="Y446">
      <f>Z446+AA446</f>
    </nc>
    <odxf>
      <border outline="0">
        <left/>
        <right/>
        <top/>
        <bottom/>
      </border>
    </odxf>
    <ndxf>
      <border outline="0">
        <left style="thin">
          <color indexed="64"/>
        </left>
        <right style="thin">
          <color indexed="64"/>
        </right>
        <top style="thin">
          <color indexed="64"/>
        </top>
        <bottom style="thin">
          <color indexed="64"/>
        </bottom>
      </border>
    </ndxf>
  </rcc>
  <rfmt sheetId="1" sqref="Z446" start="0" length="0">
    <dxf>
      <border outline="0">
        <left style="thin">
          <color indexed="64"/>
        </left>
        <right style="thin">
          <color indexed="64"/>
        </right>
        <top style="thin">
          <color indexed="64"/>
        </top>
        <bottom style="thin">
          <color indexed="64"/>
        </bottom>
      </border>
    </dxf>
  </rfmt>
  <rfmt sheetId="1" sqref="AA446" start="0" length="0">
    <dxf>
      <border outline="0">
        <left style="thin">
          <color indexed="64"/>
        </left>
        <right style="thin">
          <color indexed="64"/>
        </right>
        <top style="thin">
          <color indexed="64"/>
        </top>
        <bottom style="thin">
          <color indexed="64"/>
        </bottom>
      </border>
    </dxf>
  </rfmt>
  <rcc rId="3456" sId="1" odxf="1" dxf="1">
    <nc r="AB446">
      <f>AC446+AD446</f>
    </nc>
    <odxf>
      <border outline="0">
        <left/>
        <right/>
        <top/>
        <bottom/>
      </border>
    </odxf>
    <ndxf>
      <border outline="0">
        <left style="thin">
          <color indexed="64"/>
        </left>
        <right style="thin">
          <color indexed="64"/>
        </right>
        <top style="thin">
          <color indexed="64"/>
        </top>
        <bottom style="thin">
          <color indexed="64"/>
        </bottom>
      </border>
    </ndxf>
  </rcc>
  <rfmt sheetId="1" sqref="AC446" start="0" length="0">
    <dxf>
      <border outline="0">
        <left style="thin">
          <color indexed="64"/>
        </left>
        <right style="thin">
          <color indexed="64"/>
        </right>
        <top style="thin">
          <color indexed="64"/>
        </top>
        <bottom style="thin">
          <color indexed="64"/>
        </bottom>
      </border>
    </dxf>
  </rfmt>
  <rfmt sheetId="1" sqref="AD446" start="0" length="0">
    <dxf>
      <border outline="0">
        <left style="thin">
          <color indexed="64"/>
        </left>
        <right style="thin">
          <color indexed="64"/>
        </right>
        <top style="thin">
          <color indexed="64"/>
        </top>
        <bottom style="thin">
          <color indexed="64"/>
        </bottom>
      </border>
    </dxf>
  </rfmt>
  <rcc rId="3457" sId="1" odxf="1" dxf="1">
    <nc r="AE446">
      <f>S446+V446+Y446+AB446</f>
    </nc>
    <odxf>
      <border outline="0">
        <left/>
        <right/>
        <top/>
        <bottom/>
      </border>
    </odxf>
    <ndxf>
      <border outline="0">
        <left style="thin">
          <color indexed="64"/>
        </left>
        <right style="thin">
          <color indexed="64"/>
        </right>
        <top style="thin">
          <color indexed="64"/>
        </top>
        <bottom style="thin">
          <color indexed="64"/>
        </bottom>
      </border>
    </ndxf>
  </rcc>
  <rfmt sheetId="1" sqref="AF446" start="0" length="0">
    <dxf>
      <border outline="0">
        <left style="thin">
          <color indexed="64"/>
        </left>
        <right style="thin">
          <color indexed="64"/>
        </right>
        <top style="thin">
          <color indexed="64"/>
        </top>
        <bottom style="thin">
          <color indexed="64"/>
        </bottom>
      </border>
    </dxf>
  </rfmt>
  <rfmt sheetId="1" sqref="AG446" start="0" length="0">
    <dxf>
      <border outline="0">
        <left style="thin">
          <color indexed="64"/>
        </left>
        <right style="thin">
          <color indexed="64"/>
        </right>
        <top style="thin">
          <color indexed="64"/>
        </top>
        <bottom style="thin">
          <color indexed="64"/>
        </bottom>
      </border>
    </dxf>
  </rfmt>
  <rcc rId="3458" sId="1" odxf="1" dxf="1">
    <nc r="AH446">
      <f>AH444</f>
    </nc>
    <odxf>
      <border outline="0">
        <left/>
        <right/>
        <top/>
        <bottom/>
      </border>
    </odxf>
    <ndxf>
      <border outline="0">
        <left style="thin">
          <color indexed="64"/>
        </left>
        <right style="thin">
          <color indexed="64"/>
        </right>
        <top style="thin">
          <color indexed="64"/>
        </top>
        <bottom style="thin">
          <color indexed="64"/>
        </bottom>
      </border>
    </ndxf>
  </rcc>
  <rcc rId="3459" sId="1" odxf="1" dxf="1">
    <nc r="AI446" t="inlineStr">
      <is>
        <t>n.a</t>
      </is>
    </nc>
    <odxf>
      <border outline="0">
        <left/>
        <right/>
        <top/>
        <bottom/>
      </border>
    </odxf>
    <ndxf>
      <border outline="0">
        <left style="thin">
          <color indexed="64"/>
        </left>
        <right style="thin">
          <color indexed="64"/>
        </right>
        <top style="thin">
          <color indexed="64"/>
        </top>
        <bottom style="thin">
          <color indexed="64"/>
        </bottom>
      </border>
    </ndxf>
  </rcc>
  <rfmt sheetId="1" sqref="AJ446" start="0" length="0">
    <dxf>
      <border outline="0">
        <left style="thin">
          <color indexed="64"/>
        </left>
        <right style="thin">
          <color indexed="64"/>
        </right>
        <top style="thin">
          <color indexed="64"/>
        </top>
        <bottom style="thin">
          <color indexed="64"/>
        </bottom>
      </border>
    </dxf>
  </rfmt>
  <rfmt sheetId="1" sqref="AK446" start="0" length="0">
    <dxf>
      <border outline="0">
        <left style="thin">
          <color indexed="64"/>
        </left>
        <right style="thin">
          <color indexed="64"/>
        </right>
        <top style="thin">
          <color indexed="64"/>
        </top>
        <bottom style="thin">
          <color indexed="64"/>
        </bottom>
      </border>
    </dxf>
  </rfmt>
  <rfmt sheetId="1" sqref="AL446" start="0" length="0">
    <dxf>
      <border outline="0">
        <left style="thin">
          <color indexed="64"/>
        </left>
        <right style="thin">
          <color indexed="64"/>
        </right>
        <top style="thin">
          <color indexed="64"/>
        </top>
        <bottom style="thin">
          <color indexed="64"/>
        </bottom>
      </border>
    </dxf>
  </rfmt>
  <rfmt sheetId="1" sqref="A446:XFD446">
    <dxf>
      <fill>
        <patternFill>
          <bgColor theme="5" tint="0.59999389629810485"/>
        </patternFill>
      </fill>
    </dxf>
  </rfmt>
  <rcc rId="3460" sId="1">
    <nc r="A446">
      <v>196</v>
    </nc>
  </rcc>
  <rcc rId="3461" sId="1">
    <nc r="B446">
      <v>127961</v>
    </nc>
  </rcc>
  <rcc rId="3462" sId="1">
    <nc r="C446">
      <v>609</v>
    </nc>
  </rcc>
  <rcc rId="3463" sId="1">
    <nc r="D446" t="inlineStr">
      <is>
        <t>AI</t>
      </is>
    </nc>
  </rcc>
  <rcc rId="3464" sId="1">
    <nc r="H446" t="inlineStr">
      <is>
        <t>Ministerul Afacerilor Interne</t>
      </is>
    </nc>
  </rcc>
  <rfmt sheetId="1" sqref="G446" start="0" length="0">
    <dxf>
      <font>
        <sz val="11"/>
        <color theme="1"/>
        <name val="Calibri"/>
        <family val="2"/>
        <charset val="238"/>
        <scheme val="minor"/>
      </font>
      <fill>
        <patternFill patternType="none">
          <bgColor indexed="65"/>
        </patternFill>
      </fill>
      <alignment horizontal="general" vertical="bottom" wrapText="0"/>
      <border outline="0">
        <left/>
        <right/>
        <top/>
        <bottom/>
      </border>
    </dxf>
  </rfmt>
  <rfmt sheetId="1" xfDxf="1" sqref="G446" start="0" length="0">
    <dxf>
      <font>
        <i/>
        <name val="Trebuchet MS"/>
        <scheme val="none"/>
      </font>
    </dxf>
  </rfmt>
  <rcc rId="3465" sId="1" odxf="1" dxf="1">
    <nc r="G446" t="inlineStr">
      <is>
        <t>Consolidarea capacității autorităților administrației publice centrale de a optimiza procese de gestionare a organizării și desfășurării în România a evenimentelor sportive majore</t>
      </is>
    </nc>
    <ndxf>
      <font>
        <i val="0"/>
        <sz val="12"/>
        <name val="Trebuchet MS"/>
        <charset val="1"/>
        <scheme val="none"/>
      </font>
      <alignment horizontal="center" vertical="center" wrapText="1"/>
      <border outline="0">
        <left style="thin">
          <color indexed="64"/>
        </left>
        <right style="thin">
          <color indexed="64"/>
        </right>
        <top style="thin">
          <color indexed="64"/>
        </top>
        <bottom style="thin">
          <color indexed="64"/>
        </bottom>
      </border>
    </ndxf>
  </rcc>
  <rcc rId="3466" sId="1">
    <nc r="I446" t="inlineStr">
      <is>
        <t>1. Școala Națională de Studii Politice și Administrative
2. Federația Română de Fotbal</t>
      </is>
    </nc>
  </rcc>
  <rcc rId="3467" sId="1" numFmtId="19">
    <nc r="K446">
      <v>43662</v>
    </nc>
  </rcc>
  <rcc rId="3468" sId="1" numFmtId="19">
    <nc r="L446">
      <v>44181</v>
    </nc>
  </rcc>
  <rcc rId="3469" sId="1" numFmtId="4">
    <nc r="AF446">
      <v>0</v>
    </nc>
  </rcc>
  <rcc rId="3470" sId="1" numFmtId="4">
    <nc r="T446">
      <v>16015588.68</v>
    </nc>
  </rcc>
  <rcc rId="3471" sId="1" numFmtId="4">
    <nc r="U446">
      <v>3844695.28</v>
    </nc>
  </rcc>
  <rcc rId="3472" sId="1" numFmtId="4">
    <nc r="W446">
      <v>1252724.29</v>
    </nc>
  </rcc>
  <rcc rId="3473" sId="1" numFmtId="4">
    <nc r="X446">
      <v>435402.62</v>
    </nc>
  </rcc>
  <rcc rId="3474" sId="1" numFmtId="4">
    <nc r="AC446">
      <v>72969.23</v>
    </nc>
  </rcc>
  <rcc rId="3475" sId="1" numFmtId="4">
    <nc r="AD446">
      <v>18611.77</v>
    </nc>
  </rcc>
  <rcc rId="3476" sId="1" numFmtId="4">
    <nc r="Z446">
      <v>1573555.96</v>
    </nc>
  </rcc>
  <rcc rId="3477" sId="1" numFmtId="4">
    <nc r="AA446">
      <v>525771.17000000004</v>
    </nc>
  </rcc>
  <rcc rId="3478" sId="1" odxf="1" dxf="1">
    <nc r="AG446">
      <f>AE446+AF446</f>
    </nc>
    <ndxf>
      <fill>
        <patternFill patternType="none">
          <bgColor indexed="65"/>
        </patternFill>
      </fill>
    </ndxf>
  </rcc>
  <rcv guid="{9980B309-0131-4577-BF29-212714399FDF}" action="delete"/>
  <rdn rId="0" localSheetId="1" customView="1" name="Z_9980B309_0131_4577_BF29_212714399FDF_.wvu.PrintArea" hidden="1" oldHidden="1">
    <formula>Sheet1!$A$1:$AL$482</formula>
    <oldFormula>Sheet1!$A$1:$AL$482</oldFormula>
  </rdn>
  <rdn rId="0" localSheetId="1" customView="1" name="Z_9980B309_0131_4577_BF29_212714399FDF_.wvu.FilterData" hidden="1" oldHidden="1">
    <formula>Sheet1!$A$1:$AL$84</formula>
    <oldFormula>Sheet1!$A$1:$AL$450</oldFormula>
  </rdn>
  <rcv guid="{9980B309-0131-4577-BF29-212714399FDF}" action="add"/>
</revisions>
</file>

<file path=xl/revisions/revisionLog3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46" start="0" length="0">
    <dxf>
      <fill>
        <patternFill patternType="none">
          <bgColor indexed="65"/>
        </patternFill>
      </fill>
    </dxf>
  </rfmt>
  <rfmt sheetId="1" sqref="B446" start="0" length="0">
    <dxf>
      <fill>
        <patternFill>
          <bgColor rgb="FFFFFF00"/>
        </patternFill>
      </fill>
    </dxf>
  </rfmt>
  <rfmt sheetId="1" sqref="C446" start="0" length="0">
    <dxf>
      <fill>
        <patternFill>
          <bgColor rgb="FFFFFF00"/>
        </patternFill>
      </fill>
    </dxf>
  </rfmt>
  <rfmt sheetId="1" sqref="D446" start="0" length="0">
    <dxf>
      <fill>
        <patternFill>
          <bgColor rgb="FFFFFF00"/>
        </patternFill>
      </fill>
    </dxf>
  </rfmt>
  <rfmt sheetId="1" sqref="E446" start="0" length="0">
    <dxf>
      <fill>
        <patternFill patternType="none">
          <bgColor indexed="65"/>
        </patternFill>
      </fill>
    </dxf>
  </rfmt>
  <rfmt sheetId="1" sqref="F446" start="0" length="0">
    <dxf>
      <fill>
        <patternFill>
          <bgColor rgb="FFFFFF00"/>
        </patternFill>
      </fill>
    </dxf>
  </rfmt>
  <rfmt sheetId="1" sqref="H446" start="0" length="0">
    <dxf>
      <fill>
        <patternFill patternType="none">
          <bgColor indexed="65"/>
        </patternFill>
      </fill>
    </dxf>
  </rfmt>
  <rfmt sheetId="1" sqref="I446" start="0" length="0">
    <dxf>
      <fill>
        <patternFill>
          <bgColor rgb="FFFFFF00"/>
        </patternFill>
      </fill>
    </dxf>
  </rfmt>
  <rfmt sheetId="1" sqref="J446" start="0" length="0">
    <dxf>
      <fill>
        <patternFill patternType="none">
          <bgColor indexed="65"/>
        </patternFill>
      </fill>
    </dxf>
  </rfmt>
  <rfmt sheetId="1" sqref="K446" start="0" length="0">
    <dxf>
      <fill>
        <patternFill>
          <bgColor theme="0"/>
        </patternFill>
      </fill>
    </dxf>
  </rfmt>
  <rfmt sheetId="1" sqref="L446" start="0" length="0">
    <dxf>
      <fill>
        <patternFill>
          <bgColor theme="0"/>
        </patternFill>
      </fill>
    </dxf>
  </rfmt>
  <rcc rId="3481" sId="1" odxf="1" dxf="1">
    <oc r="M446">
      <f>S446/AE446*100</f>
    </oc>
    <nc r="M446">
      <f>S446/AE446*100</f>
    </nc>
    <odxf>
      <fill>
        <patternFill patternType="solid">
          <bgColor theme="5" tint="0.59999389629810485"/>
        </patternFill>
      </fill>
    </odxf>
    <ndxf>
      <fill>
        <patternFill patternType="none">
          <bgColor indexed="65"/>
        </patternFill>
      </fill>
    </ndxf>
  </rcc>
  <rfmt sheetId="1" sqref="N446" start="0" length="0">
    <dxf>
      <fill>
        <patternFill patternType="none">
          <bgColor indexed="65"/>
        </patternFill>
      </fill>
    </dxf>
  </rfmt>
  <rfmt sheetId="1" sqref="O446" start="0" length="0">
    <dxf>
      <fill>
        <patternFill patternType="none">
          <bgColor indexed="65"/>
        </patternFill>
      </fill>
    </dxf>
  </rfmt>
  <rfmt sheetId="1" sqref="P446" start="0" length="0">
    <dxf>
      <fill>
        <patternFill patternType="none">
          <bgColor indexed="65"/>
        </patternFill>
      </fill>
    </dxf>
  </rfmt>
  <rfmt sheetId="1" sqref="Q446" start="0" length="0">
    <dxf>
      <fill>
        <patternFill patternType="none">
          <bgColor indexed="65"/>
        </patternFill>
      </fill>
    </dxf>
  </rfmt>
  <rfmt sheetId="1" sqref="R446" start="0" length="0">
    <dxf>
      <fill>
        <patternFill patternType="none">
          <bgColor indexed="65"/>
        </patternFill>
      </fill>
    </dxf>
  </rfmt>
  <rcc rId="3482" sId="1" odxf="1" dxf="1">
    <oc r="S446">
      <f>T446+U446</f>
    </oc>
    <nc r="S446">
      <f>T446+U446</f>
    </nc>
    <odxf>
      <fill>
        <patternFill patternType="solid">
          <bgColor theme="5" tint="0.59999389629810485"/>
        </patternFill>
      </fill>
    </odxf>
    <ndxf>
      <fill>
        <patternFill patternType="none">
          <bgColor indexed="65"/>
        </patternFill>
      </fill>
    </ndxf>
  </rcc>
  <rfmt sheetId="1" sqref="T446" start="0" length="0">
    <dxf>
      <fill>
        <patternFill>
          <bgColor rgb="FFFFFF00"/>
        </patternFill>
      </fill>
    </dxf>
  </rfmt>
  <rfmt sheetId="1" sqref="U446" start="0" length="0">
    <dxf>
      <fill>
        <patternFill>
          <bgColor rgb="FFFFFF00"/>
        </patternFill>
      </fill>
    </dxf>
  </rfmt>
  <rcc rId="3483" sId="1" odxf="1" dxf="1">
    <oc r="V446">
      <f>W446+X446</f>
    </oc>
    <nc r="V446">
      <f>W446+X446</f>
    </nc>
    <odxf>
      <fill>
        <patternFill patternType="solid">
          <bgColor theme="5" tint="0.59999389629810485"/>
        </patternFill>
      </fill>
    </odxf>
    <ndxf>
      <fill>
        <patternFill patternType="none">
          <bgColor indexed="65"/>
        </patternFill>
      </fill>
    </ndxf>
  </rcc>
  <rfmt sheetId="1" sqref="W446" start="0" length="0">
    <dxf>
      <fill>
        <patternFill>
          <bgColor rgb="FFFFFF00"/>
        </patternFill>
      </fill>
    </dxf>
  </rfmt>
  <rfmt sheetId="1" sqref="X446" start="0" length="0">
    <dxf>
      <fill>
        <patternFill>
          <bgColor rgb="FFFFFF00"/>
        </patternFill>
      </fill>
    </dxf>
  </rfmt>
  <rcc rId="3484" sId="1" odxf="1" dxf="1">
    <oc r="Y446">
      <f>Z446+AA446</f>
    </oc>
    <nc r="Y446">
      <f>Z446+AA446</f>
    </nc>
    <odxf>
      <fill>
        <patternFill patternType="solid">
          <bgColor theme="5" tint="0.59999389629810485"/>
        </patternFill>
      </fill>
    </odxf>
    <ndxf>
      <fill>
        <patternFill patternType="none">
          <bgColor indexed="65"/>
        </patternFill>
      </fill>
    </ndxf>
  </rcc>
  <rfmt sheetId="1" sqref="Z446" start="0" length="0">
    <dxf>
      <fill>
        <patternFill>
          <bgColor rgb="FFFFFF00"/>
        </patternFill>
      </fill>
    </dxf>
  </rfmt>
  <rfmt sheetId="1" sqref="AA446" start="0" length="0">
    <dxf>
      <fill>
        <patternFill>
          <bgColor rgb="FFFFFF00"/>
        </patternFill>
      </fill>
    </dxf>
  </rfmt>
  <rcc rId="3485" sId="1" odxf="1" dxf="1">
    <oc r="AB446">
      <f>AC446+AD446</f>
    </oc>
    <nc r="AB446">
      <f>AC446+AD446</f>
    </nc>
    <odxf>
      <fill>
        <patternFill patternType="solid">
          <bgColor theme="5" tint="0.59999389629810485"/>
        </patternFill>
      </fill>
    </odxf>
    <ndxf>
      <fill>
        <patternFill patternType="none">
          <bgColor indexed="65"/>
        </patternFill>
      </fill>
    </ndxf>
  </rcc>
  <rfmt sheetId="1" sqref="AC446" start="0" length="0">
    <dxf>
      <fill>
        <patternFill>
          <bgColor rgb="FFFFFF00"/>
        </patternFill>
      </fill>
    </dxf>
  </rfmt>
  <rfmt sheetId="1" sqref="AD446" start="0" length="0">
    <dxf>
      <fill>
        <patternFill>
          <bgColor rgb="FFFFFF00"/>
        </patternFill>
      </fill>
    </dxf>
  </rfmt>
  <rcc rId="3486" sId="1" odxf="1" dxf="1">
    <oc r="AE446">
      <f>S446+V446+Y446+AB446</f>
    </oc>
    <nc r="AE446">
      <f>S446+V446+Y446+AB446</f>
    </nc>
    <odxf>
      <fill>
        <patternFill>
          <bgColor theme="5" tint="0.59999389629810485"/>
        </patternFill>
      </fill>
    </odxf>
    <ndxf>
      <fill>
        <patternFill>
          <bgColor theme="0"/>
        </patternFill>
      </fill>
    </ndxf>
  </rcc>
  <rfmt sheetId="1" sqref="AF446" start="0" length="0">
    <dxf>
      <fill>
        <patternFill patternType="none">
          <bgColor indexed="65"/>
        </patternFill>
      </fill>
    </dxf>
  </rfmt>
  <rcc rId="3487" sId="1">
    <oc r="AG446">
      <f>AE446+AF446</f>
    </oc>
    <nc r="AG446">
      <f>AE446+AF446</f>
    </nc>
  </rcc>
  <rcc rId="3488" sId="1" odxf="1" dxf="1">
    <oc r="AH446">
      <f>AH444</f>
    </oc>
    <nc r="AH446">
      <f>AH444</f>
    </nc>
    <odxf>
      <fill>
        <patternFill patternType="solid">
          <bgColor theme="5" tint="0.59999389629810485"/>
        </patternFill>
      </fill>
    </odxf>
    <ndxf>
      <fill>
        <patternFill patternType="none">
          <bgColor indexed="65"/>
        </patternFill>
      </fill>
    </ndxf>
  </rcc>
  <rfmt sheetId="1" sqref="AI446" start="0" length="0">
    <dxf>
      <fill>
        <patternFill patternType="none">
          <bgColor indexed="65"/>
        </patternFill>
      </fill>
    </dxf>
  </rfmt>
  <rfmt sheetId="1" sqref="AJ446" start="0" length="0">
    <dxf>
      <fill>
        <patternFill patternType="none">
          <bgColor indexed="65"/>
        </patternFill>
      </fill>
    </dxf>
  </rfmt>
  <rfmt sheetId="1" sqref="AK446" start="0" length="0">
    <dxf>
      <fill>
        <patternFill patternType="none">
          <bgColor indexed="65"/>
        </patternFill>
      </fill>
    </dxf>
  </rfmt>
  <rfmt sheetId="1" sqref="AL446" start="0" length="0">
    <dxf>
      <fill>
        <patternFill patternType="none">
          <bgColor indexed="65"/>
        </patternFill>
      </fill>
    </dxf>
  </rfmt>
  <rfmt sheetId="1" sqref="AM446" start="0" length="0">
    <dxf>
      <fill>
        <patternFill patternType="none">
          <bgColor indexed="65"/>
        </patternFill>
      </fill>
    </dxf>
  </rfmt>
  <rfmt sheetId="1" sqref="AN446" start="0" length="0">
    <dxf>
      <fill>
        <patternFill patternType="none">
          <bgColor indexed="65"/>
        </patternFill>
      </fill>
    </dxf>
  </rfmt>
  <rfmt sheetId="1" sqref="AO446" start="0" length="0">
    <dxf>
      <fill>
        <patternFill patternType="none">
          <bgColor indexed="65"/>
        </patternFill>
      </fill>
    </dxf>
  </rfmt>
  <rfmt sheetId="1" sqref="AP446" start="0" length="0">
    <dxf>
      <fill>
        <patternFill patternType="none">
          <bgColor indexed="65"/>
        </patternFill>
      </fill>
    </dxf>
  </rfmt>
  <rfmt sheetId="1" sqref="AQ446" start="0" length="0">
    <dxf>
      <fill>
        <patternFill patternType="none">
          <bgColor indexed="65"/>
        </patternFill>
      </fill>
    </dxf>
  </rfmt>
  <rfmt sheetId="1" sqref="AR446" start="0" length="0">
    <dxf>
      <fill>
        <patternFill patternType="none">
          <bgColor indexed="65"/>
        </patternFill>
      </fill>
    </dxf>
  </rfmt>
  <rfmt sheetId="1" sqref="AS446" start="0" length="0">
    <dxf>
      <fill>
        <patternFill patternType="none">
          <bgColor indexed="65"/>
        </patternFill>
      </fill>
    </dxf>
  </rfmt>
  <rfmt sheetId="1" sqref="AT446" start="0" length="0">
    <dxf>
      <fill>
        <patternFill patternType="none">
          <bgColor indexed="65"/>
        </patternFill>
      </fill>
    </dxf>
  </rfmt>
  <rfmt sheetId="1" sqref="AU446" start="0" length="0">
    <dxf>
      <fill>
        <patternFill patternType="none">
          <bgColor indexed="65"/>
        </patternFill>
      </fill>
    </dxf>
  </rfmt>
  <rfmt sheetId="1" sqref="AV446" start="0" length="0">
    <dxf>
      <fill>
        <patternFill patternType="none">
          <bgColor indexed="65"/>
        </patternFill>
      </fill>
    </dxf>
  </rfmt>
  <rfmt sheetId="1" sqref="AW446" start="0" length="0">
    <dxf>
      <fill>
        <patternFill patternType="none">
          <bgColor indexed="65"/>
        </patternFill>
      </fill>
    </dxf>
  </rfmt>
  <rfmt sheetId="1" sqref="AX446" start="0" length="0">
    <dxf>
      <fill>
        <patternFill patternType="none">
          <bgColor indexed="65"/>
        </patternFill>
      </fill>
    </dxf>
  </rfmt>
  <rfmt sheetId="1" sqref="AY446" start="0" length="0">
    <dxf>
      <fill>
        <patternFill patternType="none">
          <bgColor indexed="65"/>
        </patternFill>
      </fill>
    </dxf>
  </rfmt>
  <rfmt sheetId="1" sqref="AZ446" start="0" length="0">
    <dxf>
      <fill>
        <patternFill patternType="none">
          <bgColor indexed="65"/>
        </patternFill>
      </fill>
    </dxf>
  </rfmt>
  <rfmt sheetId="1" sqref="BA446" start="0" length="0">
    <dxf>
      <fill>
        <patternFill patternType="none">
          <bgColor indexed="65"/>
        </patternFill>
      </fill>
    </dxf>
  </rfmt>
  <rfmt sheetId="1" sqref="BB446" start="0" length="0">
    <dxf>
      <fill>
        <patternFill patternType="none">
          <bgColor indexed="65"/>
        </patternFill>
      </fill>
    </dxf>
  </rfmt>
  <rfmt sheetId="1" sqref="BC446" start="0" length="0">
    <dxf>
      <fill>
        <patternFill patternType="none">
          <bgColor indexed="65"/>
        </patternFill>
      </fill>
    </dxf>
  </rfmt>
  <rfmt sheetId="1" sqref="BD446" start="0" length="0">
    <dxf>
      <fill>
        <patternFill patternType="none">
          <bgColor indexed="65"/>
        </patternFill>
      </fill>
    </dxf>
  </rfmt>
  <rfmt sheetId="1" sqref="BE446" start="0" length="0">
    <dxf>
      <fill>
        <patternFill patternType="none">
          <bgColor indexed="65"/>
        </patternFill>
      </fill>
    </dxf>
  </rfmt>
  <rfmt sheetId="1" sqref="BF446" start="0" length="0">
    <dxf>
      <fill>
        <patternFill patternType="none">
          <bgColor indexed="65"/>
        </patternFill>
      </fill>
    </dxf>
  </rfmt>
  <rfmt sheetId="1" sqref="BG446" start="0" length="0">
    <dxf>
      <fill>
        <patternFill patternType="none">
          <bgColor indexed="65"/>
        </patternFill>
      </fill>
    </dxf>
  </rfmt>
  <rfmt sheetId="1" sqref="BH446" start="0" length="0">
    <dxf>
      <fill>
        <patternFill patternType="none">
          <bgColor indexed="65"/>
        </patternFill>
      </fill>
    </dxf>
  </rfmt>
  <rfmt sheetId="1" sqref="BI446" start="0" length="0">
    <dxf>
      <fill>
        <patternFill patternType="none">
          <bgColor indexed="65"/>
        </patternFill>
      </fill>
    </dxf>
  </rfmt>
  <rfmt sheetId="1" sqref="BJ446" start="0" length="0">
    <dxf>
      <fill>
        <patternFill patternType="none">
          <bgColor indexed="65"/>
        </patternFill>
      </fill>
    </dxf>
  </rfmt>
  <rfmt sheetId="1" sqref="BK446" start="0" length="0">
    <dxf>
      <fill>
        <patternFill patternType="none">
          <bgColor indexed="65"/>
        </patternFill>
      </fill>
    </dxf>
  </rfmt>
  <rfmt sheetId="1" sqref="BL446" start="0" length="0">
    <dxf>
      <fill>
        <patternFill patternType="none">
          <bgColor indexed="65"/>
        </patternFill>
      </fill>
    </dxf>
  </rfmt>
  <rfmt sheetId="1" sqref="BM446" start="0" length="0">
    <dxf>
      <fill>
        <patternFill patternType="none">
          <bgColor indexed="65"/>
        </patternFill>
      </fill>
    </dxf>
  </rfmt>
  <rfmt sheetId="1" sqref="BN446" start="0" length="0">
    <dxf>
      <fill>
        <patternFill patternType="none">
          <bgColor indexed="65"/>
        </patternFill>
      </fill>
    </dxf>
  </rfmt>
  <rfmt sheetId="1" sqref="BO446" start="0" length="0">
    <dxf>
      <fill>
        <patternFill patternType="none">
          <bgColor indexed="65"/>
        </patternFill>
      </fill>
    </dxf>
  </rfmt>
  <rfmt sheetId="1" sqref="BP446" start="0" length="0">
    <dxf>
      <fill>
        <patternFill patternType="none">
          <bgColor indexed="65"/>
        </patternFill>
      </fill>
    </dxf>
  </rfmt>
  <rfmt sheetId="1" sqref="BQ446" start="0" length="0">
    <dxf>
      <fill>
        <patternFill patternType="none">
          <bgColor indexed="65"/>
        </patternFill>
      </fill>
    </dxf>
  </rfmt>
  <rfmt sheetId="1" sqref="BR446" start="0" length="0">
    <dxf>
      <fill>
        <patternFill patternType="none">
          <bgColor indexed="65"/>
        </patternFill>
      </fill>
    </dxf>
  </rfmt>
  <rfmt sheetId="1" sqref="BS446" start="0" length="0">
    <dxf>
      <fill>
        <patternFill patternType="none">
          <bgColor indexed="65"/>
        </patternFill>
      </fill>
    </dxf>
  </rfmt>
  <rfmt sheetId="1" sqref="BT446" start="0" length="0">
    <dxf>
      <fill>
        <patternFill patternType="none">
          <bgColor indexed="65"/>
        </patternFill>
      </fill>
    </dxf>
  </rfmt>
  <rfmt sheetId="1" sqref="BU446" start="0" length="0">
    <dxf>
      <fill>
        <patternFill patternType="none">
          <bgColor indexed="65"/>
        </patternFill>
      </fill>
    </dxf>
  </rfmt>
  <rfmt sheetId="1" sqref="BV446" start="0" length="0">
    <dxf>
      <fill>
        <patternFill patternType="none">
          <bgColor indexed="65"/>
        </patternFill>
      </fill>
    </dxf>
  </rfmt>
  <rfmt sheetId="1" sqref="BW446" start="0" length="0">
    <dxf>
      <fill>
        <patternFill patternType="none">
          <bgColor indexed="65"/>
        </patternFill>
      </fill>
    </dxf>
  </rfmt>
  <rfmt sheetId="1" sqref="BX446" start="0" length="0">
    <dxf>
      <fill>
        <patternFill patternType="none">
          <bgColor indexed="65"/>
        </patternFill>
      </fill>
    </dxf>
  </rfmt>
  <rfmt sheetId="1" sqref="BY446" start="0" length="0">
    <dxf>
      <fill>
        <patternFill patternType="none">
          <bgColor indexed="65"/>
        </patternFill>
      </fill>
    </dxf>
  </rfmt>
  <rfmt sheetId="1" sqref="BZ446" start="0" length="0">
    <dxf>
      <fill>
        <patternFill patternType="none">
          <bgColor indexed="65"/>
        </patternFill>
      </fill>
    </dxf>
  </rfmt>
  <rfmt sheetId="1" sqref="CA446" start="0" length="0">
    <dxf>
      <fill>
        <patternFill patternType="none">
          <bgColor indexed="65"/>
        </patternFill>
      </fill>
    </dxf>
  </rfmt>
  <rfmt sheetId="1" sqref="CB446" start="0" length="0">
    <dxf>
      <fill>
        <patternFill patternType="none">
          <bgColor indexed="65"/>
        </patternFill>
      </fill>
    </dxf>
  </rfmt>
  <rfmt sheetId="1" sqref="CC446" start="0" length="0">
    <dxf>
      <fill>
        <patternFill patternType="none">
          <bgColor indexed="65"/>
        </patternFill>
      </fill>
    </dxf>
  </rfmt>
  <rfmt sheetId="1" sqref="CD446" start="0" length="0">
    <dxf>
      <fill>
        <patternFill patternType="none">
          <bgColor indexed="65"/>
        </patternFill>
      </fill>
    </dxf>
  </rfmt>
  <rfmt sheetId="1" sqref="CE446" start="0" length="0">
    <dxf>
      <fill>
        <patternFill patternType="none">
          <bgColor indexed="65"/>
        </patternFill>
      </fill>
    </dxf>
  </rfmt>
  <rfmt sheetId="1" sqref="CF446" start="0" length="0">
    <dxf>
      <fill>
        <patternFill patternType="none">
          <bgColor indexed="65"/>
        </patternFill>
      </fill>
    </dxf>
  </rfmt>
  <rfmt sheetId="1" sqref="CG446" start="0" length="0">
    <dxf>
      <fill>
        <patternFill patternType="none">
          <bgColor indexed="65"/>
        </patternFill>
      </fill>
    </dxf>
  </rfmt>
  <rfmt sheetId="1" sqref="CH446" start="0" length="0">
    <dxf>
      <fill>
        <patternFill patternType="none">
          <bgColor indexed="65"/>
        </patternFill>
      </fill>
    </dxf>
  </rfmt>
  <rfmt sheetId="1" sqref="CI446" start="0" length="0">
    <dxf>
      <fill>
        <patternFill patternType="none">
          <bgColor indexed="65"/>
        </patternFill>
      </fill>
    </dxf>
  </rfmt>
  <rfmt sheetId="1" sqref="CJ446" start="0" length="0">
    <dxf>
      <fill>
        <patternFill patternType="none">
          <bgColor indexed="65"/>
        </patternFill>
      </fill>
    </dxf>
  </rfmt>
  <rfmt sheetId="1" sqref="CK446" start="0" length="0">
    <dxf>
      <fill>
        <patternFill patternType="none">
          <bgColor indexed="65"/>
        </patternFill>
      </fill>
    </dxf>
  </rfmt>
  <rfmt sheetId="1" sqref="CL446" start="0" length="0">
    <dxf>
      <fill>
        <patternFill patternType="none">
          <bgColor indexed="65"/>
        </patternFill>
      </fill>
    </dxf>
  </rfmt>
  <rfmt sheetId="1" sqref="CM446" start="0" length="0">
    <dxf>
      <fill>
        <patternFill patternType="none">
          <bgColor indexed="65"/>
        </patternFill>
      </fill>
    </dxf>
  </rfmt>
  <rfmt sheetId="1" sqref="CN446" start="0" length="0">
    <dxf>
      <fill>
        <patternFill patternType="none">
          <bgColor indexed="65"/>
        </patternFill>
      </fill>
    </dxf>
  </rfmt>
  <rfmt sheetId="1" sqref="CO446" start="0" length="0">
    <dxf>
      <fill>
        <patternFill patternType="none">
          <bgColor indexed="65"/>
        </patternFill>
      </fill>
    </dxf>
  </rfmt>
  <rfmt sheetId="1" sqref="CP446" start="0" length="0">
    <dxf>
      <fill>
        <patternFill patternType="none">
          <bgColor indexed="65"/>
        </patternFill>
      </fill>
    </dxf>
  </rfmt>
  <rfmt sheetId="1" sqref="CQ446" start="0" length="0">
    <dxf>
      <fill>
        <patternFill patternType="none">
          <bgColor indexed="65"/>
        </patternFill>
      </fill>
    </dxf>
  </rfmt>
  <rfmt sheetId="1" sqref="CR446" start="0" length="0">
    <dxf>
      <fill>
        <patternFill patternType="none">
          <bgColor indexed="65"/>
        </patternFill>
      </fill>
    </dxf>
  </rfmt>
  <rfmt sheetId="1" sqref="CS446" start="0" length="0">
    <dxf>
      <fill>
        <patternFill patternType="none">
          <bgColor indexed="65"/>
        </patternFill>
      </fill>
    </dxf>
  </rfmt>
  <rfmt sheetId="1" sqref="CT446" start="0" length="0">
    <dxf>
      <fill>
        <patternFill patternType="none">
          <bgColor indexed="65"/>
        </patternFill>
      </fill>
    </dxf>
  </rfmt>
  <rfmt sheetId="1" sqref="CU446" start="0" length="0">
    <dxf>
      <fill>
        <patternFill patternType="none">
          <bgColor indexed="65"/>
        </patternFill>
      </fill>
    </dxf>
  </rfmt>
  <rfmt sheetId="1" sqref="CV446" start="0" length="0">
    <dxf>
      <fill>
        <patternFill patternType="none">
          <bgColor indexed="65"/>
        </patternFill>
      </fill>
    </dxf>
  </rfmt>
  <rfmt sheetId="1" sqref="CW446" start="0" length="0">
    <dxf>
      <fill>
        <patternFill patternType="none">
          <bgColor indexed="65"/>
        </patternFill>
      </fill>
    </dxf>
  </rfmt>
  <rfmt sheetId="1" sqref="CX446" start="0" length="0">
    <dxf>
      <fill>
        <patternFill patternType="none">
          <bgColor indexed="65"/>
        </patternFill>
      </fill>
    </dxf>
  </rfmt>
  <rfmt sheetId="1" sqref="CY446" start="0" length="0">
    <dxf>
      <fill>
        <patternFill patternType="none">
          <bgColor indexed="65"/>
        </patternFill>
      </fill>
    </dxf>
  </rfmt>
  <rfmt sheetId="1" sqref="CZ446" start="0" length="0">
    <dxf>
      <fill>
        <patternFill patternType="none">
          <bgColor indexed="65"/>
        </patternFill>
      </fill>
    </dxf>
  </rfmt>
  <rfmt sheetId="1" sqref="DA446" start="0" length="0">
    <dxf>
      <fill>
        <patternFill patternType="none">
          <bgColor indexed="65"/>
        </patternFill>
      </fill>
    </dxf>
  </rfmt>
  <rfmt sheetId="1" sqref="DB446" start="0" length="0">
    <dxf>
      <fill>
        <patternFill patternType="none">
          <bgColor indexed="65"/>
        </patternFill>
      </fill>
    </dxf>
  </rfmt>
  <rfmt sheetId="1" sqref="DC446" start="0" length="0">
    <dxf>
      <fill>
        <patternFill patternType="none">
          <bgColor indexed="65"/>
        </patternFill>
      </fill>
    </dxf>
  </rfmt>
  <rfmt sheetId="1" sqref="DD446" start="0" length="0">
    <dxf>
      <fill>
        <patternFill patternType="none">
          <bgColor indexed="65"/>
        </patternFill>
      </fill>
    </dxf>
  </rfmt>
  <rfmt sheetId="1" sqref="DE446" start="0" length="0">
    <dxf>
      <fill>
        <patternFill patternType="none">
          <bgColor indexed="65"/>
        </patternFill>
      </fill>
    </dxf>
  </rfmt>
  <rfmt sheetId="1" sqref="DF446" start="0" length="0">
    <dxf>
      <fill>
        <patternFill patternType="none">
          <bgColor indexed="65"/>
        </patternFill>
      </fill>
    </dxf>
  </rfmt>
  <rfmt sheetId="1" sqref="DG446" start="0" length="0">
    <dxf>
      <fill>
        <patternFill patternType="none">
          <bgColor indexed="65"/>
        </patternFill>
      </fill>
    </dxf>
  </rfmt>
  <rfmt sheetId="1" sqref="A446:XFD446" start="0" length="0">
    <dxf>
      <fill>
        <patternFill patternType="none">
          <bgColor indexed="65"/>
        </patternFill>
      </fill>
    </dxf>
  </rfmt>
</revisions>
</file>

<file path=xl/revisions/revisionLog3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89" sId="1">
    <nc r="J446" t="inlineStr">
      <is>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is>
    </nc>
  </rcc>
</revisions>
</file>

<file path=xl/revisions/revisionLog3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90" sId="1" numFmtId="19">
    <oc r="L74">
      <v>43661</v>
    </oc>
    <nc r="L74">
      <v>43906</v>
    </nc>
  </rcc>
  <rcc rId="3491" sId="1">
    <nc r="AI74" t="inlineStr">
      <is>
        <t>AA 1/16.07.2019 prel 8 L</t>
      </is>
    </nc>
  </rcc>
  <rcv guid="{EA64E7D7-BA48-4965-B650-778AE412FE0C}" action="delete"/>
  <rdn rId="0" localSheetId="1" customView="1" name="Z_EA64E7D7_BA48_4965_B650_778AE412FE0C_.wvu.PrintArea" hidden="1" oldHidden="1">
    <formula>Sheet1!$A$1:$AL$482</formula>
    <oldFormula>Sheet1!$A$1:$AL$482</oldFormula>
  </rdn>
  <rdn rId="0" localSheetId="1" customView="1" name="Z_EA64E7D7_BA48_4965_B650_778AE412FE0C_.wvu.FilterData" hidden="1" oldHidden="1">
    <formula>Sheet1!$A$1:$DG$451</formula>
    <oldFormula>Sheet1!$A$1:$DG$451</oldFormula>
  </rdn>
  <rcv guid="{EA64E7D7-BA48-4965-B650-778AE412FE0C}" action="add"/>
</revisions>
</file>

<file path=xl/revisions/revisionLog3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94" sId="1" numFmtId="34">
    <oc r="Z74">
      <v>7931.52</v>
    </oc>
    <nc r="Z74">
      <v>7931.51</v>
    </nc>
  </rcc>
  <rcc rId="3495" sId="1" numFmtId="4">
    <oc r="W74">
      <v>51554.91</v>
    </oc>
    <nc r="W74">
      <v>51554.92</v>
    </nc>
  </rcc>
</revisions>
</file>

<file path=xl/revisions/revisionLog3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96" sId="1" numFmtId="19">
    <oc r="L380">
      <v>43779</v>
    </oc>
    <nc r="L380">
      <v>43780</v>
    </nc>
  </rcc>
  <rcc rId="3497" sId="1">
    <oc r="AI380" t="inlineStr">
      <is>
        <t>n.a</t>
      </is>
    </oc>
    <nc r="AI380" t="inlineStr">
      <is>
        <t>AA 1/16.07.2019 realocare sume</t>
      </is>
    </nc>
  </rcc>
</revisions>
</file>

<file path=xl/revisions/revisionLog3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498" sId="1" ref="A51:XFD51" action="insertRow">
    <undo index="65535" exp="area" ref3D="1" dr="$H$1:$N$1048576" dn="Z_65B035E3_87FA_46C5_996E_864F2C8D0EBC_.wvu.Cols" sId="1"/>
  </rrc>
  <rcc rId="3499" sId="1">
    <nc r="A51">
      <v>4</v>
    </nc>
  </rcc>
  <rcc rId="3500" sId="1">
    <nc r="B51">
      <v>129167</v>
    </nc>
  </rcc>
  <rcc rId="3501" sId="1">
    <nc r="C51">
      <v>662</v>
    </nc>
  </rcc>
  <rcc rId="3502" sId="1">
    <nc r="D51" t="inlineStr">
      <is>
        <t>DJ</t>
      </is>
    </nc>
  </rcc>
  <rcc rId="3503" sId="1">
    <nc r="E51" t="inlineStr">
      <is>
        <t>AP 2/11i/2.1</t>
      </is>
    </nc>
  </rcc>
  <rcc rId="3504" sId="1" odxf="1" dxf="1">
    <nc r="F51" t="inlineStr">
      <is>
        <t>CP 12 less/2018</t>
      </is>
    </nc>
    <odxf>
      <font>
        <sz val="12"/>
        <color auto="1"/>
      </font>
      <alignment horizontal="left"/>
    </odxf>
    <ndxf>
      <font>
        <sz val="12"/>
        <color auto="1"/>
      </font>
      <alignment horizontal="general"/>
    </ndxf>
  </rcc>
  <rcc rId="3505" sId="1">
    <nc r="G51" t="inlineStr">
      <is>
        <t>O administratie in slujba cetateanului</t>
      </is>
    </nc>
  </rcc>
  <rcc rId="3506" sId="1">
    <nc r="H51" t="inlineStr">
      <is>
        <t>Municipiul Braila</t>
      </is>
    </nc>
  </rcc>
  <rcc rId="3507" sId="1">
    <nc r="I51" t="inlineStr">
      <is>
        <t>n.a.</t>
      </is>
    </nc>
  </rcc>
  <rcc rId="3508" sId="1" numFmtId="19">
    <nc r="K51">
      <v>43662</v>
    </nc>
  </rcc>
  <rcc rId="3509" sId="1">
    <nc r="L51">
      <f>K51+18</f>
    </nc>
  </rcc>
  <rcc rId="3510" sId="1" numFmtId="4">
    <nc r="M51">
      <v>85</v>
    </nc>
  </rcc>
  <rcc rId="3511" sId="1">
    <nc r="N51">
      <v>2</v>
    </nc>
  </rcc>
  <rcc rId="3512" sId="1">
    <nc r="O51" t="inlineStr">
      <is>
        <t>BRĂILA</t>
      </is>
    </nc>
  </rcc>
  <rcc rId="3513" sId="1">
    <nc r="P51" t="inlineStr">
      <is>
        <t>BRAĂILA</t>
      </is>
    </nc>
  </rcc>
  <rcc rId="3514" sId="1">
    <nc r="Q51" t="inlineStr">
      <is>
        <t>APL</t>
      </is>
    </nc>
  </rcc>
  <rcc rId="3515" sId="1">
    <nc r="R51" t="inlineStr">
      <is>
        <t>119 - Investiții în capacitatea instituțională și în eficiența administrațiilor și a serviciilor publice la nivel național, regional și local, în perspectiva realizării de reforme, a unei mai bune legiferări și a bunei guvernanțe</t>
      </is>
    </nc>
  </rcc>
  <rcc rId="3516" sId="1" numFmtId="4">
    <nc r="S51">
      <v>3211223.95</v>
    </nc>
  </rcc>
  <rcc rId="3517" sId="1" odxf="1" dxf="1" numFmtId="4">
    <nc r="T51">
      <v>3211223.95</v>
    </nc>
    <odxf>
      <font>
        <sz val="12"/>
        <color auto="1"/>
      </font>
      <numFmt numFmtId="166" formatCode="#,##0.00_ ;\-#,##0.00\ "/>
      <fill>
        <patternFill patternType="solid">
          <bgColor rgb="FFFFFF00"/>
        </patternFill>
      </fill>
    </odxf>
    <ndxf>
      <font>
        <sz val="12"/>
        <color auto="1"/>
      </font>
      <numFmt numFmtId="4" formatCode="#,##0.00"/>
      <fill>
        <patternFill patternType="none">
          <bgColor indexed="65"/>
        </patternFill>
      </fill>
    </ndxf>
  </rcc>
  <rcc rId="3518" sId="1" numFmtId="4">
    <nc r="U51">
      <v>0</v>
    </nc>
  </rcc>
  <rcc rId="3519" sId="1" numFmtId="4">
    <nc r="V51">
      <v>491128.17</v>
    </nc>
  </rcc>
  <rcc rId="3520" sId="1" numFmtId="4">
    <nc r="W51">
      <v>491128.17</v>
    </nc>
  </rcc>
  <rcc rId="3521" sId="1" numFmtId="4">
    <nc r="X51">
      <v>0</v>
    </nc>
  </rcc>
  <rcc rId="3522" sId="1" numFmtId="4">
    <nc r="Y51">
      <v>75558.41</v>
    </nc>
  </rcc>
  <rcc rId="3523" sId="1" numFmtId="4">
    <nc r="Z51">
      <v>75558.41</v>
    </nc>
  </rcc>
  <rcc rId="3524" sId="1" numFmtId="4">
    <nc r="AA51">
      <v>0</v>
    </nc>
  </rcc>
  <rcc rId="3525" sId="1" numFmtId="4">
    <nc r="AB51">
      <v>0</v>
    </nc>
  </rcc>
  <rcc rId="3526" sId="1" numFmtId="4">
    <nc r="AC51">
      <v>0</v>
    </nc>
  </rcc>
  <rcc rId="3527" sId="1" endOfListFormulaUpdate="1">
    <oc r="AC52">
      <f>SUM(AC48:AC50)</f>
    </oc>
    <nc r="AC52">
      <f>SUM(AC48:AC51)</f>
    </nc>
  </rcc>
  <rcc rId="3528" sId="1" numFmtId="4">
    <nc r="AD51">
      <v>0</v>
    </nc>
  </rcc>
  <rcc rId="3529" sId="1" endOfListFormulaUpdate="1">
    <oc r="AD52">
      <f>SUM(AD48:AD50)</f>
    </oc>
    <nc r="AD52">
      <f>SUM(AD48:AD51)</f>
    </nc>
  </rcc>
  <rcc rId="3530" sId="1" numFmtId="4">
    <nc r="AE51">
      <v>377910.53</v>
    </nc>
  </rcc>
  <rcc rId="3531" sId="1" numFmtId="4">
    <nc r="AF51">
      <v>0</v>
    </nc>
  </rcc>
  <rcc rId="3532" sId="1" odxf="1" dxf="1" numFmtId="4">
    <nc r="AG51">
      <v>377910.53</v>
    </nc>
    <odxf>
      <fill>
        <patternFill patternType="none">
          <bgColor indexed="65"/>
        </patternFill>
      </fill>
    </odxf>
    <ndxf>
      <fill>
        <patternFill patternType="solid">
          <bgColor theme="0"/>
        </patternFill>
      </fill>
    </ndxf>
  </rcc>
  <rcc rId="3533" sId="1">
    <nc r="AH51" t="inlineStr">
      <is>
        <t xml:space="preserve"> în implementare</t>
      </is>
    </nc>
  </rcc>
  <rcc rId="3534" sId="1">
    <oc r="AJ52">
      <f>SUM(AJ48:AJ50)</f>
    </oc>
    <nc r="AJ52">
      <f>SUM(AJ48:AJ51)</f>
    </nc>
  </rcc>
  <rcc rId="3535" sId="1">
    <oc r="AI52">
      <f>SUM(AI48:AI50)</f>
    </oc>
    <nc r="AI52">
      <f>SUM(AI48:AI51)</f>
    </nc>
  </rcc>
  <rcc rId="3536" sId="1">
    <oc r="AG52">
      <f>SUM(AG48:AG50)</f>
    </oc>
    <nc r="AG52">
      <f>SUM(AG48:AG51)</f>
    </nc>
  </rcc>
  <rcc rId="3537" sId="1">
    <oc r="AF52">
      <f>SUM(AF48:AF50)</f>
    </oc>
    <nc r="AF52">
      <f>SUM(AF48:AF51)</f>
    </nc>
  </rcc>
  <rcc rId="3538" sId="1">
    <oc r="AE52">
      <f>SUM(AE48:AE50)</f>
    </oc>
    <nc r="AE52">
      <f>SUM(AE48:AE51)</f>
    </nc>
  </rcc>
  <rcc rId="3539" sId="1">
    <oc r="AB52">
      <f>SUM(AB48:AB50)</f>
    </oc>
    <nc r="AB52">
      <f>SUM(AB48:AB51)</f>
    </nc>
  </rcc>
  <rcc rId="3540" sId="1">
    <oc r="AA52">
      <f>SUM(AA48:AA50)</f>
    </oc>
    <nc r="AA52">
      <f>SUM(AA48:AA51)</f>
    </nc>
  </rcc>
  <rcc rId="3541" sId="1">
    <oc r="Y52">
      <f>SUM(Y48:Y50)</f>
    </oc>
    <nc r="Y52">
      <f>SUM(Y48:Y51)</f>
    </nc>
  </rcc>
  <rcc rId="3542" sId="1">
    <oc r="V52">
      <f>SUM(V48:V50)</f>
    </oc>
    <nc r="V52">
      <f>SUM(V48:V51)</f>
    </nc>
  </rcc>
  <rcc rId="3543" sId="1">
    <oc r="S52">
      <f>SUM(S48:S50)</f>
    </oc>
    <nc r="S52">
      <f>SUM(S48:S51)</f>
    </nc>
  </rcc>
  <rcv guid="{905D93EA-5662-45AB-8995-A9908B3E5D52}" action="delete"/>
  <rdn rId="0" localSheetId="1" customView="1" name="Z_905D93EA_5662_45AB_8995_A9908B3E5D52_.wvu.PrintArea" hidden="1" oldHidden="1">
    <formula>Sheet1!$A$1:$AL$483</formula>
    <oldFormula>Sheet1!$A$1:$AL$483</oldFormula>
  </rdn>
  <rdn rId="0" localSheetId="1" customView="1" name="Z_905D93EA_5662_45AB_8995_A9908B3E5D52_.wvu.FilterData" hidden="1" oldHidden="1">
    <formula>Sheet1!$C$1:$C$490</formula>
    <oldFormula>Sheet1!$C$1:$C$490</oldFormula>
  </rdn>
  <rcv guid="{905D93EA-5662-45AB-8995-A9908B3E5D52}"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92" sId="1" numFmtId="19">
    <oc r="L321">
      <v>43701</v>
    </oc>
    <nc r="L321">
      <v>43793</v>
    </nc>
  </rcc>
  <rcv guid="{0781B6C2-B440-4971-9809-BD16245A70FD}" action="delete"/>
  <rdn rId="0" localSheetId="1" customView="1" name="Z_0781B6C2_B440_4971_9809_BD16245A70FD_.wvu.PrintArea" hidden="1" oldHidden="1">
    <formula>Sheet1!$A$1:$AL$487</formula>
    <oldFormula>Sheet1!$A$1:$AL$487</oldFormula>
  </rdn>
  <rdn rId="0" localSheetId="1" customView="1" name="Z_0781B6C2_B440_4971_9809_BD16245A70FD_.wvu.FilterData" hidden="1" oldHidden="1">
    <formula>Sheet1!$A$1:$AL$453</formula>
    <oldFormula>Sheet1!$A$1:$AL$453</oldFormula>
  </rdn>
  <rcv guid="{0781B6C2-B440-4971-9809-BD16245A70FD}" action="add"/>
</revisions>
</file>

<file path=xl/revisions/revisionLog3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46" sId="1">
    <nc r="J51" t="inlineStr">
      <is>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is>
    </nc>
  </rcc>
</revisions>
</file>

<file path=xl/revisions/revisionLog3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4FB199A-D56E-4FDD-AC4A-70CE86CD87BC}" action="delete"/>
  <rdn rId="0" localSheetId="1" customView="1" name="Z_84FB199A_D56E_4FDD_AC4A_70CE86CD87BC_.wvu.PrintArea" hidden="1" oldHidden="1">
    <formula>Sheet1!$A$1:$AL$483</formula>
    <oldFormula>Sheet1!$A$1:$AL$483</oldFormula>
  </rdn>
  <rdn rId="0" localSheetId="1" customView="1" name="Z_84FB199A_D56E_4FDD_AC4A_70CE86CD87BC_.wvu.FilterData" hidden="1" oldHidden="1">
    <formula>Sheet1!$C$1:$C$490</formula>
    <oldFormula>Sheet1!$C$1:$C$494</oldFormula>
  </rdn>
  <rcv guid="{84FB199A-D56E-4FDD-AC4A-70CE86CD87BC}" action="add"/>
</revisions>
</file>

<file path=xl/revisions/revisionLog3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16">
    <dxf>
      <fill>
        <patternFill patternType="solid">
          <bgColor rgb="FFFFCCFF"/>
        </patternFill>
      </fill>
    </dxf>
  </rfmt>
  <rfmt sheetId="1" sqref="K416:S416">
    <dxf>
      <fill>
        <patternFill>
          <bgColor rgb="FFCCECFF"/>
        </patternFill>
      </fill>
    </dxf>
  </rfmt>
  <rcc rId="3549" sId="1" numFmtId="4">
    <oc r="T416">
      <v>655062.47</v>
    </oc>
    <nc r="T416">
      <v>655062.44999999995</v>
    </nc>
  </rcc>
  <rfmt sheetId="1" sqref="T416">
    <dxf>
      <fill>
        <patternFill>
          <bgColor rgb="FFCCECFF"/>
        </patternFill>
      </fill>
    </dxf>
  </rfmt>
  <rcc rId="3550" sId="1" numFmtId="4">
    <oc r="U416">
      <v>157254.04999999999</v>
    </oc>
    <nc r="U416">
      <v>157254.04</v>
    </nc>
  </rcc>
  <rfmt sheetId="1" sqref="U416">
    <dxf>
      <fill>
        <patternFill>
          <bgColor rgb="FFCCECFF"/>
        </patternFill>
      </fill>
    </dxf>
  </rfmt>
  <rcc rId="3551" sId="1" numFmtId="4">
    <oc r="W416">
      <v>115599.23</v>
    </oc>
    <nc r="W416">
      <v>115599.25</v>
    </nc>
  </rcc>
  <rfmt sheetId="1" sqref="W416">
    <dxf>
      <fill>
        <patternFill>
          <bgColor rgb="FFCCECFF"/>
        </patternFill>
      </fill>
    </dxf>
  </rfmt>
  <rcc rId="3552" sId="1" numFmtId="4">
    <oc r="X416">
      <v>39313.47</v>
    </oc>
    <nc r="X416">
      <v>39313.480000000003</v>
    </nc>
  </rcc>
  <rfmt sheetId="1" sqref="X416">
    <dxf>
      <fill>
        <patternFill>
          <bgColor rgb="FFCCECFF"/>
        </patternFill>
      </fill>
    </dxf>
  </rfmt>
  <rfmt sheetId="1" sqref="V416">
    <dxf>
      <fill>
        <patternFill patternType="solid">
          <bgColor rgb="FFCCECFF"/>
        </patternFill>
      </fill>
    </dxf>
  </rfmt>
  <rcc rId="3553" sId="1" numFmtId="4">
    <oc r="AC416">
      <v>15727.8</v>
    </oc>
    <nc r="AC416">
      <v>15727.81</v>
    </nc>
  </rcc>
  <rcc rId="3554" sId="1" numFmtId="4">
    <oc r="AD416">
      <v>4011.58</v>
    </oc>
    <nc r="AD416">
      <v>4011.57</v>
    </nc>
  </rcc>
  <rfmt sheetId="1" sqref="AB416">
    <dxf>
      <fill>
        <patternFill patternType="solid">
          <bgColor rgb="FFCCECFF"/>
        </patternFill>
      </fill>
    </dxf>
  </rfmt>
  <rcv guid="{84FB199A-D56E-4FDD-AC4A-70CE86CD87BC}" action="delete"/>
  <rdn rId="0" localSheetId="1" customView="1" name="Z_84FB199A_D56E_4FDD_AC4A_70CE86CD87BC_.wvu.PrintArea" hidden="1" oldHidden="1">
    <formula>Sheet1!$A$1:$AL$483</formula>
    <oldFormula>Sheet1!$A$1:$AL$483</oldFormula>
  </rdn>
  <rdn rId="0" localSheetId="1" customView="1" name="Z_84FB199A_D56E_4FDD_AC4A_70CE86CD87BC_.wvu.FilterData" hidden="1" oldHidden="1">
    <formula>Sheet1!$C$1:$C$490</formula>
    <oldFormula>Sheet1!$C$1:$C$490</oldFormula>
  </rdn>
  <rcv guid="{84FB199A-D56E-4FDD-AC4A-70CE86CD87BC}" action="add"/>
</revisions>
</file>

<file path=xl/revisions/revisionLog3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16:S416">
    <dxf>
      <fill>
        <patternFill patternType="none">
          <bgColor auto="1"/>
        </patternFill>
      </fill>
    </dxf>
  </rfmt>
  <rfmt sheetId="1" sqref="V416">
    <dxf>
      <fill>
        <patternFill patternType="none">
          <bgColor auto="1"/>
        </patternFill>
      </fill>
    </dxf>
  </rfmt>
  <rfmt sheetId="1" sqref="AB416">
    <dxf>
      <fill>
        <patternFill patternType="none">
          <bgColor auto="1"/>
        </patternFill>
      </fill>
    </dxf>
  </rfmt>
  <rfmt sheetId="1" sqref="T416:U416">
    <dxf>
      <fill>
        <patternFill>
          <bgColor rgb="FFFFFF00"/>
        </patternFill>
      </fill>
    </dxf>
  </rfmt>
  <rfmt sheetId="1" sqref="W416:X416">
    <dxf>
      <fill>
        <patternFill>
          <bgColor rgb="FFFFFF00"/>
        </patternFill>
      </fill>
    </dxf>
  </rfmt>
</revisions>
</file>

<file path=xl/revisions/revisionLog3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57" sId="1" numFmtId="4">
    <oc r="T412">
      <v>657331.02</v>
    </oc>
    <nc r="T412">
      <v>657331.03</v>
    </nc>
  </rcc>
  <rfmt sheetId="1" sqref="T412">
    <dxf>
      <fill>
        <patternFill>
          <bgColor rgb="FFCCFFFF"/>
        </patternFill>
      </fill>
    </dxf>
  </rfmt>
  <rcc rId="3558" sId="1" numFmtId="4">
    <oc r="U412">
      <v>157798.64000000001</v>
    </oc>
    <nc r="U412">
      <v>157798.57</v>
    </nc>
  </rcc>
  <rfmt sheetId="1" sqref="U412">
    <dxf>
      <fill>
        <patternFill>
          <bgColor rgb="FFCCFFFF"/>
        </patternFill>
      </fill>
    </dxf>
  </rfmt>
  <rcc rId="3559" sId="1" numFmtId="4">
    <oc r="W412">
      <v>115999.61</v>
    </oc>
    <nc r="W412">
      <v>115999.63</v>
    </nc>
  </rcc>
  <rfmt sheetId="1" sqref="W412">
    <dxf>
      <fill>
        <patternFill>
          <bgColor rgb="FFCCFFFF"/>
        </patternFill>
      </fill>
    </dxf>
  </rfmt>
  <rcc rId="3560" sId="1" numFmtId="4">
    <oc r="X412">
      <v>39449.65</v>
    </oc>
    <nc r="X412">
      <v>39449.69</v>
    </nc>
  </rcc>
  <rfmt sheetId="1" sqref="X412">
    <dxf>
      <fill>
        <patternFill>
          <bgColor rgb="FFCCFFFF"/>
        </patternFill>
      </fill>
    </dxf>
  </rfmt>
  <rcc rId="3561" sId="1" numFmtId="4">
    <oc r="AC412">
      <v>15782.26</v>
    </oc>
    <nc r="AC412">
      <v>15782.23</v>
    </nc>
  </rcc>
  <rfmt sheetId="1" sqref="AC412">
    <dxf>
      <fill>
        <patternFill>
          <bgColor rgb="FFCCFFFF"/>
        </patternFill>
      </fill>
    </dxf>
  </rfmt>
  <rcc rId="3562" sId="1" numFmtId="4">
    <oc r="AD412">
      <v>4025.44</v>
    </oc>
    <nc r="AD412">
      <v>4025.47</v>
    </nc>
  </rcc>
  <rfmt sheetId="1" sqref="AD412">
    <dxf>
      <fill>
        <patternFill>
          <bgColor rgb="FFCCFFFF"/>
        </patternFill>
      </fill>
    </dxf>
  </rfmt>
</revisions>
</file>

<file path=xl/revisions/revisionLog3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W412:X412">
    <dxf>
      <fill>
        <patternFill>
          <bgColor rgb="FFFFFF00"/>
        </patternFill>
      </fill>
    </dxf>
  </rfmt>
  <rfmt sheetId="1" sqref="AC412:AD412">
    <dxf>
      <fill>
        <patternFill>
          <bgColor rgb="FFFFFF00"/>
        </patternFill>
      </fill>
    </dxf>
  </rfmt>
  <rfmt sheetId="1" sqref="T412:U412">
    <dxf>
      <fill>
        <patternFill>
          <bgColor rgb="FFFFFF00"/>
        </patternFill>
      </fill>
    </dxf>
  </rfmt>
</revisions>
</file>

<file path=xl/revisions/revisionLog3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Sheet1!$A$1:$AL$483</formula>
    <oldFormula>Sheet1!$A$1:$AL$483</oldFormula>
  </rdn>
  <rdn rId="0" localSheetId="1" customView="1" name="Z_7C1B4D6D_D666_48DD_AB17_E00791B6F0B6_.wvu.FilterData" hidden="1" oldHidden="1">
    <formula>Sheet1!$A$6:$DG$451</formula>
    <oldFormula>Sheet1!$A$6:$DG$451</oldFormula>
  </rdn>
  <rcv guid="{7C1B4D6D-D666-48DD-AB17-E00791B6F0B6}" action="add"/>
</revisions>
</file>

<file path=xl/revisions/revisionLog3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65" sId="1">
    <oc r="AI286" t="inlineStr">
      <is>
        <t>AA5 /06.08.18</t>
      </is>
    </oc>
    <nc r="AI286" t="inlineStr">
      <is>
        <t>AA6 /16.07.19</t>
      </is>
    </nc>
  </rcc>
  <rcv guid="{EEA37434-2D22-478B-B49F-C3E8CD4AC2E1}" action="delete"/>
  <rdn rId="0" localSheetId="1" customView="1" name="Z_EEA37434_2D22_478B_B49F_C3E8CD4AC2E1_.wvu.PrintArea" hidden="1" oldHidden="1">
    <formula>Sheet1!$A$1:$AL$483</formula>
    <oldFormula>Sheet1!$A$1:$AL$483</oldFormula>
  </rdn>
  <rdn rId="0" localSheetId="1" customView="1" name="Z_EEA37434_2D22_478B_B49F_C3E8CD4AC2E1_.wvu.FilterData" hidden="1" oldHidden="1">
    <formula>Sheet1!$A$6:$DG$451</formula>
    <oldFormula>Sheet1!$A$6:$DG$451</oldFormula>
  </rdn>
  <rcv guid="{EEA37434-2D22-478B-B49F-C3E8CD4AC2E1}" action="add"/>
</revisions>
</file>

<file path=xl/revisions/revisionLog3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68" sId="1" numFmtId="19">
    <oc r="L286">
      <v>43765</v>
    </oc>
    <nc r="L286">
      <v>43948</v>
    </nc>
  </rcc>
  <rcv guid="{EEA37434-2D22-478B-B49F-C3E8CD4AC2E1}" action="delete"/>
  <rdn rId="0" localSheetId="1" customView="1" name="Z_EEA37434_2D22_478B_B49F_C3E8CD4AC2E1_.wvu.PrintArea" hidden="1" oldHidden="1">
    <formula>Sheet1!$A$1:$AL$483</formula>
    <oldFormula>Sheet1!$A$1:$AL$483</oldFormula>
  </rdn>
  <rdn rId="0" localSheetId="1" customView="1" name="Z_EEA37434_2D22_478B_B49F_C3E8CD4AC2E1_.wvu.FilterData" hidden="1" oldHidden="1">
    <formula>Sheet1!$A$6:$DG$451</formula>
    <oldFormula>Sheet1!$A$6:$DG$451</oldFormula>
  </rdn>
  <rcv guid="{EEA37434-2D22-478B-B49F-C3E8CD4AC2E1}" action="add"/>
</revisions>
</file>

<file path=xl/revisions/revisionLog3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71" sId="1" numFmtId="19">
    <oc r="L324">
      <v>43653</v>
    </oc>
    <nc r="L324">
      <v>43715</v>
    </nc>
  </rcc>
  <rcc rId="3572" sId="1">
    <oc r="S324">
      <f>T324+U324</f>
    </oc>
    <nc r="S324">
      <f>T324+U324</f>
    </nc>
  </rcc>
  <rcc rId="3573" sId="1" numFmtId="4">
    <oc r="T324">
      <v>633150.63</v>
    </oc>
    <nc r="T324">
      <v>636990.03</v>
    </nc>
  </rcc>
  <rcc rId="3574" sId="1" numFmtId="4">
    <oc r="U324">
      <v>151993.85999999999</v>
    </oc>
    <nc r="U324">
      <v>152915.54</v>
    </nc>
  </rcc>
  <rcc rId="3575" sId="1" numFmtId="4">
    <oc r="W324">
      <v>111732.46</v>
    </oc>
    <nc r="W324">
      <v>107893.05</v>
    </nc>
  </rcc>
  <rcc rId="3576" sId="1" numFmtId="4">
    <oc r="X324">
      <v>37998.47</v>
    </oc>
    <nc r="X324">
      <v>37076.803</v>
    </nc>
  </rcc>
  <rcc rId="3577" sId="1" numFmtId="4">
    <oc r="AC324">
      <v>15201.7</v>
    </oc>
    <nc r="AC324">
      <v>15201.708000000001</v>
    </nc>
  </rcc>
  <rcc rId="3578" sId="1" numFmtId="4">
    <oc r="AD324">
      <v>3877.39</v>
    </oc>
    <nc r="AD324">
      <v>3877.3820000000001</v>
    </nc>
  </rcc>
  <rcv guid="{EEA37434-2D22-478B-B49F-C3E8CD4AC2E1}" action="delete"/>
  <rdn rId="0" localSheetId="1" customView="1" name="Z_EEA37434_2D22_478B_B49F_C3E8CD4AC2E1_.wvu.PrintArea" hidden="1" oldHidden="1">
    <formula>Sheet1!$A$1:$AL$483</formula>
    <oldFormula>Sheet1!$A$1:$AL$483</oldFormula>
  </rdn>
  <rdn rId="0" localSheetId="1" customView="1" name="Z_EEA37434_2D22_478B_B49F_C3E8CD4AC2E1_.wvu.FilterData" hidden="1" oldHidden="1">
    <formula>Sheet1!$A$6:$DG$451</formula>
    <oldFormula>Sheet1!$A$6:$DG$451</oldFormula>
  </rdn>
  <rcv guid="{EEA37434-2D22-478B-B49F-C3E8CD4AC2E1}"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Sheet1!$A$1:$AL$487</formula>
    <oldFormula>Sheet1!$A$1:$AL$487</oldFormula>
  </rdn>
  <rdn rId="0" localSheetId="1" customView="1" name="Z_7C1B4D6D_D666_48DD_AB17_E00791B6F0B6_.wvu.FilterData" hidden="1" oldHidden="1">
    <formula>Sheet1!$A$6:$DG$453</formula>
    <oldFormula>Sheet1!$A$6:$DG$453</oldFormula>
  </rdn>
  <rcv guid="{7C1B4D6D-D666-48DD-AB17-E00791B6F0B6}" action="add"/>
</revisions>
</file>

<file path=xl/revisions/revisionLog3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581" sId="1" ref="A462:XFD462" action="insertRow">
    <undo index="65535" exp="area" ref3D="1" dr="$H$1:$N$1048576" dn="Z_65B035E3_87FA_46C5_996E_864F2C8D0EBC_.wvu.Cols" sId="1"/>
  </rrc>
  <rcc rId="3582" sId="1">
    <nc r="E462" t="inlineStr">
      <is>
        <t>TOTAL</t>
      </is>
    </nc>
  </rcc>
  <rcc rId="3583" sId="1">
    <nc r="F462" t="inlineStr">
      <is>
        <t>IP15/2019
(MySMIS: 
POCA/ 535/1/2 )</t>
      </is>
    </nc>
  </rcc>
  <rcc rId="3584" sId="1">
    <nc r="S462">
      <f>SUMIFS(S$7:S$452,$F$7:$F$452,$F462)</f>
    </nc>
  </rcc>
  <rcc rId="3585" sId="1">
    <nc r="T462">
      <f>SUMIFS(T$7:T$452,$F$7:$F$452,$F462)</f>
    </nc>
  </rcc>
  <rcc rId="3586" sId="1">
    <nc r="U462">
      <f>SUMIFS(U$7:U$452,$F$7:$F$452,$F462)</f>
    </nc>
  </rcc>
  <rcc rId="3587" sId="1">
    <nc r="V462">
      <f>SUMIFS(V$7:V$452,$F$7:$F$452,$F462)</f>
    </nc>
  </rcc>
  <rcc rId="3588" sId="1">
    <nc r="W462">
      <f>SUMIFS(W$7:W$452,$F$7:$F$452,$F462)</f>
    </nc>
  </rcc>
  <rcc rId="3589" sId="1">
    <nc r="X462">
      <f>SUMIFS(X$7:X$452,$F$7:$F$452,$F462)</f>
    </nc>
  </rcc>
  <rcc rId="3590" sId="1">
    <nc r="Y462">
      <f>SUMIFS(Y$7:Y$452,$F$7:$F$452,$F462)</f>
    </nc>
  </rcc>
  <rcc rId="3591" sId="1">
    <nc r="Z462">
      <f>SUMIFS(Z$7:Z$452,$F$7:$F$452,$F462)</f>
    </nc>
  </rcc>
  <rcc rId="3592" sId="1">
    <nc r="AA462">
      <f>SUMIFS(AA$7:AA$452,$F$7:$F$452,$F462)</f>
    </nc>
  </rcc>
  <rcc rId="3593" sId="1">
    <nc r="AB462">
      <f>SUMIFS(AB$7:AB$452,$F$7:$F$452,$F462)</f>
    </nc>
  </rcc>
  <rcc rId="3594" sId="1">
    <nc r="AC462">
      <f>SUMIFS(AC$7:AC$452,$F$7:$F$452,$F462)</f>
    </nc>
  </rcc>
  <rcc rId="3595" sId="1">
    <nc r="AD462">
      <f>SUMIFS(AD$7:AD$452,$F$7:$F$452,$F462)</f>
    </nc>
  </rcc>
  <rcc rId="3596" sId="1">
    <nc r="AE462">
      <f>SUMIFS(AE$7:AE$452,$F$7:$F$452,$F462)</f>
    </nc>
  </rcc>
  <rcc rId="3597" sId="1">
    <nc r="AF462">
      <f>SUMIFS(AF$7:AF$452,$F$7:$F$452,$F462)</f>
    </nc>
  </rcc>
  <rcc rId="3598" sId="1">
    <nc r="AG462">
      <f>SUMIFS(AG$7:AG$452,$F$7:$F$452,$F462)</f>
    </nc>
  </rcc>
  <rcc rId="3599" sId="1">
    <nc r="AJ462">
      <f>SUMIFS(AJ$7:AJ$452,$F$7:$F$452,$F462)</f>
    </nc>
  </rcc>
  <rcc rId="3600" sId="1">
    <nc r="AK462">
      <f>SUMIFS(AK$7:AK$452,$F$7:$F$452,$F462)</f>
    </nc>
  </rcc>
  <rcv guid="{7C1B4D6D-D666-48DD-AB17-E00791B6F0B6}" action="delete"/>
  <rdn rId="0" localSheetId="1" customView="1" name="Z_7C1B4D6D_D666_48DD_AB17_E00791B6F0B6_.wvu.PrintArea" hidden="1" oldHidden="1">
    <formula>Sheet1!$A$1:$AL$484</formula>
    <oldFormula>Sheet1!$A$1:$AL$484</oldFormula>
  </rdn>
  <rdn rId="0" localSheetId="1" customView="1" name="Z_7C1B4D6D_D666_48DD_AB17_E00791B6F0B6_.wvu.FilterData" hidden="1" oldHidden="1">
    <formula>Sheet1!$A$6:$DG$451</formula>
    <oldFormula>Sheet1!$A$6:$DG$451</oldFormula>
  </rdn>
  <rcv guid="{7C1B4D6D-D666-48DD-AB17-E00791B6F0B6}" action="add"/>
</revisions>
</file>

<file path=xl/revisions/revisionLog3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E448" start="0" length="0">
    <dxf>
      <font>
        <sz val="12"/>
        <color auto="1"/>
      </font>
      <alignment horizontal="center" vertical="center" wrapText="1"/>
    </dxf>
  </rfmt>
  <rfmt sheetId="1" sqref="A448" start="0" length="0">
    <dxf>
      <border outline="0">
        <left style="thin">
          <color indexed="64"/>
        </left>
        <right style="thin">
          <color indexed="64"/>
        </right>
        <top style="thin">
          <color indexed="64"/>
        </top>
        <bottom style="thin">
          <color indexed="64"/>
        </bottom>
      </border>
    </dxf>
  </rfmt>
  <rcc rId="3603" sId="1" odxf="1" dxf="1">
    <nc r="B448">
      <v>129745</v>
    </nc>
    <ndxf>
      <fill>
        <patternFill patternType="none">
          <bgColor indexed="65"/>
        </patternFill>
      </fill>
      <border outline="0">
        <left style="thin">
          <color indexed="64"/>
        </left>
        <right style="thin">
          <color indexed="64"/>
        </right>
        <top style="thin">
          <color indexed="64"/>
        </top>
        <bottom style="thin">
          <color indexed="64"/>
        </bottom>
      </border>
    </ndxf>
  </rcc>
  <rcc rId="3604" sId="1" odxf="1" dxf="1">
    <nc r="C448">
      <v>745</v>
    </nc>
    <ndxf>
      <fill>
        <patternFill patternType="none">
          <bgColor indexed="65"/>
        </patternFill>
      </fill>
      <border outline="0">
        <left style="thin">
          <color indexed="64"/>
        </left>
        <right style="thin">
          <color indexed="64"/>
        </right>
        <top style="thin">
          <color indexed="64"/>
        </top>
        <bottom style="thin">
          <color indexed="64"/>
        </bottom>
      </border>
    </ndxf>
  </rcc>
  <rcc rId="3605" sId="1" odxf="1" dxf="1">
    <nc r="D448" t="inlineStr">
      <is>
        <t>MP</t>
      </is>
    </nc>
    <ndxf>
      <fill>
        <patternFill patternType="none">
          <bgColor indexed="65"/>
        </patternFill>
      </fill>
      <border outline="0">
        <left style="thin">
          <color indexed="64"/>
        </left>
        <right style="thin">
          <color indexed="64"/>
        </right>
        <top style="thin">
          <color indexed="64"/>
        </top>
        <bottom style="thin">
          <color indexed="64"/>
        </bottom>
      </border>
    </ndxf>
  </rcc>
  <rcc rId="3606" sId="1" odxf="1" dxf="1">
    <nc r="E448" t="inlineStr">
      <is>
        <t xml:space="preserve">AP1/11i /1.2 </t>
      </is>
    </nc>
    <ndxf>
      <border outline="0">
        <left style="thin">
          <color indexed="64"/>
        </left>
        <right style="thin">
          <color indexed="64"/>
        </right>
        <top style="thin">
          <color indexed="64"/>
        </top>
        <bottom style="thin">
          <color indexed="64"/>
        </bottom>
      </border>
    </ndxf>
  </rcc>
  <rcc rId="3607" sId="1" odxf="1" dxf="1">
    <nc r="F448" t="inlineStr">
      <is>
        <t>IP15/2019
(MySMIS: 
POCA/ 535/1/2 )</t>
      </is>
    </nc>
    <ndxf>
      <fill>
        <patternFill patternType="none">
          <bgColor indexed="65"/>
        </patternFill>
      </fill>
      <border outline="0">
        <left style="thin">
          <color indexed="64"/>
        </left>
        <right style="thin">
          <color indexed="64"/>
        </right>
        <top style="thin">
          <color indexed="64"/>
        </top>
        <bottom style="thin">
          <color indexed="64"/>
        </bottom>
      </border>
    </ndxf>
  </rcc>
  <rfmt sheetId="1" sqref="G448" start="0" length="0">
    <dxf>
      <font>
        <sz val="12"/>
        <name val="Trebuchet MS"/>
        <charset val="1"/>
        <scheme val="none"/>
      </font>
      <border outline="0">
        <left style="thin">
          <color indexed="64"/>
        </left>
        <right style="thin">
          <color indexed="64"/>
        </right>
        <top style="thin">
          <color indexed="64"/>
        </top>
        <bottom style="thin">
          <color indexed="64"/>
        </bottom>
      </border>
    </dxf>
  </rfmt>
  <rfmt sheetId="1" sqref="H448" start="0" length="0">
    <dxf>
      <border outline="0">
        <left style="thin">
          <color indexed="64"/>
        </left>
        <right style="thin">
          <color indexed="64"/>
        </right>
        <top style="thin">
          <color indexed="64"/>
        </top>
        <bottom style="thin">
          <color indexed="64"/>
        </bottom>
      </border>
    </dxf>
  </rfmt>
  <rfmt sheetId="1" sqref="I4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J448" start="0" length="0">
    <dxf>
      <font>
        <sz val="12"/>
        <color auto="1"/>
        <charset val="1"/>
      </font>
      <alignment horizontal="left" vertical="center"/>
      <border outline="0">
        <left style="thin">
          <color indexed="64"/>
        </left>
        <right style="thin">
          <color indexed="64"/>
        </right>
        <top style="thin">
          <color indexed="64"/>
        </top>
        <bottom style="thin">
          <color indexed="64"/>
        </bottom>
      </border>
    </dxf>
  </rfmt>
  <rfmt sheetId="1" sqref="K4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L448" start="0" length="0">
    <dxf>
      <border outline="0">
        <left style="thin">
          <color indexed="64"/>
        </left>
        <right style="thin">
          <color indexed="64"/>
        </right>
        <top style="thin">
          <color indexed="64"/>
        </top>
        <bottom style="thin">
          <color indexed="64"/>
        </bottom>
      </border>
    </dxf>
  </rfmt>
  <rfmt sheetId="1" sqref="M448" start="0" length="0">
    <dxf>
      <border outline="0">
        <left style="thin">
          <color indexed="64"/>
        </left>
        <right style="thin">
          <color indexed="64"/>
        </right>
        <top style="thin">
          <color indexed="64"/>
        </top>
        <bottom style="thin">
          <color indexed="64"/>
        </bottom>
      </border>
    </dxf>
  </rfmt>
  <rfmt sheetId="1" sqref="N448" start="0" length="0">
    <dxf>
      <border outline="0">
        <left style="thin">
          <color indexed="64"/>
        </left>
        <right style="thin">
          <color indexed="64"/>
        </right>
        <top style="thin">
          <color indexed="64"/>
        </top>
        <bottom style="thin">
          <color indexed="64"/>
        </bottom>
      </border>
    </dxf>
  </rfmt>
  <rfmt sheetId="1" sqref="O448" start="0" length="0">
    <dxf>
      <border outline="0">
        <left style="thin">
          <color indexed="64"/>
        </left>
        <right style="thin">
          <color indexed="64"/>
        </right>
        <top style="thin">
          <color indexed="64"/>
        </top>
        <bottom style="thin">
          <color indexed="64"/>
        </bottom>
      </border>
    </dxf>
  </rfmt>
  <rfmt sheetId="1" sqref="P448" start="0" length="0">
    <dxf>
      <border outline="0">
        <left style="thin">
          <color indexed="64"/>
        </left>
        <right style="thin">
          <color indexed="64"/>
        </right>
        <top style="thin">
          <color indexed="64"/>
        </top>
        <bottom style="thin">
          <color indexed="64"/>
        </bottom>
      </border>
    </dxf>
  </rfmt>
  <rfmt sheetId="1" sqref="Q448" start="0" length="0">
    <dxf>
      <border outline="0">
        <left style="thin">
          <color indexed="64"/>
        </left>
        <right style="thin">
          <color indexed="64"/>
        </right>
        <top style="thin">
          <color indexed="64"/>
        </top>
        <bottom style="thin">
          <color indexed="64"/>
        </bottom>
      </border>
    </dxf>
  </rfmt>
  <rfmt sheetId="1" sqref="R448" start="0" length="0">
    <dxf>
      <border outline="0">
        <left style="thin">
          <color indexed="64"/>
        </left>
        <right style="thin">
          <color indexed="64"/>
        </right>
        <top style="thin">
          <color indexed="64"/>
        </top>
        <bottom style="thin">
          <color indexed="64"/>
        </bottom>
      </border>
    </dxf>
  </rfmt>
  <rfmt sheetId="1" sqref="S448" start="0" length="0">
    <dxf>
      <border outline="0">
        <left style="thin">
          <color indexed="64"/>
        </left>
        <right style="thin">
          <color indexed="64"/>
        </right>
        <top style="thin">
          <color indexed="64"/>
        </top>
        <bottom style="thin">
          <color indexed="64"/>
        </bottom>
      </border>
    </dxf>
  </rfmt>
  <rfmt sheetId="1" sqref="T4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U4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V448" start="0" length="0">
    <dxf>
      <border outline="0">
        <left style="thin">
          <color indexed="64"/>
        </left>
        <right style="thin">
          <color indexed="64"/>
        </right>
        <top style="thin">
          <color indexed="64"/>
        </top>
        <bottom style="thin">
          <color indexed="64"/>
        </bottom>
      </border>
    </dxf>
  </rfmt>
  <rfmt sheetId="1" sqref="W4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X4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Y448" start="0" length="0">
    <dxf>
      <border outline="0">
        <left style="thin">
          <color indexed="64"/>
        </left>
        <right style="thin">
          <color indexed="64"/>
        </right>
        <top style="thin">
          <color indexed="64"/>
        </top>
        <bottom style="thin">
          <color indexed="64"/>
        </bottom>
      </border>
    </dxf>
  </rfmt>
  <rfmt sheetId="1" sqref="Z4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AA4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AB448" start="0" length="0">
    <dxf>
      <border outline="0">
        <left style="thin">
          <color indexed="64"/>
        </left>
        <right style="thin">
          <color indexed="64"/>
        </right>
        <top style="thin">
          <color indexed="64"/>
        </top>
        <bottom style="thin">
          <color indexed="64"/>
        </bottom>
      </border>
    </dxf>
  </rfmt>
  <rfmt sheetId="1" sqref="AC4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AD4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AE4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AF448" start="0" length="0">
    <dxf>
      <border outline="0">
        <left style="thin">
          <color indexed="64"/>
        </left>
        <right style="thin">
          <color indexed="64"/>
        </right>
        <top style="thin">
          <color indexed="64"/>
        </top>
        <bottom style="thin">
          <color indexed="64"/>
        </bottom>
      </border>
    </dxf>
  </rfmt>
  <rfmt sheetId="1" sqref="AG448" start="0" length="0">
    <dxf>
      <border outline="0">
        <left style="thin">
          <color indexed="64"/>
        </left>
        <right style="thin">
          <color indexed="64"/>
        </right>
        <top style="thin">
          <color indexed="64"/>
        </top>
        <bottom style="thin">
          <color indexed="64"/>
        </bottom>
      </border>
    </dxf>
  </rfmt>
  <rfmt sheetId="1" sqref="AH448" start="0" length="0">
    <dxf>
      <border outline="0">
        <left style="thin">
          <color indexed="64"/>
        </left>
        <right style="thin">
          <color indexed="64"/>
        </right>
        <top style="thin">
          <color indexed="64"/>
        </top>
        <bottom style="thin">
          <color indexed="64"/>
        </bottom>
      </border>
    </dxf>
  </rfmt>
  <rfmt sheetId="1" sqref="AI448" start="0" length="0">
    <dxf>
      <border outline="0">
        <left style="thin">
          <color indexed="64"/>
        </left>
        <right style="thin">
          <color indexed="64"/>
        </right>
        <top style="thin">
          <color indexed="64"/>
        </top>
        <bottom style="thin">
          <color indexed="64"/>
        </bottom>
      </border>
    </dxf>
  </rfmt>
  <rfmt sheetId="1" sqref="AJ448" start="0" length="0">
    <dxf>
      <border outline="0">
        <left style="thin">
          <color indexed="64"/>
        </left>
        <right style="thin">
          <color indexed="64"/>
        </right>
        <top style="thin">
          <color indexed="64"/>
        </top>
        <bottom style="thin">
          <color indexed="64"/>
        </bottom>
      </border>
    </dxf>
  </rfmt>
  <rfmt sheetId="1" sqref="AK448" start="0" length="0">
    <dxf>
      <border outline="0">
        <left style="thin">
          <color indexed="64"/>
        </left>
        <right style="thin">
          <color indexed="64"/>
        </right>
        <top style="thin">
          <color indexed="64"/>
        </top>
        <bottom style="thin">
          <color indexed="64"/>
        </bottom>
      </border>
    </dxf>
  </rfmt>
  <rfmt sheetId="1" sqref="AL448" start="0" length="0">
    <dxf>
      <border outline="0">
        <left style="thin">
          <color indexed="64"/>
        </left>
        <right style="thin">
          <color indexed="64"/>
        </right>
        <top style="thin">
          <color indexed="64"/>
        </top>
        <bottom style="thin">
          <color indexed="64"/>
        </bottom>
      </border>
    </dxf>
  </rfmt>
</revisions>
</file>

<file path=xl/revisions/revisionLog3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47" start="0" length="0">
    <dxf/>
  </rfmt>
  <rfmt sheetId="1" sqref="B447" start="0" length="0">
    <dxf>
      <fill>
        <patternFill patternType="solid">
          <bgColor rgb="FFFFFF00"/>
        </patternFill>
      </fill>
    </dxf>
  </rfmt>
  <rfmt sheetId="1" sqref="C447" start="0" length="0">
    <dxf>
      <fill>
        <patternFill patternType="solid">
          <bgColor rgb="FFFFFF00"/>
        </patternFill>
      </fill>
    </dxf>
  </rfmt>
  <rfmt sheetId="1" sqref="D447" start="0" length="0">
    <dxf>
      <fill>
        <patternFill patternType="solid">
          <bgColor rgb="FFFFFF00"/>
        </patternFill>
      </fill>
    </dxf>
  </rfmt>
  <rfmt sheetId="1" sqref="E447" start="0" length="0">
    <dxf/>
  </rfmt>
  <rfmt sheetId="1" sqref="F447" start="0" length="0">
    <dxf>
      <fill>
        <patternFill patternType="solid">
          <bgColor rgb="FFFFFF00"/>
        </patternFill>
      </fill>
    </dxf>
  </rfmt>
  <rfmt sheetId="1" sqref="G447" start="0" length="0">
    <dxf>
      <font>
        <sz val="12"/>
        <name val="Trebuchet MS"/>
        <charset val="1"/>
        <scheme val="none"/>
      </font>
    </dxf>
  </rfmt>
  <rfmt sheetId="1" sqref="H447" start="0" length="0">
    <dxf/>
  </rfmt>
  <rfmt sheetId="1" sqref="I447" start="0" length="0">
    <dxf>
      <fill>
        <patternFill patternType="solid">
          <bgColor rgb="FFFFFF00"/>
        </patternFill>
      </fill>
    </dxf>
  </rfmt>
  <rfmt sheetId="1" sqref="J447" start="0" length="0">
    <dxf/>
  </rfmt>
  <rfmt sheetId="1" sqref="K447" start="0" length="0">
    <dxf>
      <fill>
        <patternFill patternType="solid">
          <bgColor theme="0"/>
        </patternFill>
      </fill>
    </dxf>
  </rfmt>
  <rfmt sheetId="1" sqref="L447" start="0" length="0">
    <dxf>
      <fill>
        <patternFill patternType="solid">
          <bgColor theme="0"/>
        </patternFill>
      </fill>
    </dxf>
  </rfmt>
  <rcc rId="3608" sId="1" odxf="1" dxf="1">
    <oc r="M447">
      <f>S447/AE447*100</f>
    </oc>
    <nc r="M447">
      <f>S447/AE447*100</f>
    </nc>
    <odxf/>
    <ndxf/>
  </rcc>
  <rfmt sheetId="1" sqref="N447" start="0" length="0">
    <dxf/>
  </rfmt>
  <rfmt sheetId="1" sqref="O447" start="0" length="0">
    <dxf/>
  </rfmt>
  <rfmt sheetId="1" sqref="P447" start="0" length="0">
    <dxf/>
  </rfmt>
  <rfmt sheetId="1" sqref="Q447" start="0" length="0">
    <dxf/>
  </rfmt>
  <rfmt sheetId="1" sqref="R447" start="0" length="0">
    <dxf/>
  </rfmt>
  <rcc rId="3609" sId="1" odxf="1" dxf="1">
    <oc r="S447">
      <f>T447+U447</f>
    </oc>
    <nc r="S447">
      <f>T447+U447</f>
    </nc>
    <odxf/>
    <ndxf/>
  </rcc>
  <rfmt sheetId="1" sqref="T447" start="0" length="0">
    <dxf>
      <fill>
        <patternFill patternType="solid">
          <bgColor rgb="FFFFFF00"/>
        </patternFill>
      </fill>
    </dxf>
  </rfmt>
  <rfmt sheetId="1" sqref="U447" start="0" length="0">
    <dxf>
      <fill>
        <patternFill patternType="solid">
          <bgColor rgb="FFFFFF00"/>
        </patternFill>
      </fill>
    </dxf>
  </rfmt>
  <rcc rId="3610" sId="1" odxf="1" dxf="1">
    <oc r="V447">
      <f>W447+X447</f>
    </oc>
    <nc r="V447">
      <f>W447+X447</f>
    </nc>
    <odxf/>
    <ndxf/>
  </rcc>
  <rfmt sheetId="1" sqref="W447" start="0" length="0">
    <dxf>
      <fill>
        <patternFill patternType="solid">
          <bgColor rgb="FFFFFF00"/>
        </patternFill>
      </fill>
    </dxf>
  </rfmt>
  <rfmt sheetId="1" sqref="X447" start="0" length="0">
    <dxf>
      <fill>
        <patternFill patternType="solid">
          <bgColor rgb="FFFFFF00"/>
        </patternFill>
      </fill>
    </dxf>
  </rfmt>
  <rcc rId="3611" sId="1" odxf="1" dxf="1">
    <oc r="Y447">
      <f>Z447+AA447</f>
    </oc>
    <nc r="Y447">
      <f>Z447+AA447</f>
    </nc>
    <odxf/>
    <ndxf/>
  </rcc>
  <rfmt sheetId="1" sqref="Z447" start="0" length="0">
    <dxf>
      <fill>
        <patternFill patternType="solid">
          <bgColor rgb="FFFFFF00"/>
        </patternFill>
      </fill>
    </dxf>
  </rfmt>
  <rfmt sheetId="1" sqref="AA447" start="0" length="0">
    <dxf>
      <fill>
        <patternFill patternType="solid">
          <bgColor rgb="FFFFFF00"/>
        </patternFill>
      </fill>
    </dxf>
  </rfmt>
  <rcc rId="3612" sId="1" odxf="1" dxf="1">
    <oc r="AB447">
      <f>AC447+AD447</f>
    </oc>
    <nc r="AB447">
      <f>AC447+AD447</f>
    </nc>
    <odxf/>
    <ndxf/>
  </rcc>
  <rfmt sheetId="1" sqref="AC447" start="0" length="0">
    <dxf>
      <fill>
        <patternFill patternType="solid">
          <bgColor rgb="FFFFFF00"/>
        </patternFill>
      </fill>
    </dxf>
  </rfmt>
  <rfmt sheetId="1" sqref="AD447" start="0" length="0">
    <dxf>
      <fill>
        <patternFill patternType="solid">
          <bgColor rgb="FFFFFF00"/>
        </patternFill>
      </fill>
    </dxf>
  </rfmt>
  <rcc rId="3613" sId="1" odxf="1" dxf="1">
    <oc r="AE447">
      <f>S447+V447+Y447+AB447</f>
    </oc>
    <nc r="AE447">
      <f>S447+V447+Y447+AB447</f>
    </nc>
    <odxf>
      <fill>
        <patternFill patternType="none">
          <bgColor indexed="65"/>
        </patternFill>
      </fill>
    </odxf>
    <ndxf>
      <fill>
        <patternFill patternType="solid">
          <bgColor theme="0"/>
        </patternFill>
      </fill>
    </ndxf>
  </rcc>
  <rfmt sheetId="1" sqref="AF447" start="0" length="0">
    <dxf/>
  </rfmt>
  <rcc rId="3614" sId="1" odxf="1" dxf="1">
    <oc r="AG447">
      <f>AE447+AF447</f>
    </oc>
    <nc r="AG447">
      <f>AE447+AF447</f>
    </nc>
    <odxf/>
    <ndxf/>
  </rcc>
  <rcc rId="3615" sId="1" odxf="1" dxf="1">
    <oc r="AH447">
      <f>AH445</f>
    </oc>
    <nc r="AH447">
      <f>AH445</f>
    </nc>
    <odxf/>
    <ndxf/>
  </rcc>
  <rfmt sheetId="1" sqref="AI447" start="0" length="0">
    <dxf/>
  </rfmt>
  <rfmt sheetId="1" sqref="AJ447" start="0" length="0">
    <dxf/>
  </rfmt>
  <rfmt sheetId="1" sqref="AK447" start="0" length="0">
    <dxf/>
  </rfmt>
  <rfmt sheetId="1" sqref="AL447" start="0" length="0">
    <dxf/>
  </rfmt>
  <rfmt sheetId="1" sqref="A448" start="0" length="0">
    <dxf/>
  </rfmt>
  <rfmt sheetId="1" sqref="B448" start="0" length="0">
    <dxf>
      <fill>
        <patternFill patternType="solid">
          <bgColor rgb="FFFFFF00"/>
        </patternFill>
      </fill>
    </dxf>
  </rfmt>
  <rfmt sheetId="1" sqref="C448" start="0" length="0">
    <dxf>
      <fill>
        <patternFill patternType="solid">
          <bgColor rgb="FFFFFF00"/>
        </patternFill>
      </fill>
    </dxf>
  </rfmt>
  <rfmt sheetId="1" sqref="D448" start="0" length="0">
    <dxf>
      <fill>
        <patternFill patternType="solid">
          <bgColor rgb="FFFFFF00"/>
        </patternFill>
      </fill>
    </dxf>
  </rfmt>
  <rfmt sheetId="1" sqref="E448" start="0" length="0">
    <dxf/>
  </rfmt>
  <rfmt sheetId="1" sqref="F448" start="0" length="0">
    <dxf>
      <fill>
        <patternFill patternType="solid">
          <bgColor rgb="FFFFFF00"/>
        </patternFill>
      </fill>
    </dxf>
  </rfmt>
  <rcc rId="3616" sId="1" odxf="1" dxf="1">
    <nc r="G448" t="inlineStr">
      <is>
        <t>POLISE - Implementarea de politici și instrumente moderne pentru selectia si evaluarea resurselor umane în Serviciul de Protecție si Pază</t>
      </is>
    </nc>
    <ndxf>
      <font>
        <sz val="12"/>
        <name val="Trebuchet MS"/>
        <charset val="1"/>
        <scheme val="none"/>
      </font>
    </ndxf>
  </rcc>
  <rcc rId="3617" sId="1" odxf="1" dxf="1">
    <nc r="H448" t="inlineStr">
      <is>
        <t>SERVICIUL DE PROTECŢIE ŞI PAZĂ - U.M. 0149 BUCUREŞTI</t>
      </is>
    </nc>
    <ndxf/>
  </rcc>
  <rcc rId="3618" sId="1" odxf="1" dxf="1">
    <nc r="I448" t="inlineStr">
      <is>
        <t>n.a</t>
      </is>
    </nc>
    <ndxf>
      <fill>
        <patternFill patternType="solid">
          <bgColor rgb="FFFFFF00"/>
        </patternFill>
      </fill>
    </ndxf>
  </rcc>
  <rfmt sheetId="1" sqref="J448" start="0" length="0">
    <dxf/>
  </rfmt>
  <rfmt sheetId="1" sqref="K448" start="0" length="0">
    <dxf>
      <fill>
        <patternFill patternType="solid">
          <bgColor theme="0"/>
        </patternFill>
      </fill>
    </dxf>
  </rfmt>
  <rfmt sheetId="1" sqref="L448" start="0" length="0">
    <dxf>
      <fill>
        <patternFill patternType="solid">
          <bgColor theme="0"/>
        </patternFill>
      </fill>
    </dxf>
  </rfmt>
  <rfmt sheetId="1" sqref="M448" start="0" length="0">
    <dxf/>
  </rfmt>
  <rfmt sheetId="1" sqref="N448" start="0" length="0">
    <dxf/>
  </rfmt>
  <rfmt sheetId="1" sqref="O448" start="0" length="0">
    <dxf/>
  </rfmt>
  <rfmt sheetId="1" sqref="P448" start="0" length="0">
    <dxf/>
  </rfmt>
  <rfmt sheetId="1" sqref="Q448" start="0" length="0">
    <dxf/>
  </rfmt>
  <rfmt sheetId="1" sqref="R448" start="0" length="0">
    <dxf/>
  </rfmt>
  <rfmt sheetId="1" sqref="S448" start="0" length="0">
    <dxf/>
  </rfmt>
  <rfmt sheetId="1" sqref="T448" start="0" length="0">
    <dxf>
      <fill>
        <patternFill patternType="solid">
          <bgColor rgb="FFFFFF00"/>
        </patternFill>
      </fill>
    </dxf>
  </rfmt>
  <rfmt sheetId="1" sqref="U448" start="0" length="0">
    <dxf>
      <fill>
        <patternFill patternType="solid">
          <bgColor rgb="FFFFFF00"/>
        </patternFill>
      </fill>
    </dxf>
  </rfmt>
  <rfmt sheetId="1" sqref="V448" start="0" length="0">
    <dxf/>
  </rfmt>
  <rfmt sheetId="1" sqref="W448" start="0" length="0">
    <dxf>
      <fill>
        <patternFill patternType="solid">
          <bgColor rgb="FFFFFF00"/>
        </patternFill>
      </fill>
    </dxf>
  </rfmt>
  <rfmt sheetId="1" sqref="X448" start="0" length="0">
    <dxf>
      <fill>
        <patternFill patternType="solid">
          <bgColor rgb="FFFFFF00"/>
        </patternFill>
      </fill>
    </dxf>
  </rfmt>
  <rfmt sheetId="1" sqref="Y448" start="0" length="0">
    <dxf/>
  </rfmt>
  <rfmt sheetId="1" sqref="Z448" start="0" length="0">
    <dxf>
      <fill>
        <patternFill patternType="solid">
          <bgColor rgb="FFFFFF00"/>
        </patternFill>
      </fill>
    </dxf>
  </rfmt>
  <rfmt sheetId="1" sqref="AA448" start="0" length="0">
    <dxf>
      <fill>
        <patternFill patternType="solid">
          <bgColor rgb="FFFFFF00"/>
        </patternFill>
      </fill>
    </dxf>
  </rfmt>
  <rfmt sheetId="1" sqref="AB448" start="0" length="0">
    <dxf/>
  </rfmt>
  <rfmt sheetId="1" sqref="AC448" start="0" length="0">
    <dxf>
      <fill>
        <patternFill patternType="solid">
          <bgColor rgb="FFFFFF00"/>
        </patternFill>
      </fill>
    </dxf>
  </rfmt>
  <rfmt sheetId="1" sqref="AD448" start="0" length="0">
    <dxf>
      <fill>
        <patternFill patternType="solid">
          <bgColor rgb="FFFFFF00"/>
        </patternFill>
      </fill>
    </dxf>
  </rfmt>
  <rfmt sheetId="1" sqref="AE448" start="0" length="0">
    <dxf>
      <fill>
        <patternFill patternType="solid">
          <bgColor theme="0"/>
        </patternFill>
      </fill>
    </dxf>
  </rfmt>
  <rfmt sheetId="1" sqref="AF448" start="0" length="0">
    <dxf/>
  </rfmt>
  <rfmt sheetId="1" sqref="AG448" start="0" length="0">
    <dxf/>
  </rfmt>
  <rfmt sheetId="1" sqref="AH448" start="0" length="0">
    <dxf/>
  </rfmt>
  <rfmt sheetId="1" sqref="AI448" start="0" length="0">
    <dxf/>
  </rfmt>
  <rfmt sheetId="1" sqref="AJ448" start="0" length="0">
    <dxf/>
  </rfmt>
  <rfmt sheetId="1" sqref="AK448" start="0" length="0">
    <dxf/>
  </rfmt>
  <rfmt sheetId="1" sqref="AL448" start="0" length="0">
    <dxf/>
  </rfmt>
  <rcv guid="{7C1B4D6D-D666-48DD-AB17-E00791B6F0B6}" action="delete"/>
  <rdn rId="0" localSheetId="1" customView="1" name="Z_7C1B4D6D_D666_48DD_AB17_E00791B6F0B6_.wvu.PrintArea" hidden="1" oldHidden="1">
    <formula>Sheet1!$A$1:$AL$484</formula>
    <oldFormula>Sheet1!$A$1:$AL$484</oldFormula>
  </rdn>
  <rdn rId="0" localSheetId="1" customView="1" name="Z_7C1B4D6D_D666_48DD_AB17_E00791B6F0B6_.wvu.FilterData" hidden="1" oldHidden="1">
    <formula>Sheet1!$A$6:$DG$451</formula>
    <oldFormula>Sheet1!$A$6:$DG$451</oldFormula>
  </rdn>
  <rcv guid="{7C1B4D6D-D666-48DD-AB17-E00791B6F0B6}" action="add"/>
</revisions>
</file>

<file path=xl/revisions/revisionLog3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21" sId="1">
    <nc r="N448" t="inlineStr">
      <is>
        <t xml:space="preserve"> Proiect cu acoperire națională</t>
      </is>
    </nc>
  </rcc>
  <rcc rId="3622" sId="1">
    <nc r="O448" t="inlineStr">
      <is>
        <t>București</t>
      </is>
    </nc>
  </rcc>
  <rcc rId="3623" sId="1">
    <nc r="P448" t="inlineStr">
      <is>
        <t>Bucuresti</t>
      </is>
    </nc>
  </rcc>
  <rcc rId="3624" sId="1">
    <nc r="Q448" t="inlineStr">
      <is>
        <t>APC</t>
      </is>
    </nc>
  </rcc>
  <rcc rId="3625" sId="1">
    <nc r="R448" t="inlineStr">
      <is>
        <t>119 - Investiții în capacitatea instituțională și în eficiența administrațiilor și a serviciilor publice la nivel național, regional și local, în perspectiva realizării de reforme, a unei mai bune legiferări și a bunei guvernanțe</t>
      </is>
    </nc>
  </rcc>
  <rcc rId="3626" sId="1" numFmtId="19">
    <nc r="K448">
      <v>43663</v>
    </nc>
  </rcc>
</revisions>
</file>

<file path=xl/revisions/revisionLog3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27" sId="1" numFmtId="19">
    <nc r="L448">
      <v>44759</v>
    </nc>
  </rcc>
  <rcc rId="3628" sId="1">
    <nc r="M448">
      <f>S448/AE448*100</f>
    </nc>
  </rcc>
</revisions>
</file>

<file path=xl/revisions/revisionLog3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29" sId="1">
    <nc r="S448">
      <f>T448+U448</f>
    </nc>
  </rcc>
  <rcc rId="3630" sId="1" numFmtId="4">
    <nc r="T448">
      <v>16477397.119999995</v>
    </nc>
  </rcc>
  <rcc rId="3631" sId="1" numFmtId="4">
    <nc r="U448">
      <v>3955556.8200000003</v>
    </nc>
  </rcc>
</revisions>
</file>

<file path=xl/revisions/revisionLog3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32" sId="1" numFmtId="4">
    <nc r="W448">
      <v>0</v>
    </nc>
  </rcc>
  <rcc rId="3633" sId="1" numFmtId="4">
    <nc r="X448">
      <v>0</v>
    </nc>
  </rcc>
  <rcc rId="3634" sId="1">
    <nc r="V448">
      <f>W448+X448</f>
    </nc>
  </rcc>
  <rcc rId="3635" sId="1">
    <nc r="Y448">
      <f>Z448+AA448</f>
    </nc>
  </rcc>
  <rcc rId="3636" sId="1" numFmtId="4">
    <nc r="Z448">
      <v>2907775.95</v>
    </nc>
  </rcc>
  <rcc rId="3637" sId="1" numFmtId="4">
    <nc r="AA448">
      <v>988889.19</v>
    </nc>
  </rcc>
  <rcc rId="3638" sId="1" numFmtId="4">
    <nc r="AC448">
      <v>0</v>
    </nc>
  </rcc>
  <rcc rId="3639" sId="1" numFmtId="4">
    <nc r="AD448">
      <v>0</v>
    </nc>
  </rcc>
  <rcc rId="3640" sId="1">
    <nc r="AB448">
      <f>AC448+AD448</f>
    </nc>
  </rcc>
  <rcc rId="3641" sId="1">
    <nc r="AE448">
      <f>S448+V448+Y448+AB448</f>
    </nc>
  </rcc>
  <rcc rId="3642" sId="1" numFmtId="4">
    <nc r="AF448">
      <v>631784.67000000004</v>
    </nc>
  </rcc>
  <rcc rId="3643" sId="1">
    <nc r="AG448">
      <f>AE448+AF448</f>
    </nc>
  </rcc>
  <rcc rId="3644" sId="1">
    <nc r="AH448">
      <f>AH446</f>
    </nc>
  </rcc>
  <rcc rId="3645" sId="1">
    <nc r="AI448" t="inlineStr">
      <is>
        <t>n.a</t>
      </is>
    </nc>
  </rcc>
  <rcv guid="{7C1B4D6D-D666-48DD-AB17-E00791B6F0B6}" action="delete"/>
  <rdn rId="0" localSheetId="1" customView="1" name="Z_7C1B4D6D_D666_48DD_AB17_E00791B6F0B6_.wvu.PrintArea" hidden="1" oldHidden="1">
    <formula>Sheet1!$A$1:$AL$484</formula>
    <oldFormula>Sheet1!$A$1:$AL$484</oldFormula>
  </rdn>
  <rdn rId="0" localSheetId="1" customView="1" name="Z_7C1B4D6D_D666_48DD_AB17_E00791B6F0B6_.wvu.FilterData" hidden="1" oldHidden="1">
    <formula>Sheet1!$A$6:$DG$451</formula>
    <oldFormula>Sheet1!$A$6:$DG$451</oldFormula>
  </rdn>
  <rcv guid="{7C1B4D6D-D666-48DD-AB17-E00791B6F0B6}" action="add"/>
</revisions>
</file>

<file path=xl/revisions/revisionLog3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48" sId="1">
    <nc r="J448" t="inlineStr">
      <is>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is>
    </nc>
  </rcc>
</revisions>
</file>

<file path=xl/revisions/revisionLog3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Sheet1!$A$1:$AL$484</formula>
    <oldFormula>Sheet1!$A$1:$AL$484</oldFormula>
  </rdn>
  <rdn rId="0" localSheetId="1" customView="1" name="Z_7C1B4D6D_D666_48DD_AB17_E00791B6F0B6_.wvu.FilterData" hidden="1" oldHidden="1">
    <formula>Sheet1!$A$6:$DG$451</formula>
    <oldFormula>Sheet1!$A$6:$DG$451</oldFormula>
  </rdn>
  <rcv guid="{7C1B4D6D-D666-48DD-AB17-E00791B6F0B6}" action="add"/>
</revisions>
</file>

<file path=xl/revisions/revisionLog3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Sheet1!$A$1:$AL$484</formula>
    <oldFormula>Sheet1!$A$1:$AL$484</oldFormula>
  </rdn>
  <rdn rId="0" localSheetId="1" customView="1" name="Z_7C1B4D6D_D666_48DD_AB17_E00791B6F0B6_.wvu.FilterData" hidden="1" oldHidden="1">
    <formula>Sheet1!$A$6:$DG$451</formula>
    <oldFormula>Sheet1!$A$6:$DG$451</oldFormula>
  </rdn>
  <rcv guid="{7C1B4D6D-D666-48DD-AB17-E00791B6F0B6}"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97" sId="1">
    <oc r="D467">
      <f>SUM(D455:D465)</f>
    </oc>
    <nc r="D467">
      <f>SUM(D455:D466)</f>
    </nc>
  </rcc>
</revisions>
</file>

<file path=xl/revisions/revisionLog3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53" sId="1">
    <oc r="AH97" t="inlineStr">
      <is>
        <t>in implementare</t>
      </is>
    </oc>
    <nc r="AH97" t="inlineStr">
      <is>
        <t>în implementare</t>
      </is>
    </nc>
  </rcc>
  <rcv guid="{7C1B4D6D-D666-48DD-AB17-E00791B6F0B6}" action="delete"/>
  <rdn rId="0" localSheetId="1" customView="1" name="Z_7C1B4D6D_D666_48DD_AB17_E00791B6F0B6_.wvu.PrintArea" hidden="1" oldHidden="1">
    <formula>Sheet1!$A$1:$AL$484</formula>
    <oldFormula>Sheet1!$A$1:$AL$484</oldFormula>
  </rdn>
  <rdn rId="0" localSheetId="1" customView="1" name="Z_7C1B4D6D_D666_48DD_AB17_E00791B6F0B6_.wvu.FilterData" hidden="1" oldHidden="1">
    <formula>Sheet1!$A$6:$DG$451</formula>
    <oldFormula>Sheet1!$A$6:$DG$451</oldFormula>
  </rdn>
  <rcv guid="{7C1B4D6D-D666-48DD-AB17-E00791B6F0B6}" action="add"/>
</revisions>
</file>

<file path=xl/revisions/revisionLog3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656" sId="1" ref="A448:XFD448" action="insertRow">
    <undo index="65535" exp="area" ref3D="1" dr="$H$1:$N$1048576" dn="Z_65B035E3_87FA_46C5_996E_864F2C8D0EBC_.wvu.Cols" sId="1"/>
  </rrc>
  <rcc rId="3657" sId="1">
    <nc r="B448">
      <v>129745</v>
    </nc>
  </rcc>
  <rcc rId="3658" sId="1">
    <nc r="C448">
      <v>745</v>
    </nc>
  </rcc>
  <rcc rId="3659" sId="1">
    <nc r="D448" t="inlineStr">
      <is>
        <t>MP</t>
      </is>
    </nc>
  </rcc>
  <rcc rId="3660" sId="1">
    <nc r="E448" t="inlineStr">
      <is>
        <t xml:space="preserve">AP1/11i /1.2 </t>
      </is>
    </nc>
  </rcc>
  <rcc rId="3661" sId="1">
    <nc r="F448" t="inlineStr">
      <is>
        <t>IP15/2019
(MySMIS: 
POCA/ 535/1/2 )</t>
      </is>
    </nc>
  </rcc>
  <rcc rId="3662" sId="1">
    <nc r="G448" t="inlineStr">
      <is>
        <t>POLISE - Implementarea de politici și instrumente moderne pentru selectia si evaluarea resurselor umane în Serviciul de Protecție si Pază</t>
      </is>
    </nc>
  </rcc>
  <rcc rId="3663" sId="1">
    <nc r="H448" t="inlineStr">
      <is>
        <t>SERVICIUL DE PROTECŢIE ŞI PAZĂ - U.M. 0149 BUCUREŞTI</t>
      </is>
    </nc>
  </rcc>
  <rcc rId="3664" sId="1">
    <nc r="I448" t="inlineStr">
      <is>
        <t>n.a</t>
      </is>
    </nc>
  </rcc>
  <rcc rId="3665" sId="1">
    <nc r="J448" t="inlineStr">
      <is>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is>
    </nc>
  </rcc>
  <rcc rId="3666" sId="1" numFmtId="19">
    <nc r="K448">
      <v>43663</v>
    </nc>
  </rcc>
  <rcc rId="3667" sId="1" numFmtId="19">
    <nc r="L448">
      <v>44759</v>
    </nc>
  </rcc>
  <rcc rId="3668" sId="1">
    <nc r="M448">
      <f>S448/AE448*100</f>
    </nc>
  </rcc>
  <rcc rId="3669" sId="1">
    <nc r="N448" t="inlineStr">
      <is>
        <t xml:space="preserve"> Proiect cu acoperire națională</t>
      </is>
    </nc>
  </rcc>
  <rcc rId="3670" sId="1">
    <nc r="O448" t="inlineStr">
      <is>
        <t>București</t>
      </is>
    </nc>
  </rcc>
  <rcc rId="3671" sId="1">
    <nc r="P448" t="inlineStr">
      <is>
        <t>Bucuresti</t>
      </is>
    </nc>
  </rcc>
  <rcc rId="3672" sId="1">
    <nc r="Q448" t="inlineStr">
      <is>
        <t>APC</t>
      </is>
    </nc>
  </rcc>
  <rcc rId="3673" sId="1">
    <nc r="R448" t="inlineStr">
      <is>
        <t>119 - Investiții în capacitatea instituțională și în eficiența administrațiilor și a serviciilor publice la nivel național, regional și local, în perspectiva realizării de reforme, a unei mai bune legiferări și a bunei guvernanțe</t>
      </is>
    </nc>
  </rcc>
  <rcc rId="3674" sId="1">
    <nc r="S448">
      <f>T448+U448</f>
    </nc>
  </rcc>
  <rcc rId="3675" sId="1" numFmtId="4">
    <nc r="T448">
      <v>16477397.119999995</v>
    </nc>
  </rcc>
  <rcc rId="3676" sId="1" numFmtId="4">
    <nc r="U448">
      <v>3955556.8200000003</v>
    </nc>
  </rcc>
  <rcc rId="3677" sId="1">
    <nc r="V448">
      <f>W448+X448</f>
    </nc>
  </rcc>
  <rcc rId="3678" sId="1" numFmtId="4">
    <nc r="W448">
      <v>0</v>
    </nc>
  </rcc>
  <rcc rId="3679" sId="1" numFmtId="4">
    <nc r="X448">
      <v>0</v>
    </nc>
  </rcc>
  <rcc rId="3680" sId="1">
    <nc r="Y448">
      <f>Z448+AA448</f>
    </nc>
  </rcc>
  <rcc rId="3681" sId="1" numFmtId="4">
    <nc r="Z448">
      <v>2907775.95</v>
    </nc>
  </rcc>
  <rcc rId="3682" sId="1" numFmtId="4">
    <nc r="AA448">
      <v>988889.19</v>
    </nc>
  </rcc>
  <rcc rId="3683" sId="1">
    <nc r="AB448">
      <f>AC448+AD448</f>
    </nc>
  </rcc>
  <rcc rId="3684" sId="1" numFmtId="4">
    <nc r="AC448">
      <v>0</v>
    </nc>
  </rcc>
  <rcc rId="3685" sId="1" numFmtId="4">
    <nc r="AD448">
      <v>0</v>
    </nc>
  </rcc>
  <rcc rId="3686" sId="1">
    <nc r="AE448">
      <f>S448+V448+Y448+AB448</f>
    </nc>
  </rcc>
  <rcc rId="3687" sId="1" numFmtId="4">
    <nc r="AF448">
      <v>631784.67000000004</v>
    </nc>
  </rcc>
  <rcc rId="3688" sId="1">
    <nc r="AG448">
      <f>AE448+AF448</f>
    </nc>
  </rcc>
  <rcc rId="3689" sId="1">
    <nc r="AH448">
      <f>AH445</f>
    </nc>
  </rcc>
  <rcc rId="3690" sId="1">
    <nc r="AI448" t="inlineStr">
      <is>
        <t>n.a</t>
      </is>
    </nc>
  </rcc>
  <rcc rId="3691" sId="1">
    <nc r="A448">
      <v>197</v>
    </nc>
  </rcc>
  <rcc rId="3692" sId="1">
    <nc r="A449">
      <v>198</v>
    </nc>
  </rcc>
  <rcc rId="3693" sId="1">
    <oc r="B449">
      <v>129745</v>
    </oc>
    <nc r="B449">
      <v>127604</v>
    </nc>
  </rcc>
  <rcc rId="3694" sId="1">
    <oc r="C449">
      <v>745</v>
    </oc>
    <nc r="C449">
      <v>587</v>
    </nc>
  </rcc>
  <rcc rId="3695" sId="1">
    <oc r="D449" t="inlineStr">
      <is>
        <t>MP</t>
      </is>
    </oc>
    <nc r="D449" t="inlineStr">
      <is>
        <t>MM</t>
      </is>
    </nc>
  </rcc>
  <rcc rId="3696" sId="1">
    <oc r="E449" t="inlineStr">
      <is>
        <t xml:space="preserve">AP1/11i /1.2 </t>
      </is>
    </oc>
    <nc r="E449" t="inlineStr">
      <is>
        <t xml:space="preserve">AP1/11i /1.1 </t>
      </is>
    </nc>
  </rcc>
  <rcc rId="3697" sId="1">
    <oc r="F449" t="inlineStr">
      <is>
        <t>IP15/2019
(MySMIS: 
POCA/ 535/1/2 )</t>
      </is>
    </oc>
    <nc r="F449" t="inlineStr">
      <is>
        <t>IP14/2019
(MySMIS: 
POCA/ 535/1/1 )</t>
      </is>
    </nc>
  </rcc>
  <rcc rId="3698" sId="1">
    <oc r="G449" t="inlineStr">
      <is>
        <t>POLISE - Implementarea de politici și instrumente moderne pentru selectia si evaluarea resurselor umane în Serviciul de Protecție si Pază</t>
      </is>
    </oc>
    <nc r="G449" t="inlineStr">
      <is>
        <t>Consolidarea capacității ISC de a-și exercita competențele într-un mod unitar, eficient și eficace</t>
      </is>
    </nc>
  </rcc>
  <rfmt sheetId="1" sqref="H449" start="0" length="0">
    <dxf>
      <font>
        <sz val="11"/>
        <color theme="1"/>
        <name val="Calibri"/>
        <family val="2"/>
        <charset val="238"/>
        <scheme val="minor"/>
      </font>
      <alignment horizontal="general" vertical="bottom" wrapText="0"/>
      <border outline="0">
        <left/>
        <right/>
        <top/>
        <bottom/>
      </border>
    </dxf>
  </rfmt>
  <rcc rId="3699" sId="1" xfDxf="1" dxf="1">
    <oc r="H449" t="inlineStr">
      <is>
        <t>SERVICIUL DE PROTECŢIE ŞI PAZĂ - U.M. 0149 BUCUREŞTI</t>
      </is>
    </oc>
    <nc r="H449" t="inlineStr">
      <is>
        <t>Inspectoratul de Stat în Construcții</t>
      </is>
    </nc>
    <ndxf>
      <font>
        <b/>
        <name val="Trebuchet MS"/>
        <scheme val="none"/>
      </font>
    </ndxf>
  </rcc>
  <rfmt sheetId="1" sqref="H449">
    <dxf>
      <alignment wrapText="1"/>
    </dxf>
  </rfmt>
  <rfmt sheetId="1" sqref="H449">
    <dxf>
      <alignment vertical="center"/>
    </dxf>
  </rfmt>
  <rfmt sheetId="1" sqref="H449" start="0" length="2147483647">
    <dxf>
      <font>
        <b val="0"/>
      </font>
    </dxf>
  </rfmt>
  <rcc rId="3700" sId="1">
    <oc r="J449" t="inlineStr">
      <is>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is>
    </oc>
    <nc r="J449" t="inlineStr">
      <is>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construcț+J482ii</t>
      </is>
    </nc>
  </rcc>
  <rcc rId="3701" sId="1" numFmtId="19">
    <oc r="L449">
      <v>44759</v>
    </oc>
    <nc r="L449">
      <v>44578</v>
    </nc>
  </rcc>
  <rfmt sheetId="1" sqref="H449" start="0" length="0">
    <dxf>
      <border>
        <left style="thin">
          <color indexed="64"/>
        </left>
        <right style="thin">
          <color indexed="64"/>
        </right>
        <top style="thin">
          <color indexed="64"/>
        </top>
        <bottom style="thin">
          <color indexed="64"/>
        </bottom>
      </border>
    </dxf>
  </rfmt>
  <rcc rId="3702" sId="1" numFmtId="4">
    <oc r="U449">
      <v>3955556.8200000003</v>
    </oc>
    <nc r="U449">
      <v>1786280.24</v>
    </nc>
  </rcc>
  <rcc rId="3703" sId="1" numFmtId="4">
    <oc r="T449">
      <v>16477397.119999995</v>
    </oc>
    <nc r="T449">
      <v>7440987.5499999998</v>
    </nc>
  </rcc>
  <rcc rId="3704" sId="1" numFmtId="4">
    <oc r="W449">
      <v>0</v>
    </oc>
    <nc r="W449">
      <v>1138033.3600000001</v>
    </nc>
  </rcc>
  <rcc rId="3705" sId="1" numFmtId="4">
    <oc r="X449">
      <v>0</v>
    </oc>
    <nc r="X449">
      <v>401913.08</v>
    </nc>
  </rcc>
  <rcc rId="3706" sId="1" numFmtId="4">
    <oc r="Z449">
      <v>2907775.95</v>
    </oc>
    <nc r="Z449">
      <v>175082.08</v>
    </nc>
  </rcc>
  <rcc rId="3707" sId="1" numFmtId="4">
    <oc r="AA449">
      <v>988889.19</v>
    </oc>
    <nc r="AA449">
      <v>44656.99</v>
    </nc>
  </rcc>
  <rcc rId="3708" sId="1" numFmtId="4">
    <oc r="AF449">
      <v>631784.67000000004</v>
    </oc>
    <nc r="AF449"/>
  </rcc>
  <rcc rId="3709" sId="1">
    <oc r="AG449">
      <f>AE449+AF449</f>
    </oc>
    <nc r="AG449"/>
  </rcc>
  <rcv guid="{65C35D6D-934F-4431-BA92-90255FC17BA4}" action="delete"/>
  <rdn rId="0" localSheetId="1" customView="1" name="Z_65C35D6D_934F_4431_BA92_90255FC17BA4_.wvu.PrintArea" hidden="1" oldHidden="1">
    <formula>Sheet1!$A$1:$AL$485</formula>
    <oldFormula>Sheet1!$A$1:$AL$485</oldFormula>
  </rdn>
  <rdn rId="0" localSheetId="1" customView="1" name="Z_65C35D6D_934F_4431_BA92_90255FC17BA4_.wvu.FilterData" hidden="1" oldHidden="1">
    <formula>Sheet1!$A$1:$AL$85</formula>
    <oldFormula>Sheet1!$A$1:$AL$85</oldFormula>
  </rdn>
  <rcv guid="{65C35D6D-934F-4431-BA92-90255FC17BA4}" action="add"/>
</revisions>
</file>

<file path=xl/revisions/revisionLog3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12" sId="1">
    <nc r="D463">
      <f>COUNTIFS(F$7:F$453,$F463)</f>
    </nc>
  </rcc>
</revisions>
</file>

<file path=xl/revisions/revisionLog3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Sheet1!$A$1:$AL$485</formula>
    <oldFormula>Sheet1!$A$1:$AL$485</oldFormula>
  </rdn>
  <rdn rId="0" localSheetId="1" customView="1" name="Z_7C1B4D6D_D666_48DD_AB17_E00791B6F0B6_.wvu.FilterData" hidden="1" oldHidden="1">
    <formula>Sheet1!$A$6:$DG$452</formula>
    <oldFormula>Sheet1!$A$6:$DG$452</oldFormula>
  </rdn>
  <rcv guid="{7C1B4D6D-D666-48DD-AB17-E00791B6F0B6}" action="add"/>
</revisions>
</file>

<file path=xl/revisions/revisionLog3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15" sId="1" odxf="1" dxf="1">
    <oc r="F449" t="inlineStr">
      <is>
        <t>IP14/2019
(MySMIS: 
POCA/ 535/1/1 )</t>
      </is>
    </oc>
    <nc r="F449" t="inlineStr">
      <is>
        <t>IP12/2018
(MySMIS: 
POCA/ 399/1/1)</t>
      </is>
    </nc>
    <odxf>
      <font>
        <b val="0"/>
        <sz val="12"/>
      </font>
      <alignment horizontal="general"/>
    </odxf>
    <ndxf>
      <font>
        <b/>
        <sz val="12"/>
      </font>
      <alignment horizontal="left"/>
    </ndxf>
  </rcc>
  <rfmt sheetId="1" sqref="F449" start="0" length="2147483647">
    <dxf>
      <font>
        <b val="0"/>
      </font>
    </dxf>
  </rfmt>
  <rcv guid="{36624B2D-80F9-4F79-AC4A-B3547C36F23F}" action="delete"/>
  <rdn rId="0" localSheetId="1" customView="1" name="Z_36624B2D_80F9_4F79_AC4A_B3547C36F23F_.wvu.PrintArea" hidden="1" oldHidden="1">
    <formula>Sheet1!$A$1:$AL$485</formula>
    <oldFormula>Sheet1!$A$1:$AL$485</oldFormula>
  </rdn>
  <rdn rId="0" localSheetId="1" customView="1" name="Z_36624B2D_80F9_4F79_AC4A_B3547C36F23F_.wvu.FilterData" hidden="1" oldHidden="1">
    <formula>Sheet1!$A$1:$AL$452</formula>
    <oldFormula>Sheet1!$A$1:$AL$452</oldFormula>
  </rdn>
  <rcv guid="{36624B2D-80F9-4F79-AC4A-B3547C36F23F}" action="add"/>
</revisions>
</file>

<file path=xl/revisions/revisionLog3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Sheet1!$A$1:$AL$485</formula>
    <oldFormula>Sheet1!$A$1:$AL$485</oldFormula>
  </rdn>
  <rdn rId="0" localSheetId="1" customView="1" name="Z_36624B2D_80F9_4F79_AC4A_B3547C36F23F_.wvu.FilterData" hidden="1" oldHidden="1">
    <formula>Sheet1!$A$1:$AL$452</formula>
    <oldFormula>Sheet1!$A$1:$AL$452</oldFormula>
  </rdn>
  <rcv guid="{36624B2D-80F9-4F79-AC4A-B3547C36F23F}" action="add"/>
</revisions>
</file>

<file path=xl/revisions/revisionLog3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20" sId="1" ref="A104:XFD104" action="insertRow">
    <undo index="65535" exp="area" ref3D="1" dr="$H$1:$N$1048576" dn="Z_65B035E3_87FA_46C5_996E_864F2C8D0EBC_.wvu.Cols" sId="1"/>
  </rrc>
  <rcc rId="3721" sId="1">
    <nc r="A104">
      <v>5</v>
    </nc>
  </rcc>
</revisions>
</file>

<file path=xl/revisions/revisionLog3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22" sId="1">
    <oc r="G363" t="inlineStr">
      <is>
        <t>Cresterea capacitaþii administrative a Municipiului Constanþa prin introducerea si menþinerea
sistemului de management al calitaþii ISO 9001</t>
      </is>
    </oc>
    <nc r="G363" t="inlineStr">
      <is>
        <t>Cresterea capacitatii administrative a Municipiului Constanta prin introducerea si mentinerea
sistemului de management al calitatii ISO 9001</t>
      </is>
    </nc>
  </rcc>
</revisions>
</file>

<file path=xl/revisions/revisionLog3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23" sId="1">
    <nc r="B104">
      <v>109686</v>
    </nc>
  </rcc>
  <rcc rId="3724" sId="1" odxf="1" dxf="1">
    <nc r="C104">
      <v>122</v>
    </nc>
    <odxf>
      <font>
        <b val="0"/>
        <sz val="12"/>
        <color auto="1"/>
      </font>
      <border outline="0">
        <left style="thin">
          <color indexed="64"/>
        </left>
      </border>
    </odxf>
    <ndxf>
      <font>
        <b/>
        <sz val="12"/>
        <color auto="1"/>
      </font>
      <border outline="0">
        <left/>
      </border>
    </ndxf>
  </rcc>
  <rcc rId="3725" sId="1" odxf="1" dxf="1">
    <nc r="D104" t="inlineStr">
      <is>
        <t>OD</t>
      </is>
    </nc>
    <odxf>
      <border outline="0">
        <left style="thin">
          <color indexed="64"/>
        </left>
      </border>
    </odxf>
    <ndxf>
      <border outline="0">
        <left/>
      </border>
    </ndxf>
  </rcc>
  <rcc rId="3726" sId="1" odxf="1" dxf="1">
    <nc r="E104" t="inlineStr">
      <is>
        <t>AP 2/11i/2.1</t>
      </is>
    </nc>
    <odxf>
      <fill>
        <patternFill patternType="none">
          <bgColor indexed="65"/>
        </patternFill>
      </fill>
    </odxf>
    <ndxf>
      <fill>
        <patternFill patternType="solid">
          <bgColor theme="0"/>
        </patternFill>
      </fill>
    </ndxf>
  </rcc>
  <rcc rId="3727" sId="1" odxf="1" dxf="1">
    <nc r="F104" t="inlineStr">
      <is>
        <t>CP4 less /2017</t>
      </is>
    </nc>
    <odxf>
      <font>
        <sz val="12"/>
        <color auto="1"/>
      </font>
      <alignment horizontal="left"/>
    </odxf>
    <ndxf>
      <font>
        <sz val="12"/>
        <color auto="1"/>
      </font>
      <alignment horizontal="general"/>
    </ndxf>
  </rcc>
  <rcc rId="3728" sId="1">
    <nc r="G104" t="inlineStr">
      <is>
        <t>Cresterea capacitatii administrative a Municipiului Constanta prin introducerea si mentinerea
sistemului de management al calitatii ISO 9001</t>
      </is>
    </nc>
  </rcc>
  <rcc rId="3729" sId="1" odxf="1" dxf="1">
    <nc r="H104" t="inlineStr">
      <is>
        <t>Municipiul Constanta</t>
      </is>
    </nc>
    <odxf>
      <font>
        <sz val="12"/>
        <color auto="1"/>
      </font>
      <border outline="0">
        <left/>
      </border>
    </odxf>
    <ndxf>
      <font>
        <sz val="12"/>
        <color auto="1"/>
        <charset val="1"/>
      </font>
      <border outline="0">
        <left style="thin">
          <color indexed="64"/>
        </left>
      </border>
    </ndxf>
  </rcc>
  <rcc rId="3730" sId="1" odxf="1" dxf="1">
    <nc r="I104" t="inlineStr">
      <is>
        <t>n.a.</t>
      </is>
    </nc>
    <odxf>
      <font>
        <sz val="12"/>
        <color auto="1"/>
      </font>
    </odxf>
    <ndxf>
      <font>
        <sz val="12"/>
        <color auto="1"/>
      </font>
    </ndxf>
  </rcc>
  <rcc rId="3731" sId="1" odxf="1" dxf="1">
    <nc r="J104" t="inlineStr">
      <is>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is>
    </nc>
    <odxf>
      <font>
        <sz val="12"/>
        <color auto="1"/>
      </font>
      <alignment horizontal="left" vertical="center"/>
    </odxf>
    <ndxf>
      <font>
        <sz val="12"/>
        <color auto="1"/>
      </font>
      <alignment horizontal="justify" vertical="top"/>
    </ndxf>
  </rcc>
  <rcc rId="3732" sId="1" odxf="1" dxf="1" numFmtId="19">
    <nc r="K104">
      <v>43276</v>
    </nc>
    <odxf>
      <fill>
        <patternFill patternType="none">
          <bgColor indexed="65"/>
        </patternFill>
      </fill>
    </odxf>
    <ndxf>
      <fill>
        <patternFill patternType="solid">
          <bgColor theme="0"/>
        </patternFill>
      </fill>
    </ndxf>
  </rcc>
  <rcc rId="3733" sId="1" numFmtId="19">
    <nc r="L104">
      <v>43763</v>
    </nc>
  </rcc>
  <rcc rId="3734" sId="1">
    <nc r="M104">
      <f>S104/AE104*100</f>
    </nc>
  </rcc>
  <rcc rId="3735" sId="1">
    <nc r="N104">
      <v>2</v>
    </nc>
  </rcc>
  <rcc rId="3736" sId="1" odxf="1" dxf="1">
    <nc r="O104" t="inlineStr">
      <is>
        <t>Constanta</t>
      </is>
    </nc>
    <odxf>
      <fill>
        <patternFill patternType="solid">
          <bgColor theme="0"/>
        </patternFill>
      </fill>
    </odxf>
    <ndxf>
      <fill>
        <patternFill patternType="none">
          <bgColor indexed="65"/>
        </patternFill>
      </fill>
    </ndxf>
  </rcc>
  <rcc rId="3737" sId="1" odxf="1" dxf="1">
    <nc r="P104" t="inlineStr">
      <is>
        <t>Constanta</t>
      </is>
    </nc>
    <odxf>
      <fill>
        <patternFill patternType="solid">
          <bgColor theme="0"/>
        </patternFill>
      </fill>
    </odxf>
    <ndxf>
      <fill>
        <patternFill patternType="none">
          <bgColor indexed="65"/>
        </patternFill>
      </fill>
    </ndxf>
  </rcc>
  <rcc rId="3738" sId="1" odxf="1" dxf="1">
    <nc r="Q104" t="inlineStr">
      <is>
        <t>APL</t>
      </is>
    </nc>
    <odxf>
      <font>
        <sz val="12"/>
        <color auto="1"/>
      </font>
      <fill>
        <patternFill patternType="solid">
          <bgColor theme="0"/>
        </patternFill>
      </fill>
    </odxf>
    <ndxf>
      <font>
        <sz val="12"/>
        <color auto="1"/>
      </font>
      <fill>
        <patternFill patternType="none">
          <bgColor indexed="65"/>
        </patternFill>
      </fill>
    </ndxf>
  </rcc>
  <rcc rId="3739" sId="1" odxf="1" dxf="1">
    <nc r="R104" t="inlineStr">
      <is>
        <t>119 - Investiții în capacitatea instituțională și în eficiența administrațiilor și a serviciilor publice la nivel național, regional și local, în perspectiva realizării de reforme, a unei mai bune legiferări și a bunei guvernanțe</t>
      </is>
    </nc>
    <odxf>
      <fill>
        <patternFill patternType="solid">
          <bgColor theme="0"/>
        </patternFill>
      </fill>
    </odxf>
    <ndxf>
      <fill>
        <patternFill patternType="none">
          <bgColor indexed="65"/>
        </patternFill>
      </fill>
    </ndxf>
  </rcc>
  <rcc rId="3740" sId="1" odxf="1" dxf="1">
    <nc r="S104">
      <f>T104+U104</f>
    </nc>
    <odxf>
      <font>
        <sz val="12"/>
        <color auto="1"/>
      </font>
      <numFmt numFmtId="4" formatCode="#,##0.00"/>
    </odxf>
    <ndxf>
      <font>
        <sz val="12"/>
        <color auto="1"/>
      </font>
      <numFmt numFmtId="166" formatCode="#,##0.00_ ;\-#,##0.00\ "/>
    </ndxf>
  </rcc>
  <rcc rId="3741" sId="1" odxf="1" s="1" dxf="1" numFmtId="4">
    <nc r="T104">
      <v>359480.02</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3742" sId="1" odxf="1" s="1" dxf="1" numFmtId="4">
    <nc r="U104">
      <v>0</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3743" sId="1" odxf="1" dxf="1">
    <nc r="V104">
      <f>W104+X104</f>
    </nc>
    <odxf>
      <font>
        <sz val="12"/>
        <color auto="1"/>
      </font>
      <numFmt numFmtId="4" formatCode="#,##0.00"/>
    </odxf>
    <ndxf>
      <font>
        <sz val="12"/>
        <color auto="1"/>
      </font>
      <numFmt numFmtId="166" formatCode="#,##0.00_ ;\-#,##0.00\ "/>
    </ndxf>
  </rcc>
  <rcc rId="3744" sId="1" odxf="1" s="1" dxf="1" numFmtId="4">
    <nc r="W104">
      <v>54979.3</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3745" sId="1" odxf="1" s="1" dxf="1" numFmtId="4">
    <nc r="X104">
      <v>0</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3746" sId="1" odxf="1" s="1" dxf="1">
    <nc r="Y104">
      <f>Z104+AA104</f>
    </nc>
    <odxf>
      <font>
        <b val="0"/>
        <i val="0"/>
        <strike val="0"/>
        <condense val="0"/>
        <extend val="0"/>
        <outline val="0"/>
        <shadow val="0"/>
        <u val="none"/>
        <vertAlign val="baseline"/>
        <sz val="12"/>
        <color auto="1"/>
        <name val="Calibri"/>
        <family val="2"/>
        <charset val="238"/>
        <scheme val="minor"/>
      </font>
      <numFmt numFmtId="4" formatCode="#,##0.0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3747" sId="1" odxf="1" s="1" dxf="1" numFmtId="4">
    <nc r="Z104">
      <v>8458.35</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3748" sId="1" odxf="1" s="1" dxf="1" numFmtId="4">
    <nc r="AA104">
      <v>0</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3749" sId="1">
    <nc r="AB104">
      <f>AC104+AD104</f>
    </nc>
  </rcc>
  <rfmt sheetId="1" s="1" sqref="AC104" start="0" length="0">
    <dxf>
      <numFmt numFmtId="166" formatCode="#,##0.00_ ;\-#,##0.00\ "/>
    </dxf>
  </rfmt>
  <rfmt sheetId="1" s="1" sqref="AD104" start="0" length="0">
    <dxf>
      <numFmt numFmtId="166" formatCode="#,##0.00_ ;\-#,##0.00\ "/>
    </dxf>
  </rfmt>
  <rcc rId="3750" sId="1" odxf="1" dxf="1">
    <nc r="AE104">
      <f>S104+V104+Y104+AB104</f>
    </nc>
    <odxf>
      <fill>
        <patternFill patternType="none">
          <bgColor indexed="65"/>
        </patternFill>
      </fill>
    </odxf>
    <ndxf>
      <fill>
        <patternFill patternType="solid">
          <bgColor theme="0"/>
        </patternFill>
      </fill>
    </ndxf>
  </rcc>
  <rcc rId="3751" sId="1" odxf="1" s="1" dxf="1" numFmtId="4">
    <nc r="AF104">
      <v>0</v>
    </nc>
    <odxf>
      <font>
        <b val="0"/>
        <i val="0"/>
        <strike val="0"/>
        <condense val="0"/>
        <extend val="0"/>
        <outline val="0"/>
        <shadow val="0"/>
        <u val="none"/>
        <vertAlign val="baseline"/>
        <sz val="12"/>
        <color auto="1"/>
        <name val="Calibri"/>
        <family val="2"/>
        <charset val="238"/>
        <scheme val="minor"/>
      </font>
      <numFmt numFmtId="3" formatCode="#,##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3752" sId="1">
    <nc r="AG104">
      <f>AE104+AF104</f>
    </nc>
  </rcc>
  <rcc rId="3753" sId="1">
    <nc r="AH104" t="inlineStr">
      <is>
        <t xml:space="preserve"> în implementare</t>
      </is>
    </nc>
  </rcc>
  <rcc rId="3754" sId="1" odxf="1" dxf="1">
    <nc r="AI104" t="inlineStr">
      <is>
        <t>n.a</t>
      </is>
    </nc>
    <odxf>
      <font>
        <sz val="12"/>
        <color auto="1"/>
      </font>
      <numFmt numFmtId="3" formatCode="#,##0"/>
    </odxf>
    <ndxf>
      <font>
        <sz val="12"/>
        <color auto="1"/>
        <name val="Trebuchet MS"/>
        <scheme val="none"/>
      </font>
      <numFmt numFmtId="19" formatCode="dd/mm/yyyy"/>
    </ndxf>
  </rcc>
  <rcc rId="3755" sId="1" odxf="1" dxf="1">
    <nc r="AJ104">
      <f>31070.04+37860.62+76874</f>
    </nc>
    <odxf>
      <font>
        <sz val="12"/>
        <color auto="1"/>
      </font>
      <border outline="0">
        <top/>
      </border>
    </odxf>
    <ndxf>
      <font>
        <sz val="12"/>
        <color auto="1"/>
      </font>
      <border outline="0">
        <top style="thin">
          <color indexed="64"/>
        </top>
      </border>
    </ndxf>
  </rcc>
  <rcc rId="3756" sId="1" odxf="1" dxf="1">
    <nc r="AK104">
      <f>4751.89+5790.44+11757.2</f>
    </nc>
    <odxf>
      <border outline="0">
        <top/>
      </border>
    </odxf>
    <ndxf>
      <border outline="0">
        <top style="thin">
          <color indexed="64"/>
        </top>
      </border>
    </ndxf>
  </rcc>
</revisions>
</file>

<file path=xl/revisions/revisionLog3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57" sId="1" ref="A363:XFD363" action="deleteRow">
    <undo index="65535" exp="area" ref3D="1" dr="$H$1:$N$1048576" dn="Z_65B035E3_87FA_46C5_996E_864F2C8D0EBC_.wvu.Cols" sId="1"/>
    <rfmt sheetId="1" xfDxf="1" sqref="A363:XFD363" start="0" length="0"/>
    <rcc rId="0" sId="1" dxf="1">
      <nc r="A363">
        <v>110</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cc rId="0" sId="1" dxf="1">
      <nc r="B363">
        <v>109686</v>
      </nc>
      <n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c r="C363">
        <v>122</v>
      </nc>
      <n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c r="D363" t="inlineStr">
        <is>
          <t>OD</t>
        </is>
      </nc>
      <n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c r="E363" t="inlineStr">
        <is>
          <t>AP 2/11i/2.1</t>
        </is>
      </nc>
      <n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ndxf>
    </rcc>
    <rcc rId="0" sId="1" dxf="1">
      <nc r="F363" t="inlineStr">
        <is>
          <t>CP4 less /2017</t>
        </is>
      </nc>
      <n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G363" t="inlineStr">
        <is>
          <t>Cresterea capacitatii administrative a Municipiului Constanta prin introducerea si mentinerea
sistemului de management al calitatii ISO 9001</t>
        </is>
      </nc>
      <n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ndxf>
    </rcc>
    <rcc rId="0" sId="1" dxf="1">
      <nc r="H363" t="inlineStr">
        <is>
          <t>Municipiul Constanta</t>
        </is>
      </nc>
      <n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ndxf>
    </rcc>
    <rcc rId="0" sId="1" dxf="1">
      <nc r="I363" t="inlineStr">
        <is>
          <t>n.a.</t>
        </is>
      </nc>
      <n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J363" t="inlineStr">
        <is>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is>
      </nc>
      <n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ndxf>
    </rcc>
    <rcc rId="0" sId="1" dxf="1" numFmtId="19">
      <nc r="K363">
        <v>43276</v>
      </nc>
      <n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umFmtId="19">
      <nc r="L363">
        <v>43763</v>
      </nc>
      <n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ndxf>
    </rcc>
    <rcc rId="0" sId="1" dxf="1">
      <nc r="M363">
        <f>S363/AE363*100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cc rId="0" sId="1" dxf="1">
      <nc r="N363">
        <v>2</v>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dxf="1">
      <nc r="O363" t="inlineStr">
        <is>
          <t>Constanta</t>
        </is>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dxf="1">
      <nc r="P363" t="inlineStr">
        <is>
          <t>Constanta</t>
        </is>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dxf="1">
      <nc r="Q363" t="inlineStr">
        <is>
          <t>APL</t>
        </is>
      </nc>
      <n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dxf="1">
      <nc r="R363" t="inlineStr">
        <is>
          <t>119 - Investiții în capacitatea instituțională și în eficiența administrațiilor și a serviciilor publice la nivel național, regional și local, în perspectiva realizării de reforme, a unei mai bune legiferări și a bunei guvernanțe</t>
        </is>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s="1" dxf="1">
      <nc r="S363">
        <f>T363+U363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T363">
        <v>359480.02</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U363">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V363">
        <f>W363+X363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W363">
        <v>54979.3</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X363">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Y363">
        <f>Z363+AA363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Z363">
        <v>8458.35</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AA363">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AB363">
        <f>AC363+AD363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36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6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63">
        <f>S363+V363+Y363+AB363</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AF363">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c r="AG363">
        <f>AE363+AF363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363" t="inlineStr">
        <is>
          <t xml:space="preserve"> în implementare</t>
        </is>
      </nc>
      <n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I363" t="inlineStr">
        <is>
          <t>n.a</t>
        </is>
      </nc>
      <n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ndxf>
    </rcc>
    <rcc rId="0" sId="1" dxf="1">
      <nc r="AJ363">
        <f>31070.04+37860.62+76874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363">
        <f>4751.89+5790.44+11757.2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363" start="0" length="0">
      <dxf>
        <font>
          <sz val="12"/>
          <color theme="1"/>
          <name val="Calibri"/>
          <family val="2"/>
          <charset val="238"/>
          <scheme val="minor"/>
        </font>
      </dxf>
    </rfmt>
  </rrc>
  <rcc rId="3758" sId="1">
    <oc r="A363">
      <v>111</v>
    </oc>
    <nc r="A363">
      <v>110</v>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98" sId="1" numFmtId="19">
    <oc r="L157">
      <v>43669</v>
    </oc>
    <nc r="L157">
      <v>43791</v>
    </nc>
  </rcc>
  <rcc rId="4799" sId="1">
    <nc r="AI157" t="inlineStr">
      <is>
        <t>AA 1/22.07.2019</t>
      </is>
    </nc>
  </rcc>
  <rcv guid="{905D93EA-5662-45AB-8995-A9908B3E5D52}" action="delete"/>
  <rdn rId="0" localSheetId="1" customView="1" name="Z_905D93EA_5662_45AB_8995_A9908B3E5D52_.wvu.PrintArea" hidden="1" oldHidden="1">
    <formula>Sheet1!$A$1:$AL$487</formula>
    <oldFormula>Sheet1!$A$1:$AL$487</oldFormula>
  </rdn>
  <rdn rId="0" localSheetId="1" customView="1" name="Z_905D93EA_5662_45AB_8995_A9908B3E5D52_.wvu.FilterData" hidden="1" oldHidden="1">
    <formula>Sheet1!$C$1:$C$498</formula>
    <oldFormula>Sheet1!$C$1:$C$498</oldFormula>
  </rdn>
  <rcv guid="{905D93EA-5662-45AB-8995-A9908B3E5D52}" action="add"/>
</revisions>
</file>

<file path=xl/revisions/revisionLog3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59" sId="1">
    <oc r="A364">
      <v>112</v>
    </oc>
    <nc r="A364">
      <v>111</v>
    </nc>
  </rcc>
</revisions>
</file>

<file path=xl/revisions/revisionLog3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60" sId="1" ref="A198:XFD198" action="insertRow">
    <undo index="65535" exp="area" ref3D="1" dr="$H$1:$N$1048576" dn="Z_65B035E3_87FA_46C5_996E_864F2C8D0EBC_.wvu.Cols" sId="1"/>
  </rrc>
  <rcc rId="3761" sId="1">
    <nc r="A198">
      <v>4</v>
    </nc>
  </rcc>
</revisions>
</file>

<file path=xl/revisions/revisionLog3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2" sId="1" odxf="1" dxf="1">
    <nc r="B198">
      <v>119429</v>
    </nc>
    <odxf>
      <font>
        <b/>
        <sz val="12"/>
        <color auto="1"/>
      </font>
    </odxf>
    <ndxf>
      <font>
        <b val="0"/>
        <sz val="12"/>
        <color auto="1"/>
      </font>
    </ndxf>
  </rcc>
  <rcc rId="3763" sId="1" odxf="1" dxf="1">
    <nc r="C198">
      <v>472</v>
    </nc>
    <odxf>
      <border outline="0">
        <left style="thin">
          <color indexed="64"/>
        </left>
      </border>
    </odxf>
    <ndxf>
      <border outline="0">
        <left/>
      </border>
    </ndxf>
  </rcc>
  <rcc rId="3764" sId="1" odxf="1" dxf="1">
    <nc r="D198" t="inlineStr">
      <is>
        <t>DJ</t>
      </is>
    </nc>
    <odxf>
      <font>
        <b/>
        <sz val="12"/>
        <color auto="1"/>
      </font>
      <border outline="0">
        <left style="thin">
          <color indexed="64"/>
        </left>
      </border>
    </odxf>
    <ndxf>
      <font>
        <b val="0"/>
        <sz val="12"/>
        <color auto="1"/>
      </font>
      <border outline="0">
        <left/>
      </border>
    </ndxf>
  </rcc>
  <rcc rId="3765" sId="1">
    <nc r="E198" t="inlineStr">
      <is>
        <t>AP 2/11i /2.1</t>
      </is>
    </nc>
  </rcc>
  <rcc rId="3766" sId="1" odxf="1" dxf="1">
    <nc r="F198" t="inlineStr">
      <is>
        <t>CP6 less /2017</t>
      </is>
    </nc>
    <odxf>
      <font>
        <sz val="12"/>
        <color auto="1"/>
      </font>
      <alignment horizontal="center"/>
    </odxf>
    <ndxf>
      <font>
        <sz val="12"/>
        <color auto="1"/>
      </font>
      <alignment horizontal="general"/>
    </ndxf>
  </rcc>
  <rcc rId="3767" sId="1" odxf="1" dxf="1">
    <nc r="G198" t="inlineStr">
      <is>
        <t>Implementarea Sistemului de Management al Calitatii si Performantei conform SR EN ISO 9001:2015 în cadrul Consiliului Judetean Salaj</t>
      </is>
    </nc>
    <odxf>
      <font>
        <sz val="10"/>
        <charset val="1"/>
      </font>
      <alignment horizontal="general"/>
    </odxf>
    <ndxf>
      <font>
        <sz val="12"/>
        <color auto="1"/>
        <charset val="1"/>
      </font>
      <alignment horizontal="left"/>
    </ndxf>
  </rcc>
  <rcc rId="3768" sId="1" odxf="1" dxf="1">
    <nc r="H198" t="inlineStr">
      <is>
        <t>Judetul Salaj</t>
      </is>
    </nc>
    <odxf>
      <font>
        <sz val="10"/>
        <charset val="1"/>
      </font>
      <alignment horizontal="general"/>
    </odxf>
    <ndxf>
      <font>
        <sz val="12"/>
        <color auto="1"/>
        <charset val="1"/>
      </font>
      <alignment horizontal="left"/>
    </ndxf>
  </rcc>
  <rcc rId="3769" sId="1">
    <nc r="I198" t="inlineStr">
      <is>
        <t>n.a.</t>
      </is>
    </nc>
  </rcc>
  <rcc rId="3770" sId="1" odxf="1" dxf="1">
    <nc r="J198" t="inlineStr">
      <is>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is>
    </nc>
    <odxf>
      <font>
        <sz val="10"/>
        <charset val="1"/>
      </font>
      <alignment horizontal="general" vertical="center"/>
    </odxf>
    <ndxf>
      <font>
        <sz val="12"/>
        <color auto="1"/>
        <charset val="1"/>
      </font>
      <alignment horizontal="justify" vertical="top"/>
    </ndxf>
  </rcc>
  <rcc rId="3771" sId="1" numFmtId="19">
    <nc r="K198">
      <v>43304</v>
    </nc>
  </rcc>
  <rcc rId="3772" sId="1" numFmtId="19">
    <nc r="L198">
      <v>43669</v>
    </nc>
  </rcc>
  <rcc rId="3773" sId="1" odxf="1" dxf="1">
    <nc r="M198">
      <f>S198/AE198*100</f>
    </nc>
    <odxf>
      <font>
        <b/>
        <sz val="12"/>
        <color auto="1"/>
      </font>
      <numFmt numFmtId="0" formatCode="General"/>
    </odxf>
    <ndxf>
      <font>
        <b val="0"/>
        <sz val="12"/>
        <color auto="1"/>
      </font>
      <numFmt numFmtId="165" formatCode="0.000000000"/>
    </ndxf>
  </rcc>
  <rcc rId="3774" sId="1" odxf="1" dxf="1">
    <nc r="N198">
      <v>6</v>
    </nc>
    <odxf>
      <font>
        <b/>
        <sz val="12"/>
        <color auto="1"/>
      </font>
    </odxf>
    <ndxf>
      <font>
        <b val="0"/>
        <sz val="12"/>
        <color auto="1"/>
      </font>
    </ndxf>
  </rcc>
  <rcc rId="3775" sId="1" odxf="1" dxf="1">
    <nc r="O198" t="inlineStr">
      <is>
        <t>Salaj</t>
      </is>
    </nc>
    <odxf>
      <font>
        <b/>
        <sz val="12"/>
        <color auto="1"/>
      </font>
    </odxf>
    <ndxf>
      <font>
        <b val="0"/>
        <sz val="12"/>
        <color auto="1"/>
      </font>
    </ndxf>
  </rcc>
  <rcc rId="3776" sId="1" odxf="1" dxf="1">
    <nc r="P198" t="inlineStr">
      <is>
        <t>Zalau</t>
      </is>
    </nc>
    <odxf>
      <font>
        <b/>
        <sz val="12"/>
        <color auto="1"/>
      </font>
    </odxf>
    <ndxf>
      <font>
        <b val="0"/>
        <sz val="12"/>
        <color auto="1"/>
      </font>
    </ndxf>
  </rcc>
  <rcc rId="3777" sId="1" odxf="1" dxf="1">
    <nc r="Q198" t="inlineStr">
      <is>
        <t>APL</t>
      </is>
    </nc>
    <odxf>
      <font>
        <b/>
        <sz val="12"/>
        <color auto="1"/>
      </font>
    </odxf>
    <ndxf>
      <font>
        <b val="0"/>
        <sz val="12"/>
        <color auto="1"/>
      </font>
    </ndxf>
  </rcc>
  <rcc rId="3778" sId="1">
    <nc r="R198" t="inlineStr">
      <is>
        <t>119 -  Investiții în capacitatea instituțională și în eficiența administrațiilor și a serviciilor publice la nivel național, regional și local, în perspectiva realizării de reforme, a unei mai bune legiferări și a bunei guvernanțe</t>
      </is>
    </nc>
  </rcc>
  <rcc rId="3779" sId="1" odxf="1" dxf="1">
    <nc r="S198">
      <f>T198+U198</f>
    </nc>
    <odxf>
      <font>
        <sz val="12"/>
        <color auto="1"/>
      </font>
      <numFmt numFmtId="4" formatCode="#,##0.00"/>
    </odxf>
    <ndxf>
      <font>
        <sz val="12"/>
        <color auto="1"/>
      </font>
      <numFmt numFmtId="166" formatCode="#,##0.00_ ;\-#,##0.00\ "/>
    </ndxf>
  </rcc>
  <rcc rId="3780" sId="1" numFmtId="4">
    <nc r="T198">
      <v>215385.83</v>
    </nc>
  </rcc>
  <rcc rId="3781" sId="1" numFmtId="4">
    <nc r="U198">
      <v>0</v>
    </nc>
  </rcc>
  <rcc rId="3782" sId="1" odxf="1" dxf="1">
    <nc r="V198">
      <f>W198+X198</f>
    </nc>
    <odxf>
      <font>
        <sz val="12"/>
        <color auto="1"/>
      </font>
      <numFmt numFmtId="4" formatCode="#,##0.00"/>
    </odxf>
    <ndxf>
      <font>
        <sz val="12"/>
        <color auto="1"/>
      </font>
      <numFmt numFmtId="166" formatCode="#,##0.00_ ;\-#,##0.00\ "/>
    </ndxf>
  </rcc>
  <rcc rId="3783" sId="1" numFmtId="4">
    <nc r="W198">
      <v>32941.35</v>
    </nc>
  </rcc>
  <rcc rId="3784" sId="1" numFmtId="4">
    <nc r="X198">
      <v>0</v>
    </nc>
  </rcc>
  <rcc rId="3785" sId="1" odxf="1" dxf="1">
    <nc r="Y198">
      <f>Z198+AA198</f>
    </nc>
    <odxf>
      <font>
        <sz val="12"/>
        <color auto="1"/>
      </font>
      <numFmt numFmtId="4" formatCode="#,##0.00"/>
    </odxf>
    <ndxf>
      <font>
        <sz val="12"/>
        <color auto="1"/>
      </font>
      <numFmt numFmtId="166" formatCode="#,##0.00_ ;\-#,##0.00\ "/>
    </ndxf>
  </rcc>
  <rcc rId="3786" sId="1" numFmtId="4">
    <nc r="Z198">
      <v>5067.91</v>
    </nc>
  </rcc>
  <rcc rId="3787" sId="1" numFmtId="4">
    <nc r="AA198">
      <v>0</v>
    </nc>
  </rcc>
  <rcc rId="3788" sId="1">
    <nc r="AB198">
      <f>AC198+AD198</f>
    </nc>
  </rcc>
  <rcc rId="3789" sId="1" numFmtId="4">
    <nc r="AC198">
      <v>0</v>
    </nc>
  </rcc>
  <rcc rId="3790" sId="1" numFmtId="4">
    <nc r="AD198">
      <v>0</v>
    </nc>
  </rcc>
  <rcc rId="3791" sId="1">
    <nc r="AE198">
      <f>S198+V198+Y198+AB198</f>
    </nc>
  </rcc>
  <rcc rId="3792" sId="1">
    <nc r="AG198">
      <f>AE198+AF198</f>
    </nc>
  </rcc>
  <rcc rId="3793" sId="1">
    <nc r="AH198" t="inlineStr">
      <is>
        <t xml:space="preserve"> în implementare</t>
      </is>
    </nc>
  </rcc>
  <rfmt sheetId="1" sqref="AI198" start="0" length="0">
    <dxf>
      <font>
        <b val="0"/>
        <sz val="12"/>
        <color auto="1"/>
        <name val="Trebuchet MS"/>
        <scheme val="none"/>
      </font>
      <numFmt numFmtId="19" formatCode="dd/mm/yyyy"/>
    </dxf>
  </rfmt>
  <rcc rId="3794" sId="1">
    <nc r="AJ198">
      <f>9089.05+29577.7+15247.3+43458.57</f>
    </nc>
  </rcc>
  <rcc rId="3795" sId="1" odxf="1" dxf="1">
    <nc r="AK198">
      <f>1390.09+4523.64+2331.94+6646.61</f>
    </nc>
    <odxf>
      <font>
        <sz val="12"/>
        <color auto="1"/>
      </font>
    </odxf>
    <ndxf>
      <font>
        <sz val="12"/>
        <color auto="1"/>
      </font>
    </ndxf>
  </rcc>
</revisions>
</file>

<file path=xl/revisions/revisionLog3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96" sId="1" ref="A389:XFD389" action="deleteRow">
    <undo index="65535" exp="area" ref3D="1" dr="$H$1:$N$1048576" dn="Z_65B035E3_87FA_46C5_996E_864F2C8D0EBC_.wvu.Cols" sId="1"/>
    <rfmt sheetId="1" xfDxf="1" sqref="A389:XFD389" start="0" length="0"/>
    <rcc rId="0" sId="1" dxf="1">
      <nc r="A389">
        <v>137</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cc rId="0" sId="1" dxf="1">
      <nc r="B389">
        <v>119429</v>
      </nc>
      <n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c r="C389">
        <v>472</v>
      </nc>
      <n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c r="D389" t="inlineStr">
        <is>
          <t>DJ</t>
        </is>
      </nc>
      <n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c r="E389" t="inlineStr">
        <is>
          <t>AP 2/11i /2.1</t>
        </is>
      </nc>
      <n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F389" t="inlineStr">
        <is>
          <t>CP6 less /2017</t>
        </is>
      </nc>
      <n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G389" t="inlineStr">
        <is>
          <t>Implementarea Sistemului de Management al Calitatii si Performantei conform SR EN ISO 9001:2015 în cadrul Consiliului Judetean Salaj</t>
        </is>
      </nc>
      <n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ndxf>
    </rcc>
    <rcc rId="0" sId="1" dxf="1">
      <nc r="H389" t="inlineStr">
        <is>
          <t>Judetul Salaj</t>
        </is>
      </nc>
      <n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ndxf>
    </rcc>
    <rcc rId="0" sId="1" dxf="1">
      <nc r="I389" t="inlineStr">
        <is>
          <t>n.a.</t>
        </is>
      </nc>
      <n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J389" t="inlineStr">
        <is>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is>
      </nc>
      <n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ndxf>
    </rcc>
    <rcc rId="0" sId="1" dxf="1" numFmtId="19">
      <nc r="K389">
        <v>43304</v>
      </nc>
      <n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umFmtId="19">
      <nc r="L389">
        <v>43669</v>
      </nc>
      <n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ndxf>
    </rcc>
    <rcc rId="0" sId="1" dxf="1">
      <nc r="M389">
        <f>S389/AE389*100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cc rId="0" sId="1" dxf="1">
      <nc r="N389">
        <v>6</v>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dxf="1">
      <nc r="O389" t="inlineStr">
        <is>
          <t>Salaj</t>
        </is>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dxf="1">
      <nc r="P389" t="inlineStr">
        <is>
          <t>Zalau</t>
        </is>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dxf="1">
      <nc r="Q389" t="inlineStr">
        <is>
          <t>APL</t>
        </is>
      </nc>
      <n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dxf="1">
      <nc r="R389" t="inlineStr">
        <is>
          <t>119 -  Investiții în capacitatea instituțională și în eficiența administrațiilor și a serviciilor publice la nivel național, regional și local, în perspectiva realizării de reforme, a unei mai bune legiferări și a bunei guvernanțe</t>
        </is>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s="1" dxf="1">
      <nc r="S389">
        <f>T389+U389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T389">
        <v>215385.83</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U389">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V389">
        <f>W389+X389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W389">
        <v>32941.35</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X389">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Y389">
        <f>Z389+AA389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Z389">
        <v>5067.91</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AA389">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AB389">
        <f>AC389+AD389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AC389">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AD389">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AE389">
        <f>S389+V389+Y389+AB389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38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389">
        <f>AE389+AF389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389" t="inlineStr">
        <is>
          <t xml:space="preserve"> în implementare</t>
        </is>
      </nc>
      <n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fmt sheetId="1" sqref="AI38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cc rId="0" sId="1" dxf="1">
      <nc r="AJ389">
        <f>9089.05+29577.7+15247.3+43458.57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389">
        <f>1390.09+4523.64+2331.94+6646.61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389" start="0" length="0">
      <dxf>
        <font>
          <sz val="12"/>
          <color theme="1"/>
          <name val="Calibri"/>
          <family val="2"/>
          <charset val="238"/>
          <scheme val="minor"/>
        </font>
      </dxf>
    </rfmt>
  </rrc>
</revisions>
</file>

<file path=xl/revisions/revisionLog3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97" sId="1">
    <oc r="S18">
      <f>SUM(S7:S12)</f>
    </oc>
    <nc r="S18">
      <f>SUM(S7:S17)</f>
    </nc>
  </rcc>
  <rcc rId="3798" sId="1">
    <oc r="T18">
      <f>SUM(T7:T14)</f>
    </oc>
    <nc r="T18">
      <f>SUM(T7:T17)</f>
    </nc>
  </rcc>
  <rcc rId="3799" sId="1">
    <oc r="U18">
      <f>SUM(U7:U14)</f>
    </oc>
    <nc r="U18">
      <f>SUM(U7:U17)</f>
    </nc>
  </rcc>
  <rcc rId="3800" sId="1">
    <oc r="V18">
      <f>SUM(V7:V12)</f>
    </oc>
    <nc r="V18">
      <f>SUM(V7:V17)</f>
    </nc>
  </rcc>
  <rcc rId="3801" sId="1">
    <oc r="W18">
      <f>SUM(W7:W14)</f>
    </oc>
    <nc r="W18">
      <f>SUM(W7:W17)</f>
    </nc>
  </rcc>
  <rcc rId="3802" sId="1">
    <oc r="X18">
      <f>SUM(X7:X13)</f>
    </oc>
    <nc r="X18">
      <f>SUM(X7:X17)</f>
    </nc>
  </rcc>
  <rcc rId="3803" sId="1">
    <oc r="Y18">
      <f>SUM(Y7:Y12)</f>
    </oc>
    <nc r="Y18">
      <f>SUM(Y7:Y17)</f>
    </nc>
  </rcc>
  <rcc rId="3804" sId="1">
    <oc r="Z18">
      <f>SUM(Z7:Z14)</f>
    </oc>
    <nc r="Z18">
      <f>SUM(Z7:Z17)</f>
    </nc>
  </rcc>
  <rcc rId="3805" sId="1">
    <oc r="AA18">
      <f>SUM(AA7:AA14)</f>
    </oc>
    <nc r="AA18">
      <f>SUM(AA7:AA17)</f>
    </nc>
  </rcc>
  <rcc rId="3806" sId="1">
    <oc r="AB18">
      <f>SUM(AB7:AB12)</f>
    </oc>
    <nc r="AB18">
      <f>SUM(AB7:AB17)</f>
    </nc>
  </rcc>
  <rcc rId="3807" sId="1">
    <oc r="AC18">
      <f>SUM(AC7:AC12)</f>
    </oc>
    <nc r="AC18">
      <f>SUM(AC7:AC17)</f>
    </nc>
  </rcc>
  <rcc rId="3808" sId="1">
    <oc r="AD18">
      <f>SUM(AD7:AD12)</f>
    </oc>
    <nc r="AD18">
      <f>SUM(AD7:AD17)</f>
    </nc>
  </rcc>
  <rcc rId="3809" sId="1">
    <oc r="AE18">
      <f>SUM(AE7:AE12)</f>
    </oc>
    <nc r="AE18">
      <f>SUM(AE7:AE17)</f>
    </nc>
  </rcc>
  <rcc rId="3810" sId="1">
    <oc r="AF18">
      <f>SUM(AF7:AF12)</f>
    </oc>
    <nc r="AF18">
      <f>SUM(AF7:AF17)</f>
    </nc>
  </rcc>
  <rcc rId="3811" sId="1">
    <oc r="AG18">
      <f>SUM(AG7:AG12)</f>
    </oc>
    <nc r="AG18">
      <f>SUM(AG7:AG17)</f>
    </nc>
  </rcc>
  <rcc rId="3812" sId="1">
    <oc r="AJ18">
      <f>SUM(AJ7:AJ12)</f>
    </oc>
    <nc r="AJ18">
      <f>SUM(AJ7:AJ17)</f>
    </nc>
  </rcc>
  <rcc rId="3813" sId="1">
    <oc r="AK18">
      <f>SUM(AK7:AK12)</f>
    </oc>
    <nc r="AK18">
      <f>SUM(AK7:AK17)</f>
    </nc>
  </rcc>
</revisions>
</file>

<file path=xl/revisions/revisionLog3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14" sId="1">
    <oc r="S23">
      <f>SUM(S19:S21)</f>
    </oc>
    <nc r="S23">
      <f>SUM(S19:S22)</f>
    </nc>
  </rcc>
  <rcc rId="3815" sId="1">
    <oc r="T23">
      <f>SUM(T19:T21)</f>
    </oc>
    <nc r="T23">
      <f>SUM(T19:T22)</f>
    </nc>
  </rcc>
  <rcc rId="3816" sId="1">
    <oc r="U23">
      <f>SUM(U19:U21)</f>
    </oc>
    <nc r="U23">
      <f>SUM(U19:U22)</f>
    </nc>
  </rcc>
  <rcc rId="3817" sId="1">
    <oc r="V23">
      <f>SUM(V19:V21)</f>
    </oc>
    <nc r="V23">
      <f>SUM(V19:V22)</f>
    </nc>
  </rcc>
  <rcc rId="3818" sId="1">
    <oc r="W23">
      <f>SUM(W19:W21)</f>
    </oc>
    <nc r="W23">
      <f>SUM(W19:W22)</f>
    </nc>
  </rcc>
  <rcc rId="3819" sId="1">
    <oc r="X23">
      <f>SUM(X19:X21)</f>
    </oc>
    <nc r="X23">
      <f>SUM(X19:X22)</f>
    </nc>
  </rcc>
  <rcc rId="3820" sId="1">
    <oc r="Y23">
      <f>SUM(Y19:Y21)</f>
    </oc>
    <nc r="Y23">
      <f>SUM(Y19:Y22)</f>
    </nc>
  </rcc>
  <rcc rId="3821" sId="1">
    <oc r="Z23">
      <f>SUM(Z19:Z21)</f>
    </oc>
    <nc r="Z23">
      <f>SUM(Z19:Z22)</f>
    </nc>
  </rcc>
  <rcc rId="3822" sId="1">
    <oc r="AA23">
      <f>SUM(AA19:AA21)</f>
    </oc>
    <nc r="AA23">
      <f>SUM(AA19:AA22)</f>
    </nc>
  </rcc>
  <rcc rId="3823" sId="1">
    <oc r="AB23">
      <f>SUM(AB19:AB21)</f>
    </oc>
    <nc r="AB23">
      <f>SUM(AB19:AB22)</f>
    </nc>
  </rcc>
  <rcc rId="3824" sId="1">
    <oc r="AC23">
      <f>SUM(AC19:AC21)</f>
    </oc>
    <nc r="AC23">
      <f>SUM(AC19:AC22)</f>
    </nc>
  </rcc>
  <rcc rId="3825" sId="1">
    <oc r="AD23">
      <f>SUM(AD19:AD21)</f>
    </oc>
    <nc r="AD23">
      <f>SUM(AD19:AD22)</f>
    </nc>
  </rcc>
  <rcc rId="3826" sId="1">
    <oc r="AE23">
      <f>SUM(AE19:AE21)</f>
    </oc>
    <nc r="AE23">
      <f>SUM(AE19:AE22)</f>
    </nc>
  </rcc>
  <rcc rId="3827" sId="1">
    <oc r="AF23">
      <f>SUM(AF19:AF21)</f>
    </oc>
    <nc r="AF23">
      <f>SUM(AF19:AF22)</f>
    </nc>
  </rcc>
  <rcc rId="3828" sId="1">
    <oc r="AG23">
      <f>SUM(AG19:AG21)</f>
    </oc>
    <nc r="AG23">
      <f>SUM(AG19:AG22)</f>
    </nc>
  </rcc>
  <rcc rId="3829" sId="1">
    <nc r="AH23">
      <f>SUM(AH19:AH22)</f>
    </nc>
  </rcc>
  <rcc rId="3830" sId="1">
    <oc r="AI23">
      <f>SUM(AI19:AI21)</f>
    </oc>
    <nc r="AI23">
      <f>SUM(AI19:AI22)</f>
    </nc>
  </rcc>
  <rcc rId="3831" sId="1">
    <oc r="AJ23">
      <f>SUM(AJ19:AJ22)</f>
    </oc>
    <nc r="AJ23">
      <f>SUM(AJ19:AJ22)</f>
    </nc>
  </rcc>
  <rcc rId="3832" sId="1">
    <oc r="AK23">
      <f>SUM(AK19:AK22)</f>
    </oc>
    <nc r="AK23">
      <f>SUM(AK19:AK22)</f>
    </nc>
  </rcc>
</revisions>
</file>

<file path=xl/revisions/revisionLog3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33" sId="1">
    <oc r="S38">
      <f>SUM(S35:S36)</f>
    </oc>
    <nc r="S38">
      <f>SUM(S35:S37)</f>
    </nc>
  </rcc>
  <rcc rId="3834" sId="1">
    <oc r="T38">
      <f>SUM(T35:T37)</f>
    </oc>
    <nc r="T38">
      <f>SUM(T35:T37)</f>
    </nc>
  </rcc>
  <rcc rId="3835" sId="1">
    <oc r="U38">
      <f>SUM(U35:U36)</f>
    </oc>
    <nc r="U38">
      <f>SUM(U35:U37)</f>
    </nc>
  </rcc>
  <rcc rId="3836" sId="1">
    <oc r="V38">
      <f>SUM(V35:V36)</f>
    </oc>
    <nc r="V38">
      <f>SUM(V35:V37)</f>
    </nc>
  </rcc>
  <rcc rId="3837" sId="1">
    <oc r="W38">
      <f>SUM(W35:W36)</f>
    </oc>
    <nc r="W38">
      <f>SUM(W35:W37)</f>
    </nc>
  </rcc>
  <rcc rId="3838" sId="1">
    <oc r="X38">
      <f>SUM(X35:X36)</f>
    </oc>
    <nc r="X38">
      <f>SUM(X35:X37)</f>
    </nc>
  </rcc>
  <rcc rId="3839" sId="1">
    <oc r="Y38">
      <f>SUM(Y35:Y36)</f>
    </oc>
    <nc r="Y38">
      <f>SUM(Y35:Y37)</f>
    </nc>
  </rcc>
  <rcc rId="3840" sId="1">
    <oc r="Z38">
      <f>SUM(Z35:Z36)</f>
    </oc>
    <nc r="Z38">
      <f>SUM(Z35:Z37)</f>
    </nc>
  </rcc>
  <rcc rId="3841" sId="1">
    <oc r="AA38">
      <f>SUM(AA35:AA36)</f>
    </oc>
    <nc r="AA38">
      <f>SUM(AA35:AA37)</f>
    </nc>
  </rcc>
  <rcc rId="3842" sId="1">
    <oc r="AB38">
      <f>SUM(AB35:AB36)</f>
    </oc>
    <nc r="AB38">
      <f>SUM(AB35:AB37)</f>
    </nc>
  </rcc>
  <rcc rId="3843" sId="1">
    <oc r="AC38">
      <f>SUM(AC35:AC36)</f>
    </oc>
    <nc r="AC38">
      <f>SUM(AC35:AC37)</f>
    </nc>
  </rcc>
  <rcc rId="3844" sId="1">
    <oc r="AD38">
      <f>SUM(AD35:AD36)</f>
    </oc>
    <nc r="AD38">
      <f>SUM(AD35:AD37)</f>
    </nc>
  </rcc>
  <rcc rId="3845" sId="1">
    <oc r="AE38">
      <f>SUM(AE35:AE36)</f>
    </oc>
    <nc r="AE38">
      <f>SUM(AE35:AE37)</f>
    </nc>
  </rcc>
  <rcc rId="3846" sId="1">
    <oc r="AF38">
      <f>SUM(AF35:AF37)</f>
    </oc>
    <nc r="AF38">
      <f>SUM(AF35:AF37)</f>
    </nc>
  </rcc>
  <rcc rId="3847" sId="1">
    <oc r="AG38">
      <f>SUM(AG35:AG36)</f>
    </oc>
    <nc r="AG38">
      <f>SUM(AG35:AG37)</f>
    </nc>
  </rcc>
  <rcc rId="3848" sId="1">
    <nc r="AH38">
      <f>SUM(AH35:AH37)</f>
    </nc>
  </rcc>
  <rcc rId="3849" sId="1">
    <oc r="AI38">
      <f>SUM(AI35:AI36)</f>
    </oc>
    <nc r="AI38">
      <f>SUM(AI35:AI37)</f>
    </nc>
  </rcc>
  <rcc rId="3850" sId="1">
    <oc r="AJ38">
      <f>SUM(AJ35:AJ36)</f>
    </oc>
    <nc r="AJ38">
      <f>SUM(AJ35:AJ37)</f>
    </nc>
  </rcc>
  <rcc rId="3851" sId="1">
    <oc r="AK38">
      <f>SUM(AK35:AK36)</f>
    </oc>
    <nc r="AK38">
      <f>SUM(AK35:AK37)</f>
    </nc>
  </rcc>
</revisions>
</file>

<file path=xl/revisions/revisionLog3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52" sId="1">
    <oc r="S42">
      <f>SUM(S40:S40)</f>
    </oc>
    <nc r="S42">
      <f>SUM(S40:S41)</f>
    </nc>
  </rcc>
  <rcc rId="3853" sId="1">
    <oc r="T42">
      <f>SUM(T40:T40)</f>
    </oc>
    <nc r="T42">
      <f>SUM(T40:T41)</f>
    </nc>
  </rcc>
  <rcc rId="3854" sId="1">
    <oc r="U42">
      <f>SUM(U40:U40)</f>
    </oc>
    <nc r="U42">
      <f>SUM(U40:U41)</f>
    </nc>
  </rcc>
  <rcc rId="3855" sId="1">
    <oc r="V42">
      <f>SUM(V40:V40)</f>
    </oc>
    <nc r="V42">
      <f>SUM(V40:V41)</f>
    </nc>
  </rcc>
  <rcc rId="3856" sId="1">
    <oc r="W42">
      <f>SUM(W40:W40)</f>
    </oc>
    <nc r="W42">
      <f>SUM(W40:W41)</f>
    </nc>
  </rcc>
  <rcc rId="3857" sId="1">
    <oc r="X42">
      <f>SUM(X40:X40)</f>
    </oc>
    <nc r="X42">
      <f>SUM(X40:X41)</f>
    </nc>
  </rcc>
  <rcc rId="3858" sId="1">
    <oc r="Y42">
      <f>SUM(Y40:Y40)</f>
    </oc>
    <nc r="Y42">
      <f>SUM(Y40:Y41)</f>
    </nc>
  </rcc>
  <rcc rId="3859" sId="1">
    <oc r="Z42">
      <f>SUM(Z40:Z40)</f>
    </oc>
    <nc r="Z42">
      <f>SUM(Z40:Z41)</f>
    </nc>
  </rcc>
  <rcc rId="3860" sId="1">
    <oc r="AA42">
      <f>SUM(AA40:AA40)</f>
    </oc>
    <nc r="AA42">
      <f>SUM(AA40:AA41)</f>
    </nc>
  </rcc>
  <rcc rId="3861" sId="1">
    <oc r="AB42">
      <f>SUM(AB40:AB40)</f>
    </oc>
    <nc r="AB42">
      <f>SUM(AB40:AB41)</f>
    </nc>
  </rcc>
  <rcc rId="3862" sId="1">
    <oc r="AC42">
      <f>SUM(AC40:AC40)</f>
    </oc>
    <nc r="AC42">
      <f>SUM(AC40:AC41)</f>
    </nc>
  </rcc>
  <rcc rId="3863" sId="1">
    <oc r="AD42">
      <f>SUM(AD40:AD40)</f>
    </oc>
    <nc r="AD42">
      <f>SUM(AD40:AD41)</f>
    </nc>
  </rcc>
  <rcc rId="3864" sId="1">
    <oc r="AE42">
      <f>SUM(AE40:AE40)</f>
    </oc>
    <nc r="AE42">
      <f>SUM(AE40:AE41)</f>
    </nc>
  </rcc>
  <rcc rId="3865" sId="1">
    <oc r="AF42">
      <f>SUM(AF40:AF40)</f>
    </oc>
    <nc r="AF42">
      <f>SUM(AF40:AF41)</f>
    </nc>
  </rcc>
  <rcc rId="3866" sId="1">
    <oc r="AG42">
      <f>SUM(AG40:AG40)</f>
    </oc>
    <nc r="AG42">
      <f>SUM(AG40:AG41)</f>
    </nc>
  </rcc>
  <rcc rId="3867" sId="1">
    <nc r="AH42">
      <f>SUM(AH40:AH41)</f>
    </nc>
  </rcc>
  <rcc rId="3868" sId="1">
    <oc r="AI42">
      <f>SUM(AI40:AI40)</f>
    </oc>
    <nc r="AI42">
      <f>SUM(AI40:AI41)</f>
    </nc>
  </rcc>
  <rcc rId="3869" sId="1">
    <oc r="AJ42">
      <f>SUM(AJ40:AJ40)</f>
    </oc>
    <nc r="AJ42">
      <f>SUM(AJ40:AJ41)</f>
    </nc>
  </rcc>
  <rcc rId="3870" sId="1">
    <oc r="AK42">
      <f>SUM(AK40:AK40)</f>
    </oc>
    <nc r="AK42">
      <f>SUM(AK40:AK41)</f>
    </nc>
  </rcc>
</revisions>
</file>

<file path=xl/revisions/revisionLog3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71" sId="1">
    <oc r="T47">
      <f>SUM(T43:T45)</f>
    </oc>
    <nc r="T47">
      <f>SUM(T44:T46)</f>
    </nc>
  </rcc>
  <rcc rId="3872" sId="1">
    <oc r="U47">
      <f>SUM(U43:U45)</f>
    </oc>
    <nc r="U47">
      <f>SUM(U44:U46)</f>
    </nc>
  </rcc>
  <rcc rId="3873" sId="1">
    <oc r="V47">
      <f>SUM(V43:V45)</f>
    </oc>
    <nc r="V47">
      <f>SUM(V44:V46)</f>
    </nc>
  </rcc>
  <rcc rId="3874" sId="1">
    <oc r="W47">
      <f>SUM(W43:W45)</f>
    </oc>
    <nc r="W47">
      <f>SUM(W44:W46)</f>
    </nc>
  </rcc>
  <rcc rId="3875" sId="1">
    <oc r="X47">
      <f>SUM(X43:X45)</f>
    </oc>
    <nc r="X47">
      <f>SUM(X44:X46)</f>
    </nc>
  </rcc>
  <rcc rId="3876" sId="1">
    <oc r="Y47">
      <f>SUM(Y43:Y45)</f>
    </oc>
    <nc r="Y47">
      <f>SUM(Y44:Y46)</f>
    </nc>
  </rcc>
  <rcc rId="3877" sId="1">
    <oc r="Z47">
      <f>SUM(Z43:Z45)</f>
    </oc>
    <nc r="Z47">
      <f>SUM(Z44:Z46)</f>
    </nc>
  </rcc>
  <rcc rId="3878" sId="1">
    <oc r="AA47">
      <f>SUM(AA43:AA45)</f>
    </oc>
    <nc r="AA47">
      <f>SUM(AA44:AA46)</f>
    </nc>
  </rcc>
  <rcc rId="3879" sId="1">
    <oc r="AB47">
      <f>SUM(AB43:AB45)</f>
    </oc>
    <nc r="AB47">
      <f>SUM(AB44:AB46)</f>
    </nc>
  </rcc>
  <rcc rId="3880" sId="1">
    <oc r="AC47">
      <f>SUM(AC43:AC45)</f>
    </oc>
    <nc r="AC47">
      <f>SUM(AC44:AC46)</f>
    </nc>
  </rcc>
  <rcc rId="3881" sId="1">
    <oc r="AD47">
      <f>SUM(AD43:AD45)</f>
    </oc>
    <nc r="AD47">
      <f>SUM(AD44:AD46)</f>
    </nc>
  </rcc>
  <rcc rId="3882" sId="1">
    <oc r="AE47">
      <f>SUM(AE43:AE45)</f>
    </oc>
    <nc r="AE47">
      <f>SUM(AE44:AE46)</f>
    </nc>
  </rcc>
  <rcc rId="3883" sId="1">
    <oc r="AF47">
      <f>SUM(AF43:AF45)</f>
    </oc>
    <nc r="AF47">
      <f>SUM(AF44:AF46)</f>
    </nc>
  </rcc>
  <rcc rId="3884" sId="1">
    <oc r="AG47">
      <f>SUM(AG43:AG45)</f>
    </oc>
    <nc r="AG47">
      <f>SUM(AG44:AG46)</f>
    </nc>
  </rcc>
  <rcc rId="3885" sId="1">
    <nc r="AH47">
      <f>SUM(AH44:AH46)</f>
    </nc>
  </rcc>
  <rcc rId="3886" sId="1">
    <oc r="AI47">
      <f>SUM(AI43:AI45)</f>
    </oc>
    <nc r="AI47">
      <f>SUM(AI44:AI46)</f>
    </nc>
  </rcc>
  <rcc rId="3887" sId="1">
    <oc r="AJ47">
      <f>SUM(AJ43:AJ45)</f>
    </oc>
    <nc r="AJ47">
      <f>SUM(AJ44:AJ46)</f>
    </nc>
  </rcc>
  <rcc rId="3888" sId="1">
    <oc r="AK47">
      <f>SUM(AK43:AK45)</f>
    </oc>
    <nc r="AK47">
      <f>SUM(AK44:AK46)</f>
    </nc>
  </rcc>
  <rcc rId="3889" sId="1">
    <oc r="S47">
      <f>SUM(S44:S45)</f>
    </oc>
    <nc r="S47">
      <f>SUM(S43:S46)</f>
    </nc>
  </rcc>
  <rcc rId="3890" sId="1">
    <oc r="T52">
      <f>SUM(T48:T196)</f>
    </oc>
    <nc r="T52">
      <f>SUM(T48:T51)</f>
    </nc>
  </rcc>
  <rcc rId="3891" sId="1">
    <oc r="U52">
      <f>SUM(U48:U196)</f>
    </oc>
    <nc r="U52">
      <f>SUM(U48:U51)</f>
    </nc>
  </rcc>
  <rfmt sheetId="1" sqref="T51">
    <dxf>
      <fill>
        <patternFill patternType="solid">
          <bgColor rgb="FFFFFF00"/>
        </patternFill>
      </fill>
    </dxf>
  </rfmt>
</revisions>
</file>

<file path=xl/revisions/revisionLog3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92" sId="1">
    <oc r="W52">
      <f>SUM(W48:W196)</f>
    </oc>
    <nc r="W52">
      <f>SUM(W48:W51)</f>
    </nc>
  </rcc>
  <rcc rId="3893" sId="1">
    <oc r="X52">
      <f>SUM(X48:X196)</f>
    </oc>
    <nc r="X52">
      <f>SUM(X48:X51)</f>
    </nc>
  </rcc>
  <rcc rId="3894" sId="1">
    <oc r="Z52">
      <f>SUM(Z48:Z196)</f>
    </oc>
    <nc r="Z52">
      <f>SUM(Z48:Z51)</f>
    </nc>
  </rcc>
  <rcc rId="3895" sId="1">
    <oc r="AK52">
      <f>SUM(AK48:AK50)</f>
    </oc>
    <nc r="AK52">
      <f>SUM(AK48:AK51)</f>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02" sId="1">
    <oc r="AI321" t="inlineStr">
      <is>
        <t>n.a</t>
      </is>
    </oc>
    <nc r="AI321" t="inlineStr">
      <is>
        <t>AA1/ 24.07.2019</t>
      </is>
    </nc>
  </rcc>
  <rcv guid="{0781B6C2-B440-4971-9809-BD16245A70FD}" action="delete"/>
  <rdn rId="0" localSheetId="1" customView="1" name="Z_0781B6C2_B440_4971_9809_BD16245A70FD_.wvu.PrintArea" hidden="1" oldHidden="1">
    <formula>Sheet1!$A$1:$AL$487</formula>
    <oldFormula>Sheet1!$A$1:$AL$487</oldFormula>
  </rdn>
  <rdn rId="0" localSheetId="1" customView="1" name="Z_0781B6C2_B440_4971_9809_BD16245A70FD_.wvu.FilterData" hidden="1" oldHidden="1">
    <formula>Sheet1!$A$1:$AL$453</formula>
    <oldFormula>Sheet1!$A$1:$AL$453</oldFormula>
  </rdn>
  <rcv guid="{0781B6C2-B440-4971-9809-BD16245A70FD}" action="add"/>
</revisions>
</file>

<file path=xl/revisions/revisionLog3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96" sId="1">
    <oc r="S60">
      <f>SUM(S53:S56)</f>
    </oc>
    <nc r="S60">
      <f>SUM(S53:S59)</f>
    </nc>
  </rcc>
  <rcc rId="3897" sId="1">
    <oc r="T60">
      <f>SUM(T53:T56)</f>
    </oc>
    <nc r="T60">
      <f>SUM(T53:T59)</f>
    </nc>
  </rcc>
  <rcc rId="3898" sId="1">
    <oc r="U60">
      <f>SUM(U53:U59)</f>
    </oc>
    <nc r="U60">
      <f>SUM(U53:U59)</f>
    </nc>
  </rcc>
  <rcc rId="3899" sId="1">
    <oc r="V60">
      <f>SUM(V53:V56)</f>
    </oc>
    <nc r="V60">
      <f>SUM(V53:V59)</f>
    </nc>
  </rcc>
  <rcc rId="3900" sId="1">
    <oc r="W60">
      <f>SUM(W53:W56)</f>
    </oc>
    <nc r="W60">
      <f>SUM(W53:W59)</f>
    </nc>
  </rcc>
  <rcc rId="3901" sId="1">
    <oc r="X60">
      <f>SUM(X53:X57)</f>
    </oc>
    <nc r="X60">
      <f>SUM(X53:X59)</f>
    </nc>
  </rcc>
  <rcc rId="3902" sId="1">
    <oc r="Y60">
      <f>SUM(Y53:Y56)</f>
    </oc>
    <nc r="Y60">
      <f>SUM(Y53:Y59)</f>
    </nc>
  </rcc>
  <rcc rId="3903" sId="1">
    <oc r="Z60">
      <f>SUM(Z53:Z59)</f>
    </oc>
    <nc r="Z60">
      <f>SUM(Z53:Z59)</f>
    </nc>
  </rcc>
  <rcc rId="3904" sId="1">
    <oc r="AA60">
      <f>SUM(AA53:AA59)</f>
    </oc>
    <nc r="AA60">
      <f>SUM(AA53:AA59)</f>
    </nc>
  </rcc>
  <rcc rId="3905" sId="1">
    <oc r="AB60">
      <f>SUM(AB53:AB56)</f>
    </oc>
    <nc r="AB60">
      <f>SUM(AB53:AB59)</f>
    </nc>
  </rcc>
  <rcc rId="3906" sId="1">
    <oc r="AC60">
      <f>SUM(AC53:AC59)</f>
    </oc>
    <nc r="AC60">
      <f>SUM(AC53:AC59)</f>
    </nc>
  </rcc>
  <rcc rId="3907" sId="1">
    <oc r="AD60">
      <f>SUM(AD53:AD59)</f>
    </oc>
    <nc r="AD60">
      <f>SUM(AD53:AD59)</f>
    </nc>
  </rcc>
  <rcc rId="3908" sId="1">
    <oc r="AE60">
      <f>SUM(AE53:AE56)</f>
    </oc>
    <nc r="AE60">
      <f>SUM(AE53:AE59)</f>
    </nc>
  </rcc>
  <rcc rId="3909" sId="1">
    <oc r="AF60">
      <f>SUM(AF53:AF57)</f>
    </oc>
    <nc r="AF60">
      <f>SUM(AF53:AF59)</f>
    </nc>
  </rcc>
  <rcc rId="3910" sId="1">
    <oc r="AG60">
      <f>SUM(AG53:AG57)</f>
    </oc>
    <nc r="AG60">
      <f>SUM(AG53:AG59)</f>
    </nc>
  </rcc>
  <rcc rId="3911" sId="1">
    <nc r="AH60">
      <f>SUM(AH53:AH59)</f>
    </nc>
  </rcc>
  <rcc rId="3912" sId="1">
    <oc r="AI60">
      <f>SUM(AI53:AI56)</f>
    </oc>
    <nc r="AI60">
      <f>SUM(AI53:AI59)</f>
    </nc>
  </rcc>
  <rcc rId="3913" sId="1">
    <oc r="AJ60">
      <f>SUM(AJ53:AJ57)</f>
    </oc>
    <nc r="AJ60">
      <f>SUM(AJ53:AJ59)</f>
    </nc>
  </rcc>
  <rcc rId="3914" sId="1" odxf="1" dxf="1">
    <nc r="AK60">
      <f>SUM(AK53:AK59)</f>
    </nc>
    <odxf>
      <numFmt numFmtId="3" formatCode="#,##0"/>
    </odxf>
    <ndxf>
      <numFmt numFmtId="4" formatCode="#,##0.00"/>
    </ndxf>
  </rcc>
</revisions>
</file>

<file path=xl/revisions/revisionLog3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15" sId="1">
    <oc r="S72">
      <f>SUM(S61:S70)</f>
    </oc>
    <nc r="S72">
      <f>SUM(S61:S71)</f>
    </nc>
  </rcc>
  <rcc rId="3916" sId="1">
    <oc r="T72">
      <f>SUM(T61:T71)</f>
    </oc>
    <nc r="T72">
      <f>SUM(T61:T71)</f>
    </nc>
  </rcc>
  <rcc rId="3917" sId="1">
    <oc r="U72">
      <f>SUM(U61:U71)</f>
    </oc>
    <nc r="U72">
      <f>SUM(U61:U71)</f>
    </nc>
  </rcc>
  <rcc rId="3918" sId="1">
    <oc r="V72">
      <f>SUM(V61:V70)</f>
    </oc>
    <nc r="V72">
      <f>SUM(V61:V71)</f>
    </nc>
  </rcc>
  <rcc rId="3919" sId="1">
    <oc r="W72">
      <f>SUM(W61:W71)</f>
    </oc>
    <nc r="W72">
      <f>SUM(W61:W71)</f>
    </nc>
  </rcc>
  <rcc rId="3920" sId="1">
    <oc r="X72">
      <f>SUM(X61:X71)</f>
    </oc>
    <nc r="X72">
      <f>SUM(X61:X71)</f>
    </nc>
  </rcc>
  <rcc rId="3921" sId="1">
    <oc r="Y72">
      <f>SUM(Y61:Y70)</f>
    </oc>
    <nc r="Y72">
      <f>SUM(Y61:Y71)</f>
    </nc>
  </rcc>
  <rcc rId="3922" sId="1">
    <oc r="Z72">
      <f>SUM(Z61:Z71)</f>
    </oc>
    <nc r="Z72">
      <f>SUM(Z61:Z71)</f>
    </nc>
  </rcc>
  <rcc rId="3923" sId="1">
    <oc r="AA72">
      <f>SUM(AA61:AA71)</f>
    </oc>
    <nc r="AA72">
      <f>SUM(AA61:AA71)</f>
    </nc>
  </rcc>
  <rcc rId="3924" sId="1">
    <oc r="AB72">
      <f>SUM(AB61:AB70)</f>
    </oc>
    <nc r="AB72">
      <f>SUM(AB61:AB71)</f>
    </nc>
  </rcc>
  <rcc rId="3925" sId="1">
    <oc r="AC72">
      <f>SUM(AC61:AC71)</f>
    </oc>
    <nc r="AC72">
      <f>SUM(AC61:AC71)</f>
    </nc>
  </rcc>
  <rcc rId="3926" sId="1">
    <oc r="AD72">
      <f>SUM(AD61:AD71)</f>
    </oc>
    <nc r="AD72">
      <f>SUM(AD61:AD71)</f>
    </nc>
  </rcc>
  <rcc rId="3927" sId="1">
    <oc r="AE72">
      <f>SUM(AE61:AE70)</f>
    </oc>
    <nc r="AE72">
      <f>SUM(AE61:AE71)</f>
    </nc>
  </rcc>
  <rcc rId="3928" sId="1">
    <oc r="AF72">
      <f>SUM(AF61:AF71)</f>
    </oc>
    <nc r="AF72">
      <f>SUM(AF61:AF71)</f>
    </nc>
  </rcc>
  <rcc rId="3929" sId="1">
    <oc r="AG72">
      <f>SUM(AG61:AG70)</f>
    </oc>
    <nc r="AG72">
      <f>SUM(AG61:AG71)</f>
    </nc>
  </rcc>
  <rcc rId="3930" sId="1">
    <oc r="AH72">
      <f>SUM(AH61:AH70)</f>
    </oc>
    <nc r="AH72">
      <f>SUM(AH61:AH71)</f>
    </nc>
  </rcc>
  <rcc rId="3931" sId="1">
    <oc r="AI72">
      <f>SUM(AI61:AI70)</f>
    </oc>
    <nc r="AI72">
      <f>SUM(AI61:AI71)</f>
    </nc>
  </rcc>
  <rcc rId="3932" sId="1">
    <oc r="AJ72">
      <f>SUM(AJ61:AJ70)</f>
    </oc>
    <nc r="AJ72">
      <f>SUM(AJ61:AJ71)</f>
    </nc>
  </rcc>
  <rcc rId="3933" sId="1">
    <oc r="AK72">
      <f>SUM(AK61:AK70)</f>
    </oc>
    <nc r="AK72">
      <f>SUM(AK61:AK71)</f>
    </nc>
  </rcc>
</revisions>
</file>

<file path=xl/revisions/revisionLog3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34" sId="1" odxf="1" dxf="1">
    <oc r="S79">
      <f>SUM(S73:S75)</f>
    </oc>
    <nc r="S79">
      <f>SUM(S73:S78)</f>
    </nc>
    <odxf>
      <numFmt numFmtId="0" formatCode="General"/>
    </odxf>
    <ndxf>
      <numFmt numFmtId="4" formatCode="#,##0.00"/>
    </ndxf>
  </rcc>
  <rcc rId="3935" sId="1" odxf="1" dxf="1">
    <oc r="T79">
      <f>SUM(T73:T75)</f>
    </oc>
    <nc r="T79">
      <f>SUM(T73:T78)</f>
    </nc>
    <odxf>
      <numFmt numFmtId="0" formatCode="General"/>
    </odxf>
    <ndxf>
      <numFmt numFmtId="4" formatCode="#,##0.00"/>
    </ndxf>
  </rcc>
  <rcc rId="3936" sId="1" odxf="1" dxf="1">
    <oc r="U79">
      <f>SUM(U73:U76)</f>
    </oc>
    <nc r="U79">
      <f>SUM(U73:U78)</f>
    </nc>
    <odxf>
      <numFmt numFmtId="0" formatCode="General"/>
    </odxf>
    <ndxf>
      <numFmt numFmtId="4" formatCode="#,##0.00"/>
    </ndxf>
  </rcc>
  <rcc rId="3937" sId="1" odxf="1" dxf="1">
    <oc r="V79">
      <f>SUM(V73:V75)</f>
    </oc>
    <nc r="V79">
      <f>SUM(V73:V78)</f>
    </nc>
    <odxf>
      <numFmt numFmtId="0" formatCode="General"/>
    </odxf>
    <ndxf>
      <numFmt numFmtId="4" formatCode="#,##0.00"/>
    </ndxf>
  </rcc>
  <rcc rId="3938" sId="1" odxf="1" dxf="1">
    <oc r="W79">
      <f>SUM(W73:W75)</f>
    </oc>
    <nc r="W79">
      <f>SUM(W73:W78)</f>
    </nc>
    <odxf>
      <numFmt numFmtId="0" formatCode="General"/>
    </odxf>
    <ndxf>
      <numFmt numFmtId="4" formatCode="#,##0.00"/>
    </ndxf>
  </rcc>
  <rcc rId="3939" sId="1" odxf="1" dxf="1">
    <oc r="X79">
      <f>SUM(X73:X75)</f>
    </oc>
    <nc r="X79">
      <f>SUM(X73:X78)</f>
    </nc>
    <odxf>
      <numFmt numFmtId="0" formatCode="General"/>
    </odxf>
    <ndxf>
      <numFmt numFmtId="4" formatCode="#,##0.00"/>
    </ndxf>
  </rcc>
  <rcc rId="3940" sId="1" odxf="1" dxf="1">
    <oc r="Y79">
      <f>SUM(Y73:Y75)</f>
    </oc>
    <nc r="Y79">
      <f>SUM(Y73:Y78)</f>
    </nc>
    <odxf>
      <numFmt numFmtId="0" formatCode="General"/>
    </odxf>
    <ndxf>
      <numFmt numFmtId="4" formatCode="#,##0.00"/>
    </ndxf>
  </rcc>
  <rcc rId="3941" sId="1" odxf="1" dxf="1">
    <oc r="Z79">
      <f>SUM(Z73:Z75)</f>
    </oc>
    <nc r="Z79">
      <f>SUM(Z73:Z78)</f>
    </nc>
    <odxf>
      <numFmt numFmtId="0" formatCode="General"/>
    </odxf>
    <ndxf>
      <numFmt numFmtId="4" formatCode="#,##0.00"/>
    </ndxf>
  </rcc>
  <rcc rId="3942" sId="1" odxf="1" dxf="1">
    <oc r="AA79">
      <f>SUM(AA73:AA76)</f>
    </oc>
    <nc r="AA79">
      <f>SUM(AA73:AA78)</f>
    </nc>
    <odxf>
      <numFmt numFmtId="0" formatCode="General"/>
    </odxf>
    <ndxf>
      <numFmt numFmtId="4" formatCode="#,##0.00"/>
    </ndxf>
  </rcc>
  <rcc rId="3943" sId="1" odxf="1" dxf="1">
    <oc r="AB79">
      <f>SUM(AB73:AB75)</f>
    </oc>
    <nc r="AB79">
      <f>SUM(AB73:AB78)</f>
    </nc>
    <odxf>
      <numFmt numFmtId="0" formatCode="General"/>
    </odxf>
    <ndxf>
      <numFmt numFmtId="4" formatCode="#,##0.00"/>
    </ndxf>
  </rcc>
  <rcc rId="3944" sId="1" odxf="1" dxf="1">
    <oc r="AC79">
      <f>SUM(AC73:AC75)</f>
    </oc>
    <nc r="AC79">
      <f>SUM(AC73:AC78)</f>
    </nc>
    <odxf>
      <numFmt numFmtId="0" formatCode="General"/>
    </odxf>
    <ndxf>
      <numFmt numFmtId="4" formatCode="#,##0.00"/>
    </ndxf>
  </rcc>
  <rcc rId="3945" sId="1" odxf="1" dxf="1">
    <oc r="AD79">
      <f>SUM(AD73:AD76)</f>
    </oc>
    <nc r="AD79">
      <f>SUM(AD73:AD78)</f>
    </nc>
    <odxf>
      <numFmt numFmtId="0" formatCode="General"/>
    </odxf>
    <ndxf>
      <numFmt numFmtId="4" formatCode="#,##0.00"/>
    </ndxf>
  </rcc>
  <rcc rId="3946" sId="1" odxf="1" dxf="1">
    <oc r="AE79">
      <f>SUM(AE73:AE75)</f>
    </oc>
    <nc r="AE79">
      <f>SUM(AE73:AE78)</f>
    </nc>
    <odxf>
      <numFmt numFmtId="0" formatCode="General"/>
    </odxf>
    <ndxf>
      <numFmt numFmtId="4" formatCode="#,##0.00"/>
    </ndxf>
  </rcc>
  <rcc rId="3947" sId="1" odxf="1" dxf="1">
    <oc r="AF79">
      <f>SUM(AF73:AF75)</f>
    </oc>
    <nc r="AF79">
      <f>SUM(AF73:AF78)</f>
    </nc>
    <odxf>
      <numFmt numFmtId="0" formatCode="General"/>
    </odxf>
    <ndxf>
      <numFmt numFmtId="4" formatCode="#,##0.00"/>
    </ndxf>
  </rcc>
  <rcc rId="3948" sId="1" odxf="1" dxf="1">
    <oc r="AG79">
      <f>SUM(AG73:AG75)</f>
    </oc>
    <nc r="AG79">
      <f>SUM(AG73:AG78)</f>
    </nc>
    <odxf>
      <numFmt numFmtId="0" formatCode="General"/>
    </odxf>
    <ndxf>
      <numFmt numFmtId="4" formatCode="#,##0.00"/>
    </ndxf>
  </rcc>
  <rcc rId="3949" sId="1" odxf="1" dxf="1">
    <nc r="AH79">
      <f>SUM(AH73:AH78)</f>
    </nc>
    <odxf>
      <numFmt numFmtId="0" formatCode="General"/>
    </odxf>
    <ndxf>
      <numFmt numFmtId="4" formatCode="#,##0.00"/>
    </ndxf>
  </rcc>
  <rcc rId="3950" sId="1" odxf="1" dxf="1">
    <oc r="AI79">
      <f>SUM(AI73:AI75)</f>
    </oc>
    <nc r="AI79">
      <f>SUM(AI73:AI78)</f>
    </nc>
    <odxf>
      <numFmt numFmtId="0" formatCode="General"/>
    </odxf>
    <ndxf>
      <numFmt numFmtId="4" formatCode="#,##0.00"/>
    </ndxf>
  </rcc>
  <rcc rId="3951" sId="1" odxf="1" dxf="1">
    <oc r="AJ79">
      <f>SUM(AJ73:AJ75)</f>
    </oc>
    <nc r="AJ79">
      <f>SUM(AJ73:AJ78)</f>
    </nc>
    <odxf>
      <numFmt numFmtId="0" formatCode="General"/>
    </odxf>
    <ndxf>
      <numFmt numFmtId="4" formatCode="#,##0.00"/>
    </ndxf>
  </rcc>
  <rcc rId="3952" sId="1" odxf="1" dxf="1">
    <oc r="AK79">
      <f>SUM(AK73:AK75)</f>
    </oc>
    <nc r="AK79">
      <f>SUM(AK73:AK78)</f>
    </nc>
    <odxf>
      <numFmt numFmtId="0" formatCode="General"/>
    </odxf>
    <ndxf>
      <numFmt numFmtId="4" formatCode="#,##0.00"/>
    </ndxf>
  </rcc>
</revisions>
</file>

<file path=xl/revisions/revisionLog3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53" sId="1">
    <oc r="S87">
      <f>SUM(S81:S83)</f>
    </oc>
    <nc r="S87">
      <f>SUM(S80:S86)</f>
    </nc>
  </rcc>
  <rcc rId="3954" sId="1">
    <oc r="T87">
      <f>SUM(T81:T83)</f>
    </oc>
    <nc r="T87">
      <f>SUM(T80:T86)</f>
    </nc>
  </rcc>
  <rcc rId="3955" sId="1">
    <oc r="U87">
      <f>SUM(U81:U83)</f>
    </oc>
    <nc r="U87">
      <f>SUM(U80:U86)</f>
    </nc>
  </rcc>
  <rcc rId="3956" sId="1">
    <oc r="V87">
      <f>SUM(V81:V83)</f>
    </oc>
    <nc r="V87">
      <f>SUM(V80:V86)</f>
    </nc>
  </rcc>
  <rcc rId="3957" sId="1">
    <oc r="W87">
      <f>SUM(W81:W83)</f>
    </oc>
    <nc r="W87">
      <f>SUM(W80:W86)</f>
    </nc>
  </rcc>
  <rcc rId="3958" sId="1">
    <oc r="X87">
      <f>SUM(X81:X83)</f>
    </oc>
    <nc r="X87">
      <f>SUM(X80:X86)</f>
    </nc>
  </rcc>
  <rcc rId="3959" sId="1">
    <oc r="Y87">
      <f>SUM(Y81:Y83)</f>
    </oc>
    <nc r="Y87">
      <f>SUM(Y80:Y86)</f>
    </nc>
  </rcc>
  <rcc rId="3960" sId="1">
    <oc r="Z87">
      <f>SUM(Z81:Z83)</f>
    </oc>
    <nc r="Z87">
      <f>SUM(Z80:Z86)</f>
    </nc>
  </rcc>
  <rcc rId="3961" sId="1">
    <oc r="AA87">
      <f>SUM(AA81:AA83)</f>
    </oc>
    <nc r="AA87">
      <f>SUM(AA80:AA86)</f>
    </nc>
  </rcc>
  <rcc rId="3962" sId="1">
    <oc r="AB87">
      <f>SUM(AB81:AB83)</f>
    </oc>
    <nc r="AB87">
      <f>SUM(AB80:AB86)</f>
    </nc>
  </rcc>
  <rcc rId="3963" sId="1">
    <oc r="AC87">
      <f>SUM(AC81:AC83)</f>
    </oc>
    <nc r="AC87">
      <f>SUM(AC80:AC86)</f>
    </nc>
  </rcc>
  <rcc rId="3964" sId="1">
    <oc r="AD87">
      <f>SUM(AD81:AD83)</f>
    </oc>
    <nc r="AD87">
      <f>SUM(AD80:AD86)</f>
    </nc>
  </rcc>
  <rcc rId="3965" sId="1">
    <oc r="AE87">
      <f>SUM(AE81:AE83)</f>
    </oc>
    <nc r="AE87">
      <f>SUM(AE80:AE86)</f>
    </nc>
  </rcc>
  <rcc rId="3966" sId="1">
    <oc r="AF87">
      <f>SUM(AF81:AF83)</f>
    </oc>
    <nc r="AF87">
      <f>SUM(AF80:AF86)</f>
    </nc>
  </rcc>
  <rcc rId="3967" sId="1">
    <oc r="AG87">
      <f>SUM(AG81:AG83)</f>
    </oc>
    <nc r="AG87">
      <f>SUM(AG80:AG86)</f>
    </nc>
  </rcc>
  <rcc rId="3968" sId="1">
    <nc r="AH87">
      <f>SUM(AH80:AH86)</f>
    </nc>
  </rcc>
  <rcc rId="3969" sId="1">
    <oc r="AI87">
      <f>SUM(AI81:AI83)</f>
    </oc>
    <nc r="AI87">
      <f>SUM(AI80:AI86)</f>
    </nc>
  </rcc>
  <rcc rId="3970" sId="1">
    <oc r="AJ87">
      <f>SUM(AJ81:AJ83)</f>
    </oc>
    <nc r="AJ87">
      <f>SUM(AJ80:AJ86)</f>
    </nc>
  </rcc>
  <rcc rId="3971" sId="1">
    <oc r="AK87">
      <f>SUM(AK81:AK83)</f>
    </oc>
    <nc r="AK87">
      <f>SUM(AK80:AK86)</f>
    </nc>
  </rcc>
  <rcc rId="3972" sId="1">
    <oc r="S99">
      <f>SUM(S92:S96)</f>
    </oc>
    <nc r="S99">
      <f>SUM(S92:S98)</f>
    </nc>
  </rcc>
  <rcc rId="3973" sId="1">
    <oc r="T99">
      <f>SUM(T92:T98)</f>
    </oc>
    <nc r="T99">
      <f>SUM(T92:T98)</f>
    </nc>
  </rcc>
  <rcc rId="3974" sId="1">
    <oc r="U99">
      <f>SUM(U92:U98)</f>
    </oc>
    <nc r="U99">
      <f>SUM(U92:U98)</f>
    </nc>
  </rcc>
  <rcc rId="3975" sId="1">
    <oc r="V99">
      <f>SUM(V92:V96)</f>
    </oc>
    <nc r="V99">
      <f>SUM(V92:V98)</f>
    </nc>
  </rcc>
  <rcc rId="3976" sId="1">
    <oc r="W99">
      <f>SUM(W92:W98)</f>
    </oc>
    <nc r="W99">
      <f>SUM(W92:W98)</f>
    </nc>
  </rcc>
  <rcc rId="3977" sId="1">
    <oc r="X99">
      <f>SUM(X92:X98)</f>
    </oc>
    <nc r="X99">
      <f>SUM(X92:X98)</f>
    </nc>
  </rcc>
  <rcc rId="3978" sId="1">
    <oc r="Y99">
      <f>SUM(Y92:Y96)</f>
    </oc>
    <nc r="Y99">
      <f>SUM(Y92:Y98)</f>
    </nc>
  </rcc>
  <rcc rId="3979" sId="1">
    <oc r="Z99">
      <f>SUM(Z92:Z98)</f>
    </oc>
    <nc r="Z99">
      <f>SUM(Z92:Z98)</f>
    </nc>
  </rcc>
  <rcc rId="3980" sId="1">
    <oc r="AA99">
      <f>SUM(AA92:AA98)</f>
    </oc>
    <nc r="AA99">
      <f>SUM(AA92:AA98)</f>
    </nc>
  </rcc>
  <rcc rId="3981" sId="1">
    <oc r="AB99">
      <f>SUM(AB92:AB96)</f>
    </oc>
    <nc r="AB99">
      <f>SUM(AB92:AB98)</f>
    </nc>
  </rcc>
  <rcc rId="3982" sId="1">
    <oc r="AC99">
      <f>SUM(AC92:AC98)</f>
    </oc>
    <nc r="AC99">
      <f>SUM(AC92:AC98)</f>
    </nc>
  </rcc>
  <rcc rId="3983" sId="1">
    <oc r="AD99">
      <f>SUM(AD92:AD98)</f>
    </oc>
    <nc r="AD99">
      <f>SUM(AD92:AD98)</f>
    </nc>
  </rcc>
  <rcc rId="3984" sId="1">
    <oc r="AE99">
      <f>SUM(AE92:AE96)</f>
    </oc>
    <nc r="AE99">
      <f>SUM(AE92:AE98)</f>
    </nc>
  </rcc>
  <rcc rId="3985" sId="1">
    <oc r="AF99">
      <f>SUM(AF92:AF98)</f>
    </oc>
    <nc r="AF99">
      <f>SUM(AF92:AF98)</f>
    </nc>
  </rcc>
  <rcc rId="3986" sId="1">
    <oc r="AG99">
      <f>SUM(AG92:AG96)</f>
    </oc>
    <nc r="AG99">
      <f>SUM(AG92:AG98)</f>
    </nc>
  </rcc>
  <rcc rId="3987" sId="1">
    <nc r="AH99">
      <f>SUM(AH92:AH98)</f>
    </nc>
  </rcc>
  <rcc rId="3988" sId="1">
    <oc r="AI99">
      <f>SUM(AI92:AI96)</f>
    </oc>
    <nc r="AI99">
      <f>SUM(AI92:AI98)</f>
    </nc>
  </rcc>
  <rcc rId="3989" sId="1">
    <oc r="AJ99">
      <f>SUM(AJ92:AJ96)</f>
    </oc>
    <nc r="AJ99">
      <f>SUM(AJ92:AJ98)</f>
    </nc>
  </rcc>
  <rcc rId="3990" sId="1">
    <oc r="AK99">
      <f>SUM(AK92:AK96)</f>
    </oc>
    <nc r="AK99">
      <f>SUM(AK92:AK98)</f>
    </nc>
  </rcc>
</revisions>
</file>

<file path=xl/revisions/revisionLog3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91" sId="1">
    <oc r="S105">
      <f>SUM(S100:S102)</f>
    </oc>
    <nc r="S105">
      <f>SUM(S100:S104)</f>
    </nc>
  </rcc>
  <rcc rId="3992" sId="1">
    <oc r="T105">
      <f>SUM(T100:T102)</f>
    </oc>
    <nc r="T105">
      <f>SUM(T100:T104)</f>
    </nc>
  </rcc>
  <rcc rId="3993" sId="1">
    <oc r="U105">
      <f>SUM(U100:U102)</f>
    </oc>
    <nc r="U105">
      <f>SUM(U100:U104)</f>
    </nc>
  </rcc>
  <rcc rId="3994" sId="1">
    <oc r="V105">
      <f>SUM(V100:V102)</f>
    </oc>
    <nc r="V105">
      <f>SUM(V100:V104)</f>
    </nc>
  </rcc>
  <rcc rId="3995" sId="1">
    <oc r="W105">
      <f>SUM(W100:W102)</f>
    </oc>
    <nc r="W105">
      <f>SUM(W100:W104)</f>
    </nc>
  </rcc>
  <rcc rId="3996" sId="1">
    <oc r="X105">
      <f>SUM(X100:X102)</f>
    </oc>
    <nc r="X105">
      <f>SUM(X100:X104)</f>
    </nc>
  </rcc>
  <rcc rId="3997" sId="1">
    <oc r="Y105">
      <f>SUM(Y100:Y102)</f>
    </oc>
    <nc r="Y105">
      <f>SUM(Y100:Y104)</f>
    </nc>
  </rcc>
  <rcc rId="3998" sId="1">
    <oc r="Z105">
      <f>SUM(Z100:Z102)</f>
    </oc>
    <nc r="Z105">
      <f>SUM(Z100:Z104)</f>
    </nc>
  </rcc>
  <rcc rId="3999" sId="1">
    <oc r="AA105">
      <f>SUM(AA100:AA102)</f>
    </oc>
    <nc r="AA105">
      <f>SUM(AA100:AA104)</f>
    </nc>
  </rcc>
  <rcc rId="4000" sId="1">
    <oc r="AB105">
      <f>SUM(AB100:AB102)</f>
    </oc>
    <nc r="AB105">
      <f>SUM(AB100:AB104)</f>
    </nc>
  </rcc>
  <rcc rId="4001" sId="1">
    <oc r="AC105">
      <f>SUM(AC100:AC102)</f>
    </oc>
    <nc r="AC105">
      <f>SUM(AC100:AC104)</f>
    </nc>
  </rcc>
  <rcc rId="4002" sId="1">
    <oc r="AD105">
      <f>SUM(AD100:AD102)</f>
    </oc>
    <nc r="AD105">
      <f>SUM(AD100:AD104)</f>
    </nc>
  </rcc>
  <rcc rId="4003" sId="1">
    <oc r="AE105">
      <f>SUM(AE100:AE102)</f>
    </oc>
    <nc r="AE105">
      <f>SUM(AE100:AE104)</f>
    </nc>
  </rcc>
  <rcc rId="4004" sId="1">
    <oc r="AF105">
      <f>SUM(AF100:AF102)</f>
    </oc>
    <nc r="AF105">
      <f>SUM(AF100:AF104)</f>
    </nc>
  </rcc>
  <rcc rId="4005" sId="1">
    <oc r="AG105">
      <f>SUM(AG100:AG102)</f>
    </oc>
    <nc r="AG105">
      <f>SUM(AG100:AG104)</f>
    </nc>
  </rcc>
  <rcc rId="4006" sId="1">
    <nc r="AH105">
      <f>SUM(AH100:AH104)</f>
    </nc>
  </rcc>
  <rcc rId="4007" sId="1">
    <oc r="AI105">
      <f>SUM(AI100:AI102)</f>
    </oc>
    <nc r="AI105">
      <f>SUM(AI100:AI104)</f>
    </nc>
  </rcc>
  <rcc rId="4008" sId="1">
    <oc r="AJ105">
      <f>SUM(AJ100:AJ102)</f>
    </oc>
    <nc r="AJ105">
      <f>SUM(AJ100:AJ104)</f>
    </nc>
  </rcc>
  <rcc rId="4009" sId="1">
    <oc r="AK105">
      <f>SUM(AK100:AK102)</f>
    </oc>
    <nc r="AK105">
      <f>SUM(AK100:AK104)</f>
    </nc>
  </rcc>
</revisions>
</file>

<file path=xl/revisions/revisionLog3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06" start="0" length="2147483647">
    <dxf>
      <font>
        <b val="0"/>
      </font>
    </dxf>
  </rfmt>
  <rcc rId="4010" sId="1">
    <oc r="S120">
      <f>SUM(S111:S115)</f>
    </oc>
    <nc r="S120">
      <f>SUM(S111:S119)</f>
    </nc>
  </rcc>
  <rcc rId="4011" sId="1">
    <oc r="T120">
      <f>SUM(T111:T115)</f>
    </oc>
    <nc r="T120">
      <f>SUM(T111:T119)</f>
    </nc>
  </rcc>
  <rcc rId="4012" sId="1">
    <oc r="U120">
      <f>SUM(U111:U115)</f>
    </oc>
    <nc r="U120">
      <f>SUM(U111:U119)</f>
    </nc>
  </rcc>
  <rcc rId="4013" sId="1">
    <oc r="V120">
      <f>SUM(V111:V115)</f>
    </oc>
    <nc r="V120">
      <f>SUM(V111:V119)</f>
    </nc>
  </rcc>
  <rcc rId="4014" sId="1">
    <oc r="W120">
      <f>SUM(W111:W115)</f>
    </oc>
    <nc r="W120">
      <f>SUM(W111:W119)</f>
    </nc>
  </rcc>
  <rcc rId="4015" sId="1">
    <oc r="X120">
      <f>SUM(X111:X115)</f>
    </oc>
    <nc r="X120">
      <f>SUM(X111:X119)</f>
    </nc>
  </rcc>
  <rcc rId="4016" sId="1">
    <oc r="Y120">
      <f>SUM(Y111:Y115)</f>
    </oc>
    <nc r="Y120">
      <f>SUM(Y111:Y119)</f>
    </nc>
  </rcc>
  <rcc rId="4017" sId="1">
    <oc r="Z120">
      <f>SUM(Z111:Z116)</f>
    </oc>
    <nc r="Z120">
      <f>SUM(Z111:Z119)</f>
    </nc>
  </rcc>
  <rcc rId="4018" sId="1">
    <oc r="AA120">
      <f>SUM(AA111:AA116)</f>
    </oc>
    <nc r="AA120">
      <f>SUM(AA111:AA119)</f>
    </nc>
  </rcc>
  <rcc rId="4019" sId="1">
    <oc r="AB120">
      <f>SUM(AB111:AB115)</f>
    </oc>
    <nc r="AB120">
      <f>SUM(AB111:AB119)</f>
    </nc>
  </rcc>
  <rcc rId="4020" sId="1">
    <oc r="AC120">
      <f>SUM(AC111:AC115)</f>
    </oc>
    <nc r="AC120">
      <f>SUM(AC111:AC119)</f>
    </nc>
  </rcc>
  <rcc rId="4021" sId="1">
    <oc r="AD120">
      <f>SUM(AD111:AD115)</f>
    </oc>
    <nc r="AD120">
      <f>SUM(AD111:AD119)</f>
    </nc>
  </rcc>
  <rcc rId="4022" sId="1">
    <oc r="AE120">
      <f>SUM(AE111:AE115)</f>
    </oc>
    <nc r="AE120">
      <f>SUM(AE111:AE119)</f>
    </nc>
  </rcc>
  <rcc rId="4023" sId="1">
    <oc r="AF120">
      <f>SUM(AF111:AF115)</f>
    </oc>
    <nc r="AF120">
      <f>SUM(AF111:AF119)</f>
    </nc>
  </rcc>
  <rcc rId="4024" sId="1">
    <oc r="AG120">
      <f>SUM(AG111:AG115)</f>
    </oc>
    <nc r="AG120">
      <f>SUM(AG111:AG119)</f>
    </nc>
  </rcc>
  <rcc rId="4025" sId="1">
    <nc r="AH120">
      <f>SUM(AH111:AH119)</f>
    </nc>
  </rcc>
  <rcc rId="4026" sId="1">
    <oc r="AI120">
      <f>SUM(AI111:AI115)</f>
    </oc>
    <nc r="AI120">
      <f>SUM(AI111:AI119)</f>
    </nc>
  </rcc>
  <rcc rId="4027" sId="1">
    <oc r="AJ120">
      <f>SUM(AJ111:AJ115)</f>
    </oc>
    <nc r="AJ120">
      <f>SUM(AJ111:AJ119)</f>
    </nc>
  </rcc>
  <rcc rId="4028" sId="1">
    <oc r="AK120">
      <f>SUM(AK111:AK116)</f>
    </oc>
    <nc r="AK120">
      <f>SUM(AK111:AK119)</f>
    </nc>
  </rcc>
</revisions>
</file>

<file path=xl/revisions/revisionLog3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31" start="0" length="0">
    <dxf>
      <font>
        <b/>
        <sz val="12"/>
        <color auto="1"/>
      </font>
      <numFmt numFmtId="0" formatCode="General"/>
      <fill>
        <patternFill patternType="solid">
          <bgColor theme="9" tint="0.59999389629810485"/>
        </patternFill>
      </fill>
      <alignment horizontal="left"/>
    </dxf>
  </rfmt>
</revisions>
</file>

<file path=xl/revisions/revisionLog3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9" sId="1">
    <oc r="S131">
      <f>SUM(S127:S129)</f>
    </oc>
    <nc r="S131">
      <f>SUM(S127:S130)</f>
    </nc>
  </rcc>
  <rcc rId="4030" sId="1">
    <oc r="T131">
      <f>SUM(T127:T129)</f>
    </oc>
    <nc r="T131">
      <f>SUM(T127:T130)</f>
    </nc>
  </rcc>
  <rcc rId="4031" sId="1">
    <oc r="U131">
      <f>SUM(U127:U130)</f>
    </oc>
    <nc r="U131">
      <f>SUM(U127:U130)</f>
    </nc>
  </rcc>
  <rcc rId="4032" sId="1">
    <oc r="V131">
      <f>SUM(V127:V129)</f>
    </oc>
    <nc r="V131">
      <f>SUM(V127:V130)</f>
    </nc>
  </rcc>
  <rcc rId="4033" sId="1">
    <oc r="W131">
      <f>SUM(W127:W130)</f>
    </oc>
    <nc r="W131">
      <f>SUM(W127:W130)</f>
    </nc>
  </rcc>
  <rcc rId="4034" sId="1">
    <oc r="X131">
      <f>SUM(X127:X129)</f>
    </oc>
    <nc r="X131">
      <f>SUM(X127:X130)</f>
    </nc>
  </rcc>
  <rcc rId="4035" sId="1">
    <oc r="Y131">
      <f>SUM(Y127:Y129)</f>
    </oc>
    <nc r="Y131">
      <f>SUM(Y127:Y130)</f>
    </nc>
  </rcc>
  <rcc rId="4036" sId="1">
    <oc r="Z131">
      <f>SUM(Z127:Z130)</f>
    </oc>
    <nc r="Z131">
      <f>SUM(Z127:Z130)</f>
    </nc>
  </rcc>
  <rcc rId="4037" sId="1">
    <oc r="AA131">
      <f>SUM(AA127:AA130)</f>
    </oc>
    <nc r="AA131">
      <f>SUM(AA127:AA130)</f>
    </nc>
  </rcc>
  <rcc rId="4038" sId="1">
    <oc r="AB131">
      <f>SUM(AB127:AB129)</f>
    </oc>
    <nc r="AB131">
      <f>SUM(AB127:AB130)</f>
    </nc>
  </rcc>
  <rcc rId="4039" sId="1">
    <oc r="AC131">
      <f>SUM(AC127:AC129)</f>
    </oc>
    <nc r="AC131">
      <f>SUM(AC127:AC130)</f>
    </nc>
  </rcc>
  <rcc rId="4040" sId="1">
    <oc r="AD131">
      <f>SUM(AD127:AD129)</f>
    </oc>
    <nc r="AD131">
      <f>SUM(AD127:AD130)</f>
    </nc>
  </rcc>
  <rcc rId="4041" sId="1">
    <oc r="AE131">
      <f>SUM(AE127:AE129)</f>
    </oc>
    <nc r="AE131">
      <f>SUM(AE127:AE130)</f>
    </nc>
  </rcc>
  <rcc rId="4042" sId="1">
    <oc r="AF131">
      <f>SUM(AF127:AF129)</f>
    </oc>
    <nc r="AF131">
      <f>SUM(AF127:AF130)</f>
    </nc>
  </rcc>
  <rcc rId="4043" sId="1">
    <oc r="AG131">
      <f>SUM(AG127:AG129)</f>
    </oc>
    <nc r="AG131">
      <f>SUM(AG127:AG130)</f>
    </nc>
  </rcc>
  <rcc rId="4044" sId="1">
    <nc r="AH131">
      <f>SUM(AH127:AH130)</f>
    </nc>
  </rcc>
  <rcc rId="4045" sId="1">
    <oc r="AI131">
      <f>SUM(AI127:AI129)</f>
    </oc>
    <nc r="AI131">
      <f>SUM(AI127:AI130)</f>
    </nc>
  </rcc>
  <rcc rId="4046" sId="1">
    <oc r="AJ131">
      <f>SUM(AJ127:AJ129)</f>
    </oc>
    <nc r="AJ131">
      <f>SUM(AJ127:AJ130)</f>
    </nc>
  </rcc>
  <rcc rId="4047" sId="1">
    <oc r="AK131">
      <f>SUM(AK127:AK129)</f>
    </oc>
    <nc r="AK131">
      <f>SUM(AK127:AK130)</f>
    </nc>
  </rcc>
</revisions>
</file>

<file path=xl/revisions/revisionLog3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48" sId="1">
    <oc r="S139">
      <f>SUM(S132:S136)</f>
    </oc>
    <nc r="S139">
      <f>SUM(S132:S138)</f>
    </nc>
  </rcc>
  <rcc rId="4049" sId="1">
    <oc r="T139">
      <f>SUM(T132:T138)</f>
    </oc>
    <nc r="T139">
      <f>SUM(T132:T138)</f>
    </nc>
  </rcc>
  <rcc rId="4050" sId="1">
    <oc r="U139">
      <f>SUM(U132:U137)</f>
    </oc>
    <nc r="U139">
      <f>SUM(U132:U138)</f>
    </nc>
  </rcc>
  <rcc rId="4051" sId="1">
    <oc r="V139">
      <f>SUM(V132:V136)</f>
    </oc>
    <nc r="V139">
      <f>SUM(V132:V138)</f>
    </nc>
  </rcc>
  <rcc rId="4052" sId="1">
    <oc r="W139">
      <f>SUM(W132:W138)</f>
    </oc>
    <nc r="W139">
      <f>SUM(W132:W138)</f>
    </nc>
  </rcc>
  <rcc rId="4053" sId="1">
    <oc r="X139">
      <f>SUM(X132:X137)</f>
    </oc>
    <nc r="X139">
      <f>SUM(X132:X138)</f>
    </nc>
  </rcc>
  <rcc rId="4054" sId="1">
    <oc r="Y139">
      <f>SUM(Y132:Y136)</f>
    </oc>
    <nc r="Y139">
      <f>SUM(Y132:Y138)</f>
    </nc>
  </rcc>
  <rcc rId="4055" sId="1">
    <oc r="Z139">
      <f>SUM(Z132:Z138)</f>
    </oc>
    <nc r="Z139">
      <f>SUM(Z132:Z138)</f>
    </nc>
  </rcc>
  <rcc rId="4056" sId="1">
    <oc r="AA139">
      <f>SUM(AA132:AA137)</f>
    </oc>
    <nc r="AA139">
      <f>SUM(AA132:AA138)</f>
    </nc>
  </rcc>
  <rcc rId="4057" sId="1">
    <oc r="AB139">
      <f>SUM(AB132:AB136)</f>
    </oc>
    <nc r="AB139">
      <f>SUM(AB132:AB138)</f>
    </nc>
  </rcc>
  <rcc rId="4058" sId="1">
    <oc r="AC139">
      <f>SUM(AC132:AC136)</f>
    </oc>
    <nc r="AC139">
      <f>SUM(AC132:AC138)</f>
    </nc>
  </rcc>
  <rcc rId="4059" sId="1">
    <oc r="AD139">
      <f>SUM(AD132:AD136)</f>
    </oc>
    <nc r="AD139">
      <f>SUM(AD132:AD138)</f>
    </nc>
  </rcc>
  <rcc rId="4060" sId="1">
    <oc r="AE139">
      <f>SUM(AE132:AE136)</f>
    </oc>
    <nc r="AE139">
      <f>SUM(AE132:AE138)</f>
    </nc>
  </rcc>
  <rcc rId="4061" sId="1">
    <oc r="AF139">
      <f>SUM(AF132:AF137)</f>
    </oc>
    <nc r="AF139">
      <f>SUM(AF132:AF138)</f>
    </nc>
  </rcc>
  <rcc rId="4062" sId="1">
    <oc r="AG139">
      <f>SUM(AG132:AG136)</f>
    </oc>
    <nc r="AG139">
      <f>SUM(AG132:AG138)</f>
    </nc>
  </rcc>
  <rcc rId="4063" sId="1">
    <nc r="AH139">
      <f>SUM(AH132:AH138)</f>
    </nc>
  </rcc>
  <rcc rId="4064" sId="1">
    <oc r="AI139">
      <f>SUM(AI132:AI136)</f>
    </oc>
    <nc r="AI139">
      <f>SUM(AI132:AI138)</f>
    </nc>
  </rcc>
  <rcc rId="4065" sId="1">
    <oc r="AJ139">
      <f>SUM(AJ132:AJ136)</f>
    </oc>
    <nc r="AJ139">
      <f>SUM(AJ132:AJ138)</f>
    </nc>
  </rcc>
  <rcc rId="4066" sId="1">
    <oc r="AK139">
      <f>SUM(AK132:AK136)</f>
    </oc>
    <nc r="AK139">
      <f>SUM(AK132:AK138)</f>
    </nc>
  </rcc>
</revisions>
</file>

<file path=xl/revisions/revisionLog3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67" sId="1">
    <oc r="S144">
      <f>SUM(S140:S141)</f>
    </oc>
    <nc r="S144">
      <f>SUM(S140:S143)</f>
    </nc>
  </rcc>
  <rcc rId="4068" sId="1">
    <oc r="T144">
      <f>SUM(T140:T142)</f>
    </oc>
    <nc r="T144">
      <f>SUM(T140:T143)</f>
    </nc>
  </rcc>
  <rcc rId="4069" sId="1">
    <oc r="U144">
      <f>SUM(U140:U141)</f>
    </oc>
    <nc r="U144">
      <f>SUM(U140:U143)</f>
    </nc>
  </rcc>
  <rcc rId="4070" sId="1">
    <oc r="V144">
      <f>SUM(V140:V141)</f>
    </oc>
    <nc r="V144">
      <f>SUM(V140:V143)</f>
    </nc>
  </rcc>
  <rcc rId="4071" sId="1">
    <oc r="W144">
      <f>SUM(W140:W142)</f>
    </oc>
    <nc r="W144">
      <f>SUM(W140:W143)</f>
    </nc>
  </rcc>
  <rcc rId="4072" sId="1">
    <oc r="X144">
      <f>SUM(X140:X142)</f>
    </oc>
    <nc r="X144">
      <f>SUM(X140:X143)</f>
    </nc>
  </rcc>
  <rcc rId="4073" sId="1">
    <oc r="Y144">
      <f>SUM(Y140:Y141)</f>
    </oc>
    <nc r="Y144">
      <f>SUM(Y140:Y143)</f>
    </nc>
  </rcc>
  <rcc rId="4074" sId="1">
    <oc r="Z144">
      <f>SUM(Z140:Z142)</f>
    </oc>
    <nc r="Z144">
      <f>SUM(Z140:Z143)</f>
    </nc>
  </rcc>
  <rcc rId="4075" sId="1">
    <oc r="AA144">
      <f>SUM(AA140:AA141)</f>
    </oc>
    <nc r="AA144">
      <f>SUM(AA140:AA143)</f>
    </nc>
  </rcc>
  <rcc rId="4076" sId="1">
    <oc r="AB144">
      <f>SUM(AB140:AB141)</f>
    </oc>
    <nc r="AB144">
      <f>SUM(AB140:AB143)</f>
    </nc>
  </rcc>
  <rcc rId="4077" sId="1">
    <oc r="AC144">
      <f>SUM(AC140:AC141)</f>
    </oc>
    <nc r="AC144">
      <f>SUM(AC140:AC143)</f>
    </nc>
  </rcc>
  <rcc rId="4078" sId="1">
    <oc r="AD144">
      <f>SUM(AD140:AD141)</f>
    </oc>
    <nc r="AD144">
      <f>SUM(AD140:AD143)</f>
    </nc>
  </rcc>
  <rcc rId="4079" sId="1">
    <oc r="AE144">
      <f>SUM(AE140:AE141)</f>
    </oc>
    <nc r="AE144">
      <f>SUM(AE140:AE143)</f>
    </nc>
  </rcc>
  <rcc rId="4080" sId="1">
    <oc r="AF144">
      <f>SUM(AF140:AF141)</f>
    </oc>
    <nc r="AF144">
      <f>SUM(AF140:AF143)</f>
    </nc>
  </rcc>
  <rcc rId="4081" sId="1">
    <oc r="AG144">
      <f>SUM(AG140:AG141)</f>
    </oc>
    <nc r="AG144">
      <f>SUM(AG140:AG143)</f>
    </nc>
  </rcc>
  <rcc rId="4082" sId="1">
    <nc r="AH144">
      <f>SUM(AH140:AH143)</f>
    </nc>
  </rcc>
  <rcc rId="4083" sId="1">
    <oc r="AI144">
      <f>SUM(AI140:AI141)</f>
    </oc>
    <nc r="AI144">
      <f>SUM(AI140:AI143)</f>
    </nc>
  </rcc>
  <rcc rId="4084" sId="1">
    <oc r="AJ144">
      <f>SUM(AJ140:AJ141)</f>
    </oc>
    <nc r="AJ144">
      <f>SUM(AJ140:AJ143)</f>
    </nc>
  </rcc>
  <rcc rId="4085" sId="1">
    <oc r="AK144">
      <f>SUM(AK140:AK141)</f>
    </oc>
    <nc r="AK144">
      <f>SUM(AK140:AK143)</f>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409:Q409">
    <dxf>
      <fill>
        <patternFill>
          <bgColor theme="0"/>
        </patternFill>
      </fill>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05" sId="1">
    <oc r="AI361" t="inlineStr">
      <is>
        <t>n.a</t>
      </is>
    </oc>
    <nc r="AI361" t="inlineStr">
      <is>
        <t>AA1/24.07.2019</t>
      </is>
    </nc>
  </rcc>
  <rcv guid="{7C1B4D6D-D666-48DD-AB17-E00791B6F0B6}" action="delete"/>
  <rdn rId="0" localSheetId="1" customView="1" name="Z_7C1B4D6D_D666_48DD_AB17_E00791B6F0B6_.wvu.PrintArea" hidden="1" oldHidden="1">
    <formula>Sheet1!$A$1:$AL$487</formula>
    <oldFormula>Sheet1!$A$1:$AL$487</oldFormula>
  </rdn>
  <rdn rId="0" localSheetId="1" customView="1" name="Z_7C1B4D6D_D666_48DD_AB17_E00791B6F0B6_.wvu.FilterData" hidden="1" oldHidden="1">
    <formula>Sheet1!$A$6:$DG$453</formula>
    <oldFormula>Sheet1!$A$6:$DG$453</oldFormula>
  </rdn>
  <rcv guid="{7C1B4D6D-D666-48DD-AB17-E00791B6F0B6}" action="add"/>
</revisions>
</file>

<file path=xl/revisions/revisionLog4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86" sId="1">
    <oc r="S160">
      <f>SUM(S154:S156)</f>
    </oc>
    <nc r="S160">
      <f>SUM(S154:S159)</f>
    </nc>
  </rcc>
  <rcc rId="4087" sId="1">
    <oc r="T160">
      <f>SUM(T154:T156)</f>
    </oc>
    <nc r="T160">
      <f>SUM(T154:T159)</f>
    </nc>
  </rcc>
  <rcc rId="4088" sId="1">
    <oc r="U160">
      <f>SUM(U154:U156)</f>
    </oc>
    <nc r="U160">
      <f>SUM(U154:U159)</f>
    </nc>
  </rcc>
  <rcc rId="4089" sId="1">
    <oc r="V160">
      <f>SUM(V154:V156)</f>
    </oc>
    <nc r="V160">
      <f>SUM(V154:V159)</f>
    </nc>
  </rcc>
  <rcc rId="4090" sId="1">
    <oc r="W160">
      <f>SUM(W154:W156)</f>
    </oc>
    <nc r="W160">
      <f>SUM(W154:W159)</f>
    </nc>
  </rcc>
  <rcc rId="4091" sId="1">
    <oc r="X160">
      <f>SUM(X154:X156)</f>
    </oc>
    <nc r="X160">
      <f>SUM(X154:X159)</f>
    </nc>
  </rcc>
  <rcc rId="4092" sId="1">
    <oc r="Y160">
      <f>SUM(Y154:Y156)</f>
    </oc>
    <nc r="Y160">
      <f>SUM(Y154:Y159)</f>
    </nc>
  </rcc>
  <rcc rId="4093" sId="1">
    <oc r="Z160">
      <f>SUM(Z154:Z156)</f>
    </oc>
    <nc r="Z160">
      <f>SUM(Z154:Z159)</f>
    </nc>
  </rcc>
  <rcc rId="4094" sId="1">
    <oc r="AA160">
      <f>SUM(AA154:AA156)</f>
    </oc>
    <nc r="AA160">
      <f>SUM(AA154:AA159)</f>
    </nc>
  </rcc>
  <rcc rId="4095" sId="1">
    <oc r="AB160">
      <f>SUM(AB154:AB156)</f>
    </oc>
    <nc r="AB160">
      <f>SUM(AB154:AB159)</f>
    </nc>
  </rcc>
  <rcc rId="4096" sId="1">
    <oc r="AC160">
      <f>SUM(AC154:AC156)</f>
    </oc>
    <nc r="AC160">
      <f>SUM(AC154:AC159)</f>
    </nc>
  </rcc>
  <rcc rId="4097" sId="1">
    <oc r="AD160">
      <f>SUM(AD154:AD156)</f>
    </oc>
    <nc r="AD160">
      <f>SUM(AD154:AD159)</f>
    </nc>
  </rcc>
  <rcc rId="4098" sId="1">
    <oc r="AE160">
      <f>SUM(AE154:AE156)</f>
    </oc>
    <nc r="AE160">
      <f>SUM(AE154:AE159)</f>
    </nc>
  </rcc>
  <rcc rId="4099" sId="1">
    <oc r="AF160">
      <f>SUM(AF154:AF156)</f>
    </oc>
    <nc r="AF160">
      <f>SUM(AF154:AF159)</f>
    </nc>
  </rcc>
  <rcc rId="4100" sId="1">
    <oc r="AG160">
      <f>SUM(AG154:AG156)</f>
    </oc>
    <nc r="AG160">
      <f>SUM(AG154:AG159)</f>
    </nc>
  </rcc>
  <rcc rId="4101" sId="1">
    <nc r="AH160">
      <f>SUM(AH154:AH159)</f>
    </nc>
  </rcc>
  <rcc rId="4102" sId="1">
    <oc r="AI160">
      <f>SUM(AI154:AI156)</f>
    </oc>
    <nc r="AI160">
      <f>SUM(AI154:AI159)</f>
    </nc>
  </rcc>
  <rcc rId="4103" sId="1">
    <oc r="AJ160">
      <f>SUM(AJ154:AJ156)</f>
    </oc>
    <nc r="AJ160">
      <f>SUM(AJ154:AJ159)</f>
    </nc>
  </rcc>
  <rcc rId="4104" sId="1">
    <oc r="AK160">
      <f>SUM(AK154:AK156)</f>
    </oc>
    <nc r="AK160">
      <f>SUM(AK154:AK159)</f>
    </nc>
  </rcc>
</revisions>
</file>

<file path=xl/revisions/revisionLog4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05" sId="1">
    <oc r="S166">
      <f>SUM(S163:S164)</f>
    </oc>
    <nc r="S166">
      <f>SUM(S163:S165)</f>
    </nc>
  </rcc>
  <rcc rId="4106" sId="1">
    <oc r="T166">
      <f>SUM(T163:T164)</f>
    </oc>
    <nc r="T166">
      <f>SUM(T163:T165)</f>
    </nc>
  </rcc>
  <rcc rId="4107" sId="1">
    <oc r="U166">
      <f>SUM(U163:U164)</f>
    </oc>
    <nc r="U166">
      <f>SUM(U163:U165)</f>
    </nc>
  </rcc>
  <rcc rId="4108" sId="1">
    <oc r="V166">
      <f>SUM(V163:V164)</f>
    </oc>
    <nc r="V166">
      <f>SUM(V163:V165)</f>
    </nc>
  </rcc>
  <rcc rId="4109" sId="1">
    <oc r="W166">
      <f>SUM(W163:W164)</f>
    </oc>
    <nc r="W166">
      <f>SUM(W163:W165)</f>
    </nc>
  </rcc>
  <rcc rId="4110" sId="1">
    <oc r="X166">
      <f>SUM(X163:X164)</f>
    </oc>
    <nc r="X166">
      <f>SUM(X163:X165)</f>
    </nc>
  </rcc>
  <rcc rId="4111" sId="1">
    <oc r="Y166">
      <f>SUM(Y163:Y164)</f>
    </oc>
    <nc r="Y166">
      <f>SUM(Y163:Y165)</f>
    </nc>
  </rcc>
  <rcc rId="4112" sId="1">
    <oc r="Z166">
      <f>SUM(Z163:Z164)</f>
    </oc>
    <nc r="Z166">
      <f>SUM(Z163:Z165)</f>
    </nc>
  </rcc>
  <rcc rId="4113" sId="1">
    <oc r="AA166">
      <f>SUM(AA163:AA164)</f>
    </oc>
    <nc r="AA166">
      <f>SUM(AA163:AA165)</f>
    </nc>
  </rcc>
  <rcc rId="4114" sId="1">
    <oc r="AB166">
      <f>SUM(AB163:AB164)</f>
    </oc>
    <nc r="AB166">
      <f>SUM(AB163:AB165)</f>
    </nc>
  </rcc>
  <rcc rId="4115" sId="1">
    <oc r="AC166">
      <f>SUM(AC163:AC164)</f>
    </oc>
    <nc r="AC166">
      <f>SUM(AC163:AC165)</f>
    </nc>
  </rcc>
  <rcc rId="4116" sId="1">
    <oc r="AD166">
      <f>SUM(AD163:AD164)</f>
    </oc>
    <nc r="AD166">
      <f>SUM(AD163:AD165)</f>
    </nc>
  </rcc>
  <rcc rId="4117" sId="1">
    <oc r="AE166">
      <f>SUM(AE163:AE164)</f>
    </oc>
    <nc r="AE166">
      <f>SUM(AE163:AE165)</f>
    </nc>
  </rcc>
  <rcc rId="4118" sId="1">
    <oc r="AF166">
      <f>SUM(AF163:AF165)</f>
    </oc>
    <nc r="AF166">
      <f>SUM(AF163:AF165)</f>
    </nc>
  </rcc>
  <rcc rId="4119" sId="1">
    <oc r="AG166">
      <f>SUM(AG163:AG164)</f>
    </oc>
    <nc r="AG166">
      <f>SUM(AG163:AG165)</f>
    </nc>
  </rcc>
  <rcc rId="4120" sId="1">
    <nc r="AH166">
      <f>SUM(AH163:AH165)</f>
    </nc>
  </rcc>
  <rcc rId="4121" sId="1">
    <oc r="AI166">
      <f>SUM(AI163:AI164)</f>
    </oc>
    <nc r="AI166">
      <f>SUM(AI163:AI165)</f>
    </nc>
  </rcc>
  <rcc rId="4122" sId="1">
    <oc r="AJ166">
      <f>SUM(AJ163:AJ164)</f>
    </oc>
    <nc r="AJ166">
      <f>SUM(AJ163:AJ165)</f>
    </nc>
  </rcc>
  <rcc rId="4123" sId="1">
    <oc r="AK166">
      <f>SUM(AK163:AK164)</f>
    </oc>
    <nc r="AK166">
      <f>SUM(AK163:AK165)</f>
    </nc>
  </rcc>
</revisions>
</file>

<file path=xl/revisions/revisionLog4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24" sId="1">
    <oc r="S194">
      <f>SUM(S188:S192)</f>
    </oc>
    <nc r="S194">
      <f>SUM(S188:S193)</f>
    </nc>
  </rcc>
  <rcc rId="4125" sId="1">
    <oc r="T194">
      <f>SUM(T188:T193)</f>
    </oc>
    <nc r="T194">
      <f>SUM(T188:T193)</f>
    </nc>
  </rcc>
  <rcc rId="4126" sId="1">
    <oc r="U194">
      <f>SUM(U188:U193)</f>
    </oc>
    <nc r="U194">
      <f>SUM(U188:U193)</f>
    </nc>
  </rcc>
  <rcc rId="4127" sId="1">
    <oc r="V194">
      <f>SUM(V188:V192)</f>
    </oc>
    <nc r="V194">
      <f>SUM(V188:V193)</f>
    </nc>
  </rcc>
  <rcc rId="4128" sId="1">
    <oc r="W194">
      <f>SUM(W188:W193)</f>
    </oc>
    <nc r="W194">
      <f>SUM(W188:W193)</f>
    </nc>
  </rcc>
  <rcc rId="4129" sId="1">
    <oc r="X194">
      <f>SUM(X188:X193)</f>
    </oc>
    <nc r="X194">
      <f>SUM(X188:X193)</f>
    </nc>
  </rcc>
  <rcc rId="4130" sId="1">
    <oc r="Y194">
      <f>SUM(Y188:Y192)</f>
    </oc>
    <nc r="Y194">
      <f>SUM(Y188:Y193)</f>
    </nc>
  </rcc>
  <rcc rId="4131" sId="1">
    <oc r="Z194">
      <f>SUM(Z188:Z193)</f>
    </oc>
    <nc r="Z194">
      <f>SUM(Z188:Z193)</f>
    </nc>
  </rcc>
  <rcc rId="4132" sId="1">
    <oc r="AA194">
      <f>SUM(AA188:AA193)</f>
    </oc>
    <nc r="AA194">
      <f>SUM(AA188:AA193)</f>
    </nc>
  </rcc>
  <rcc rId="4133" sId="1">
    <oc r="AB194">
      <f>SUM(AB188:AB192)</f>
    </oc>
    <nc r="AB194">
      <f>SUM(AB188:AB193)</f>
    </nc>
  </rcc>
  <rcc rId="4134" sId="1">
    <oc r="AC194">
      <f>SUM(AC188:AC192)</f>
    </oc>
    <nc r="AC194">
      <f>SUM(AC188:AC193)</f>
    </nc>
  </rcc>
  <rcc rId="4135" sId="1">
    <oc r="AD194">
      <f>SUM(AD188:AD192)</f>
    </oc>
    <nc r="AD194">
      <f>SUM(AD188:AD193)</f>
    </nc>
  </rcc>
  <rcc rId="4136" sId="1">
    <oc r="AE194">
      <f>SUM(AE188:AE192)</f>
    </oc>
    <nc r="AE194">
      <f>SUM(AE188:AE193)</f>
    </nc>
  </rcc>
  <rcc rId="4137" sId="1">
    <oc r="AF194">
      <f>SUM(AF188:AF192)</f>
    </oc>
    <nc r="AF194">
      <f>SUM(AF188:AF193)</f>
    </nc>
  </rcc>
  <rcc rId="4138" sId="1">
    <oc r="AG194">
      <f>SUM(AG188:AG192)</f>
    </oc>
    <nc r="AG194">
      <f>SUM(AG188:AG193)</f>
    </nc>
  </rcc>
  <rcc rId="4139" sId="1">
    <oc r="AH194">
      <f>SUM(AH188:AH192)</f>
    </oc>
    <nc r="AH194">
      <f>SUM(AH188:AH193)</f>
    </nc>
  </rcc>
  <rcc rId="4140" sId="1">
    <oc r="AI194">
      <f>SUM(AI188:AI192)</f>
    </oc>
    <nc r="AI194">
      <f>SUM(AI188:AI193)</f>
    </nc>
  </rcc>
  <rcc rId="4141" sId="1">
    <oc r="AJ194">
      <f>SUM(AJ188:AJ192)</f>
    </oc>
    <nc r="AJ194">
      <f>SUM(AJ188:AJ193)</f>
    </nc>
  </rcc>
  <rcc rId="4142" sId="1">
    <oc r="AK194">
      <f>SUM(AK188:AK192)</f>
    </oc>
    <nc r="AK194">
      <f>SUM(AK188:AK193)</f>
    </nc>
  </rcc>
</revisions>
</file>

<file path=xl/revisions/revisionLog4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43" sId="1">
    <oc r="S199">
      <f>SUM(S195:S197)</f>
    </oc>
    <nc r="S199">
      <f>SUM(S195:S198)</f>
    </nc>
  </rcc>
  <rcc rId="4144" sId="1">
    <oc r="T199">
      <f>SUM(T195:T197)</f>
    </oc>
    <nc r="T199">
      <f>SUM(T195:T198)</f>
    </nc>
  </rcc>
  <rcc rId="4145" sId="1">
    <oc r="U199">
      <f>SUM(U195:U197)</f>
    </oc>
    <nc r="U199">
      <f>SUM(U195:U198)</f>
    </nc>
  </rcc>
  <rcc rId="4146" sId="1">
    <oc r="V199">
      <f>SUM(V195:V197)</f>
    </oc>
    <nc r="V199">
      <f>SUM(V195:V198)</f>
    </nc>
  </rcc>
  <rcc rId="4147" sId="1">
    <oc r="W199">
      <f>SUM(W195:W197)</f>
    </oc>
    <nc r="W199">
      <f>SUM(W195:W198)</f>
    </nc>
  </rcc>
  <rcc rId="4148" sId="1">
    <oc r="X199">
      <f>SUM(X195:X197)</f>
    </oc>
    <nc r="X199">
      <f>SUM(X195:X198)</f>
    </nc>
  </rcc>
  <rcc rId="4149" sId="1">
    <oc r="Y199">
      <f>SUM(Y195:Y197)</f>
    </oc>
    <nc r="Y199">
      <f>SUM(Y195:Y198)</f>
    </nc>
  </rcc>
  <rcc rId="4150" sId="1">
    <oc r="Z199">
      <f>SUM(Z195:Z197)</f>
    </oc>
    <nc r="Z199">
      <f>SUM(Z195:Z198)</f>
    </nc>
  </rcc>
  <rcc rId="4151" sId="1">
    <oc r="AA199">
      <f>SUM(AA195:AA197)</f>
    </oc>
    <nc r="AA199">
      <f>SUM(AA195:AA198)</f>
    </nc>
  </rcc>
  <rcc rId="4152" sId="1">
    <oc r="AB199">
      <f>SUM(AB195:AB197)</f>
    </oc>
    <nc r="AB199">
      <f>SUM(AB195:AB198)</f>
    </nc>
  </rcc>
  <rcc rId="4153" sId="1">
    <oc r="AC199">
      <f>SUM(AC195:AC197)</f>
    </oc>
    <nc r="AC199">
      <f>SUM(AC195:AC198)</f>
    </nc>
  </rcc>
  <rcc rId="4154" sId="1">
    <oc r="AD199">
      <f>SUM(AD195:AD197)</f>
    </oc>
    <nc r="AD199">
      <f>SUM(AD195:AD198)</f>
    </nc>
  </rcc>
  <rcc rId="4155" sId="1">
    <oc r="AE199">
      <f>SUM(AE195:AE197)</f>
    </oc>
    <nc r="AE199">
      <f>SUM(AE195:AE198)</f>
    </nc>
  </rcc>
  <rcc rId="4156" sId="1">
    <oc r="AF199">
      <f>SUM(AF195:AF197)</f>
    </oc>
    <nc r="AF199">
      <f>SUM(AF195:AF198)</f>
    </nc>
  </rcc>
  <rcc rId="4157" sId="1">
    <oc r="AG199">
      <f>SUM(AG195:AG197)</f>
    </oc>
    <nc r="AG199">
      <f>SUM(AG195:AG198)</f>
    </nc>
  </rcc>
  <rcc rId="4158" sId="1">
    <nc r="AH199">
      <f>SUM(AH195:AH198)</f>
    </nc>
  </rcc>
  <rcc rId="4159" sId="1">
    <oc r="AI199">
      <f>SUM(AI195:AI197)</f>
    </oc>
    <nc r="AI199">
      <f>SUM(AI195:AI198)</f>
    </nc>
  </rcc>
  <rcc rId="4160" sId="1">
    <oc r="AJ199">
      <f>SUM(AJ195:AJ197)</f>
    </oc>
    <nc r="AJ199">
      <f>SUM(AJ195:AJ198)</f>
    </nc>
  </rcc>
  <rcc rId="4161" sId="1">
    <oc r="AK199">
      <f>SUM(AK195:AK197)</f>
    </oc>
    <nc r="AK199">
      <f>SUM(AK195:AK198)</f>
    </nc>
  </rcc>
</revisions>
</file>

<file path=xl/revisions/revisionLog4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S212:V212" start="0" length="0">
    <dxf>
      <border>
        <bottom style="thin">
          <color indexed="64"/>
        </bottom>
      </border>
    </dxf>
  </rfmt>
</revisions>
</file>

<file path=xl/revisions/revisionLog4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62" sId="1">
    <oc r="S215">
      <f>SUM(S211:S212)</f>
    </oc>
    <nc r="S215">
      <f>SUM(S211:S214)</f>
    </nc>
  </rcc>
  <rcc rId="4163" sId="1">
    <oc r="T215">
      <f>SUM(T211:T212)</f>
    </oc>
    <nc r="T215">
      <f>SUM(T211:T214)</f>
    </nc>
  </rcc>
  <rcc rId="4164" sId="1">
    <oc r="U215">
      <f>SUM(U211:U213)</f>
    </oc>
    <nc r="U215">
      <f>SUM(U211:U214)</f>
    </nc>
  </rcc>
  <rcc rId="4165" sId="1">
    <oc r="V215">
      <f>SUM(V211:V212)</f>
    </oc>
    <nc r="V215">
      <f>SUM(V211:V214)</f>
    </nc>
  </rcc>
  <rcc rId="4166" sId="1">
    <oc r="W215">
      <f>SUM(W211:W212)</f>
    </oc>
    <nc r="W215">
      <f>SUM(W211:W214)</f>
    </nc>
  </rcc>
  <rcc rId="4167" sId="1">
    <oc r="X215">
      <f>SUM(X211:X213)</f>
    </oc>
    <nc r="X215">
      <f>SUM(X211:X214)</f>
    </nc>
  </rcc>
  <rcc rId="4168" sId="1">
    <oc r="Y215">
      <f>SUM(Y211:Y212)</f>
    </oc>
    <nc r="Y215">
      <f>SUM(Y211:Y214)</f>
    </nc>
  </rcc>
  <rcc rId="4169" sId="1">
    <oc r="Z215">
      <f>SUM(Z211:Z212)</f>
    </oc>
    <nc r="Z215">
      <f>SUM(Z211:Z214)</f>
    </nc>
  </rcc>
  <rcc rId="4170" sId="1">
    <oc r="AA215">
      <f>SUM(AA211:AA212)</f>
    </oc>
    <nc r="AA215">
      <f>SUM(AA211:AA214)</f>
    </nc>
  </rcc>
  <rcc rId="4171" sId="1">
    <oc r="AB215">
      <f>SUM(AB211:AB212)</f>
    </oc>
    <nc r="AB215">
      <f>SUM(AB211:AB214)</f>
    </nc>
  </rcc>
  <rcc rId="4172" sId="1">
    <oc r="AC215">
      <f>SUM(AC211:AC212)</f>
    </oc>
    <nc r="AC215">
      <f>SUM(AC211:AC214)</f>
    </nc>
  </rcc>
  <rcc rId="4173" sId="1">
    <oc r="AD215">
      <f>SUM(AD211:AD212)</f>
    </oc>
    <nc r="AD215">
      <f>SUM(AD211:AD214)</f>
    </nc>
  </rcc>
  <rcc rId="4174" sId="1">
    <oc r="AE215">
      <f>SUM(AE211:AE212)</f>
    </oc>
    <nc r="AE215">
      <f>SUM(AE211:AE214)</f>
    </nc>
  </rcc>
  <rcc rId="4175" sId="1">
    <oc r="AF215">
      <f>SUM(AF211:AF212)</f>
    </oc>
    <nc r="AF215">
      <f>SUM(AF211:AF214)</f>
    </nc>
  </rcc>
  <rcc rId="4176" sId="1">
    <oc r="AG215">
      <f>AE215+AF215</f>
    </oc>
    <nc r="AG215">
      <f>SUM(AG211:AG214)</f>
    </nc>
  </rcc>
  <rcc rId="4177" sId="1">
    <nc r="AH215">
      <f>SUM(AH211:AH214)</f>
    </nc>
  </rcc>
  <rcc rId="4178" sId="1">
    <oc r="AI215">
      <f>SUM(AI211:AI212)</f>
    </oc>
    <nc r="AI215">
      <f>SUM(AI211:AI214)</f>
    </nc>
  </rcc>
  <rcc rId="4179" sId="1">
    <oc r="AJ215">
      <f>SUM(AJ211:AJ212)</f>
    </oc>
    <nc r="AJ215">
      <f>SUM(AJ211:AJ214)</f>
    </nc>
  </rcc>
  <rcc rId="4180" sId="1">
    <oc r="AK215">
      <f>SUM(AK211:AK212)</f>
    </oc>
    <nc r="AK215">
      <f>SUM(AK211:AK214)</f>
    </nc>
  </rcc>
</revisions>
</file>

<file path=xl/revisions/revisionLog4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A216:AE216">
    <dxf>
      <border>
        <top style="thin">
          <color indexed="64"/>
        </top>
        <bottom style="thin">
          <color indexed="64"/>
        </bottom>
        <horizontal style="thin">
          <color indexed="64"/>
        </horizontal>
      </border>
    </dxf>
  </rfmt>
</revisions>
</file>

<file path=xl/revisions/revisionLog4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81" sId="1">
    <oc r="S220">
      <f>SUM(S216:S218)</f>
    </oc>
    <nc r="S220">
      <f>SUM(S216:S219)</f>
    </nc>
  </rcc>
  <rcc rId="4182" sId="1">
    <oc r="T220">
      <f>SUM(T216:T218)</f>
    </oc>
    <nc r="T220">
      <f>SUM(T216:T219)</f>
    </nc>
  </rcc>
  <rcc rId="4183" sId="1">
    <oc r="U220">
      <f>SUM(U216:U219)</f>
    </oc>
    <nc r="U220">
      <f>SUM(U216:U219)</f>
    </nc>
  </rcc>
  <rcc rId="4184" sId="1">
    <oc r="V220">
      <f>SUM(V216:V218)</f>
    </oc>
    <nc r="V220">
      <f>SUM(V216:V219)</f>
    </nc>
  </rcc>
  <rcc rId="4185" sId="1">
    <oc r="W220">
      <f>SUM(W216:W218)</f>
    </oc>
    <nc r="W220">
      <f>SUM(W216:W219)</f>
    </nc>
  </rcc>
  <rcc rId="4186" sId="1">
    <oc r="X220">
      <f>SUM(X216:X219)</f>
    </oc>
    <nc r="X220">
      <f>SUM(X216:X219)</f>
    </nc>
  </rcc>
  <rcc rId="4187" sId="1">
    <oc r="Y220">
      <f>SUM(Y216:Y218)</f>
    </oc>
    <nc r="Y220">
      <f>SUM(Y216:Y219)</f>
    </nc>
  </rcc>
  <rcc rId="4188" sId="1">
    <oc r="Z220">
      <f>SUM(Z216:Z218)</f>
    </oc>
    <nc r="Z220">
      <f>SUM(Z216:Z219)</f>
    </nc>
  </rcc>
  <rcc rId="4189" sId="1">
    <oc r="AA220">
      <f>SUM(AA216:AA219)</f>
    </oc>
    <nc r="AA220">
      <f>SUM(AA216:AA219)</f>
    </nc>
  </rcc>
  <rcc rId="4190" sId="1">
    <oc r="AB220">
      <f>SUM(AB216:AB218)</f>
    </oc>
    <nc r="AB220">
      <f>SUM(AB216:AB219)</f>
    </nc>
  </rcc>
  <rcc rId="4191" sId="1">
    <oc r="AC220">
      <f>SUM(AC216:AC218)</f>
    </oc>
    <nc r="AC220">
      <f>SUM(AC216:AC219)</f>
    </nc>
  </rcc>
  <rcc rId="4192" sId="1">
    <oc r="AD220">
      <f>SUM(AD216:AD218)</f>
    </oc>
    <nc r="AD220">
      <f>SUM(AD216:AD219)</f>
    </nc>
  </rcc>
  <rcc rId="4193" sId="1">
    <oc r="AE220">
      <f>SUM(AE216:AE218)</f>
    </oc>
    <nc r="AE220">
      <f>SUM(AE216:AE219)</f>
    </nc>
  </rcc>
  <rcc rId="4194" sId="1">
    <oc r="AF220">
      <f>SUM(AF216:AF218)</f>
    </oc>
    <nc r="AF220">
      <f>SUM(AF216:AF219)</f>
    </nc>
  </rcc>
  <rcc rId="4195" sId="1">
    <oc r="AG220">
      <f>AE220+AF220</f>
    </oc>
    <nc r="AG220">
      <f>SUM(AG216:AG219)</f>
    </nc>
  </rcc>
  <rcc rId="4196" sId="1">
    <nc r="AH220">
      <f>SUM(AH216:AH219)</f>
    </nc>
  </rcc>
  <rcc rId="4197" sId="1">
    <oc r="AI220">
      <f>SUM(AI216:AI218)</f>
    </oc>
    <nc r="AI220">
      <f>SUM(AI216:AI219)</f>
    </nc>
  </rcc>
  <rcc rId="4198" sId="1">
    <oc r="AJ220">
      <f>SUM(AJ216:AJ219)</f>
    </oc>
    <nc r="AJ220">
      <f>SUM(AJ216:AJ219)</f>
    </nc>
  </rcc>
  <rcc rId="4199" sId="1">
    <oc r="AK220">
      <f>SUM(AK216:AK219)</f>
    </oc>
    <nc r="AK220">
      <f>SUM(AK216:AK219)</f>
    </nc>
  </rcc>
</revisions>
</file>

<file path=xl/revisions/revisionLog4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228:U228">
    <dxf>
      <fill>
        <patternFill patternType="solid">
          <bgColor rgb="FFFFFF00"/>
        </patternFill>
      </fill>
    </dxf>
  </rfmt>
  <rfmt sheetId="1" sqref="W228:X228">
    <dxf>
      <fill>
        <patternFill patternType="solid">
          <bgColor rgb="FFFFFF00"/>
        </patternFill>
      </fill>
    </dxf>
  </rfmt>
  <rfmt sheetId="1" sqref="Z228:AA228">
    <dxf>
      <fill>
        <patternFill patternType="solid">
          <bgColor rgb="FFFFFF00"/>
        </patternFill>
      </fill>
    </dxf>
  </rfmt>
  <rfmt sheetId="1" sqref="AC228:AD228">
    <dxf>
      <fill>
        <patternFill patternType="solid">
          <bgColor rgb="FFFFFF00"/>
        </patternFill>
      </fill>
    </dxf>
  </rfmt>
</revisions>
</file>

<file path=xl/revisions/revisionLog4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0" sId="1">
    <oc r="S241">
      <f>SUM(S232:S239)</f>
    </oc>
    <nc r="S241">
      <f>SUM(S232:S240)</f>
    </nc>
  </rcc>
  <rcc rId="4201" sId="1">
    <oc r="T241">
      <f>SUM(T232:T239)</f>
    </oc>
    <nc r="T241">
      <f>SUM(T232:T240)</f>
    </nc>
  </rcc>
  <rcc rId="4202" sId="1">
    <oc r="U241">
      <f>SUM(U232:U239)</f>
    </oc>
    <nc r="U241">
      <f>SUM(U232:U240)</f>
    </nc>
  </rcc>
  <rcc rId="4203" sId="1">
    <oc r="V241">
      <f>SUM(V232:V239)</f>
    </oc>
    <nc r="V241">
      <f>SUM(V232:V240)</f>
    </nc>
  </rcc>
  <rcc rId="4204" sId="1">
    <oc r="W241">
      <f>SUM(W232:W239)</f>
    </oc>
    <nc r="W241">
      <f>SUM(W232:W240)</f>
    </nc>
  </rcc>
  <rcc rId="4205" sId="1">
    <oc r="X241">
      <f>SUM(X232:X239)</f>
    </oc>
    <nc r="X241">
      <f>SUM(X232:X240)</f>
    </nc>
  </rcc>
  <rcc rId="4206" sId="1">
    <oc r="Y241">
      <f>SUM(Y232:Y239)</f>
    </oc>
    <nc r="Y241">
      <f>SUM(Y232:Y240)</f>
    </nc>
  </rcc>
  <rcc rId="4207" sId="1">
    <oc r="Z241">
      <f>SUM(Z232:Z239)</f>
    </oc>
    <nc r="Z241">
      <f>SUM(Z232:Z240)</f>
    </nc>
  </rcc>
  <rcc rId="4208" sId="1">
    <oc r="AA241">
      <f>SUM(AA232:AA239)</f>
    </oc>
    <nc r="AA241">
      <f>SUM(AA232:AA240)</f>
    </nc>
  </rcc>
  <rcc rId="4209" sId="1">
    <oc r="AB241">
      <f>SUM(AB232:AB239)</f>
    </oc>
    <nc r="AB241">
      <f>SUM(AB232:AB240)</f>
    </nc>
  </rcc>
  <rcc rId="4210" sId="1">
    <oc r="AC241">
      <f>SUM(AC232:AC239)</f>
    </oc>
    <nc r="AC241">
      <f>SUM(AC232:AC240)</f>
    </nc>
  </rcc>
  <rcc rId="4211" sId="1">
    <oc r="AD241">
      <f>SUM(AD232:AD239)</f>
    </oc>
    <nc r="AD241">
      <f>SUM(AD232:AD240)</f>
    </nc>
  </rcc>
  <rcc rId="4212" sId="1">
    <oc r="AE241">
      <f>SUM(AE232:AE239)</f>
    </oc>
    <nc r="AE241">
      <f>SUM(AE232:AE240)</f>
    </nc>
  </rcc>
  <rcc rId="4213" sId="1">
    <oc r="AF241">
      <f>SUM(AF232:AF239)</f>
    </oc>
    <nc r="AF241">
      <f>SUM(AF232:AF240)</f>
    </nc>
  </rcc>
  <rcc rId="4214" sId="1">
    <oc r="AG241">
      <f>SUM(AG232:AG239)</f>
    </oc>
    <nc r="AG241">
      <f>SUM(AG232:AG240)</f>
    </nc>
  </rcc>
  <rcc rId="4215" sId="1">
    <nc r="AH241">
      <f>SUM(AH232:AH240)</f>
    </nc>
  </rcc>
  <rcc rId="4216" sId="1">
    <oc r="AI241">
      <f>SUM(AI232:AI239)</f>
    </oc>
    <nc r="AI241">
      <f>SUM(AI232:AI240)</f>
    </nc>
  </rcc>
  <rcc rId="4217" sId="1">
    <oc r="AJ241">
      <f>SUM(AJ232:AJ239)</f>
    </oc>
    <nc r="AJ241">
      <f>SUM(AJ232:AJ240)</f>
    </nc>
  </rcc>
  <rcc rId="4218" sId="1">
    <oc r="AK241">
      <f>SUM(AK232:AK239)</f>
    </oc>
    <nc r="AK241">
      <f>SUM(AK232:AK240)</f>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08" sId="1">
    <oc r="AG456">
      <f>SUMIFS(AG$7:AG$454,$F$7:$F$454,$F456)</f>
    </oc>
    <nc r="AG456">
      <f>SUMIFS(AG$7:AG$454,$F$7:$F$454,$F456)</f>
    </nc>
  </rcc>
  <rcc rId="4809" sId="1">
    <oc r="AG457">
      <f>SUMIFS(AG$7:AG$454,$F$7:$F$454,$F457)</f>
    </oc>
    <nc r="AG457">
      <f>SUMIFS(AG$7:AG$454,$F$7:$F$454,$F457)</f>
    </nc>
  </rcc>
  <rcc rId="4810" sId="1">
    <oc r="AG458">
      <f>SUMIFS(AG$7:AG$454,$F$7:$F$454,$F458)</f>
    </oc>
    <nc r="AG458">
      <f>SUMIFS(AG$7:AG$454,$F$7:$F$454,$F458)</f>
    </nc>
  </rcc>
  <rcc rId="4811" sId="1">
    <oc r="AG459">
      <f>SUMIFS(AG$7:AG$454,$F$7:$F$454,$F459)</f>
    </oc>
    <nc r="AG459">
      <f>SUMIFS(AG$7:AG$454,$F$7:$F$454,$F459)</f>
    </nc>
  </rcc>
  <rcc rId="4812" sId="1">
    <oc r="AG460">
      <f>SUMIFS(AG$7:AG$454,$F$7:$F$454,$F460)</f>
    </oc>
    <nc r="AG460">
      <f>SUMIFS(AG$7:AG$454,$F$7:$F$454,$F460)</f>
    </nc>
  </rcc>
  <rcc rId="4813" sId="1">
    <oc r="AG461">
      <f>SUMIFS(AG$7:AG$454,$F$7:$F$454,$F461)</f>
    </oc>
    <nc r="AG461">
      <f>SUMIFS(AG$7:AG$454,$F$7:$F$454,$F461)</f>
    </nc>
  </rcc>
  <rcc rId="4814" sId="1">
    <oc r="AG462">
      <f>SUMIFS(AG$7:AG$454,$F$7:$F$454,$F462)</f>
    </oc>
    <nc r="AG462">
      <f>SUMIFS(AG$7:AG$454,$F$7:$F$454,$F462)</f>
    </nc>
  </rcc>
  <rcc rId="4815" sId="1">
    <oc r="AG463">
      <f>SUMIFS(AG$7:AG$454,$F$7:$F$454,$F463)</f>
    </oc>
    <nc r="AG463">
      <f>SUMIFS(AG$7:AG$454,$F$7:$F$454,$F463)</f>
    </nc>
  </rcc>
  <rcc rId="4816" sId="1">
    <oc r="AG464">
      <f>SUMIFS(AG$7:AG$454,$F$7:$F$454,$F464)</f>
    </oc>
    <nc r="AG464">
      <f>SUMIFS(AG$7:AG$454,$F$7:$F$454,$F464)</f>
    </nc>
  </rcc>
  <rcc rId="4817" sId="1">
    <oc r="AG465">
      <f>SUMIFS(AG$7:AG$454,$F$7:$F$454,$F465)</f>
    </oc>
    <nc r="AG465">
      <f>SUMIFS(AG$7:AG$454,$F$7:$F$454,$F465)</f>
    </nc>
  </rcc>
  <rcc rId="4818" sId="1">
    <oc r="AG466">
      <f>SUMIFS(AG$7:AG$454,$F$7:$F$454,$F466)</f>
    </oc>
    <nc r="AG466">
      <f>SUMIFS(AG$7:AG$454,$F$7:$F$454,$F466)</f>
    </nc>
  </rcc>
  <rcc rId="4819" sId="1" numFmtId="4">
    <nc r="AF450">
      <v>0</v>
    </nc>
  </rcc>
  <rcc rId="4820" sId="1">
    <nc r="AG450">
      <f>AE450+AF450</f>
    </nc>
  </rcc>
  <rcc rId="4821" sId="1" numFmtId="4">
    <nc r="AF451">
      <v>0</v>
    </nc>
  </rcc>
  <rcc rId="4822" sId="1">
    <nc r="AG451">
      <f>AE451+AF451</f>
    </nc>
  </rcc>
  <rcc rId="4823" sId="1" odxf="1" s="1" dxf="1">
    <nc r="AG452">
      <f>AE452+AF452</f>
    </nc>
    <odxf>
      <numFmt numFmtId="0" formatCode="General"/>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umFmt numFmtId="166" formatCode="#,##0.00_ ;\-#,##0.00\ "/>
      <alignment horizontal="right" vertical="center" wrapText="1"/>
    </ndxf>
  </rcc>
  <rcc rId="4824" sId="1" odxf="1" dxf="1" numFmtId="4">
    <nc r="AF452">
      <v>0</v>
    </nc>
    <ndxf>
      <font>
        <sz val="12"/>
        <color auto="1"/>
        <name val="Calibri"/>
        <family val="2"/>
        <charset val="238"/>
        <scheme val="minor"/>
      </font>
      <numFmt numFmtId="166" formatCode="#,##0.00_ ;\-#,##0.00\ "/>
      <alignment horizontal="right" vertical="center" wrapText="1"/>
    </ndxf>
  </rcc>
  <rcv guid="{7C1B4D6D-D666-48DD-AB17-E00791B6F0B6}" action="delete"/>
  <rdn rId="0" localSheetId="1" customView="1" name="Z_7C1B4D6D_D666_48DD_AB17_E00791B6F0B6_.wvu.PrintArea" hidden="1" oldHidden="1">
    <formula>Sheet1!$A$1:$AL$487</formula>
    <oldFormula>Sheet1!$A$1:$AL$487</oldFormula>
  </rdn>
  <rdn rId="0" localSheetId="1" customView="1" name="Z_7C1B4D6D_D666_48DD_AB17_E00791B6F0B6_.wvu.FilterData" hidden="1" oldHidden="1">
    <formula>Sheet1!$A$6:$DG$453</formula>
    <oldFormula>Sheet1!$A$6:$DG$453</oldFormula>
  </rdn>
  <rcv guid="{7C1B4D6D-D666-48DD-AB17-E00791B6F0B6}" action="add"/>
</revisions>
</file>

<file path=xl/revisions/revisionLog4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19" sId="1">
    <oc r="S254">
      <f>SUM(S245:S251)</f>
    </oc>
    <nc r="S254">
      <f>SUM(S245:S253)</f>
    </nc>
  </rcc>
  <rcc rId="4220" sId="1">
    <oc r="T254">
      <f>SUM(T245:T252)</f>
    </oc>
    <nc r="T254">
      <f>SUM(T245:T253)</f>
    </nc>
  </rcc>
  <rcc rId="4221" sId="1">
    <oc r="U254">
      <f>SUM(U245:U252)</f>
    </oc>
    <nc r="U254">
      <f>SUM(U245:U253)</f>
    </nc>
  </rcc>
  <rcc rId="4222" sId="1">
    <oc r="V254">
      <f>SUM(V245:V251)</f>
    </oc>
    <nc r="V254">
      <f>SUM(V245:V253)</f>
    </nc>
  </rcc>
  <rcc rId="4223" sId="1">
    <oc r="W254">
      <f>SUM(W245:W252)</f>
    </oc>
    <nc r="W254">
      <f>SUM(W245:W253)</f>
    </nc>
  </rcc>
  <rcc rId="4224" sId="1">
    <oc r="X254">
      <f>SUM(X245:X253)</f>
    </oc>
    <nc r="X254">
      <f>SUM(X245:X253)</f>
    </nc>
  </rcc>
  <rcc rId="4225" sId="1">
    <oc r="Y254">
      <f>SUM(Y245:Y251)</f>
    </oc>
    <nc r="Y254">
      <f>SUM(Y245:Y253)</f>
    </nc>
  </rcc>
  <rcc rId="4226" sId="1">
    <oc r="Z254">
      <f>SUM(Z245:Z252)</f>
    </oc>
    <nc r="Z254">
      <f>SUM(Z245:Z253)</f>
    </nc>
  </rcc>
  <rcc rId="4227" sId="1">
    <oc r="AA254">
      <f>SUM(AA245:AA253)</f>
    </oc>
    <nc r="AA254">
      <f>SUM(AA245:AA253)</f>
    </nc>
  </rcc>
  <rcc rId="4228" sId="1">
    <oc r="AB254">
      <f>SUM(AB245:AB251)</f>
    </oc>
    <nc r="AB254">
      <f>SUM(AB245:AB253)</f>
    </nc>
  </rcc>
  <rcc rId="4229" sId="1">
    <oc r="AC254">
      <f>SUM(AC245:AC252)</f>
    </oc>
    <nc r="AC254">
      <f>SUM(AC245:AC253)</f>
    </nc>
  </rcc>
  <rcc rId="4230" sId="1">
    <oc r="AD254">
      <f>SUM(AD245:AD253)</f>
    </oc>
    <nc r="AD254">
      <f>SUM(AD245:AD253)</f>
    </nc>
  </rcc>
  <rcc rId="4231" sId="1">
    <oc r="AE254">
      <f>SUM(AE245:AE251)</f>
    </oc>
    <nc r="AE254">
      <f>SUM(AE245:AE253)</f>
    </nc>
  </rcc>
  <rcc rId="4232" sId="1">
    <oc r="AF254">
      <f>SUM(AF245:AF253)</f>
    </oc>
    <nc r="AF254">
      <f>SUM(AF245:AF253)</f>
    </nc>
  </rcc>
  <rcc rId="4233" sId="1">
    <oc r="AG254">
      <f>SUM(AG245:AG251)</f>
    </oc>
    <nc r="AG254">
      <f>SUM(AG245:AG253)</f>
    </nc>
  </rcc>
  <rcc rId="4234" sId="1">
    <oc r="AH254">
      <f>SUM(AH245:AH251)</f>
    </oc>
    <nc r="AH254">
      <f>SUM(AH245:AH253)</f>
    </nc>
  </rcc>
  <rcc rId="4235" sId="1">
    <oc r="AI254">
      <f>SUM(AI245:AI251)</f>
    </oc>
    <nc r="AI254">
      <f>SUM(AI245:AI253)</f>
    </nc>
  </rcc>
  <rcc rId="4236" sId="1">
    <oc r="AJ254">
      <f>SUM(AJ245:AJ251)</f>
    </oc>
    <nc r="AJ254">
      <f>SUM(AJ245:AJ253)</f>
    </nc>
  </rcc>
  <rcc rId="4237" sId="1">
    <oc r="AK254">
      <f>SUM(AK245:AK251)</f>
    </oc>
    <nc r="AK254">
      <f>SUM(AK245:AK253)</f>
    </nc>
  </rcc>
</revisions>
</file>

<file path=xl/revisions/revisionLog4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72:J372">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4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406:I406" start="0" length="0">
    <dxf>
      <border>
        <bottom style="thin">
          <color indexed="64"/>
        </bottom>
      </border>
    </dxf>
  </rfmt>
  <rfmt sheetId="1" sqref="G406:I406">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4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38" sId="1">
    <oc r="P307" t="inlineStr">
      <is>
        <t>Zalău</t>
      </is>
    </oc>
    <nc r="P307" t="inlineStr">
      <is>
        <t>Sălaj</t>
      </is>
    </nc>
  </rcc>
</revisions>
</file>

<file path=xl/revisions/revisionLog4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39" sId="1" ref="A34:XFD34" action="insertRow">
    <undo index="65535" exp="area" ref3D="1" dr="$H$1:$N$1048576" dn="Z_65B035E3_87FA_46C5_996E_864F2C8D0EBC_.wvu.Cols" sId="1"/>
  </rrc>
  <rcc rId="4240" sId="1">
    <nc r="A34">
      <v>5</v>
    </nc>
  </rcc>
</revisions>
</file>

<file path=xl/revisions/revisionLog4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41" sId="1" odxf="1" dxf="1">
    <nc r="B34">
      <v>120769</v>
    </nc>
    <odxf>
      <font>
        <b/>
        <sz val="12"/>
        <color auto="1"/>
      </font>
    </odxf>
    <ndxf>
      <font>
        <b val="0"/>
        <sz val="12"/>
        <color auto="1"/>
      </font>
    </ndxf>
  </rcc>
  <rcc rId="4242" sId="1">
    <nc r="C34">
      <v>96</v>
    </nc>
  </rcc>
  <rcc rId="4243" sId="1" odxf="1" dxf="1">
    <nc r="D34" t="inlineStr">
      <is>
        <t>OD</t>
      </is>
    </nc>
    <odxf>
      <font>
        <b/>
        <sz val="12"/>
        <color auto="1"/>
      </font>
    </odxf>
    <ndxf>
      <font>
        <b val="0"/>
        <sz val="12"/>
        <color auto="1"/>
      </font>
    </ndxf>
  </rcc>
  <rcc rId="4244" sId="1">
    <nc r="E34" t="inlineStr">
      <is>
        <t>AP 2/11i/2.1</t>
      </is>
    </nc>
  </rcc>
  <rcc rId="4245" sId="1" odxf="1" dxf="1">
    <nc r="F34" t="inlineStr">
      <is>
        <t>CP4 less /2017</t>
      </is>
    </nc>
    <odxf>
      <font>
        <sz val="12"/>
        <color auto="1"/>
      </font>
      <alignment horizontal="left"/>
    </odxf>
    <ndxf>
      <font>
        <sz val="12"/>
        <color auto="1"/>
      </font>
      <alignment horizontal="general"/>
    </ndxf>
  </rcc>
  <rcc rId="4246" sId="1" odxf="1" dxf="1">
    <nc r="G34" t="inlineStr">
      <is>
        <t>“ Sprijinirea mdunicipiului Bacău pentru asigurarea managementului performantei și calității”</t>
      </is>
    </nc>
    <odxf>
      <font>
        <sz val="12"/>
        <color auto="1"/>
      </font>
    </odxf>
    <ndxf>
      <font>
        <sz val="12"/>
        <color auto="1"/>
        <charset val="1"/>
      </font>
    </ndxf>
  </rcc>
  <rcc rId="4247" sId="1" odxf="1" dxf="1">
    <nc r="H34" t="inlineStr">
      <is>
        <t>Municipiul Bacău</t>
      </is>
    </nc>
    <odxf>
      <font>
        <sz val="12"/>
        <color auto="1"/>
      </font>
      <alignment horizontal="center"/>
    </odxf>
    <ndxf>
      <font>
        <sz val="12"/>
        <color auto="1"/>
      </font>
      <alignment horizontal="left"/>
    </ndxf>
  </rcc>
  <rcc rId="4248" sId="1" odxf="1" dxf="1">
    <nc r="I34" t="inlineStr">
      <is>
        <t>Asociatia PartNET – Parteneriat pentru Dezvoltare Durabila</t>
      </is>
    </nc>
    <odxf>
      <font>
        <b/>
        <sz val="12"/>
        <color auto="1"/>
      </font>
    </odxf>
    <ndxf>
      <font>
        <b val="0"/>
        <sz val="12"/>
        <color auto="1"/>
      </font>
    </ndxf>
  </rcc>
  <rcc rId="4249" sId="1" odxf="1" dxf="1">
    <nc r="J34" t="inlineStr">
      <is>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is>
    </nc>
    <odxf>
      <font>
        <sz val="12"/>
        <color auto="1"/>
      </font>
      <alignment horizontal="left" vertical="center"/>
    </odxf>
    <ndxf>
      <font>
        <sz val="12"/>
        <color auto="1"/>
        <charset val="1"/>
      </font>
      <alignment horizontal="general" vertical="top"/>
    </ndxf>
  </rcc>
  <rcc rId="4250" sId="1" numFmtId="19">
    <nc r="K34">
      <v>43186</v>
    </nc>
  </rcc>
  <rcc rId="4251" sId="1" numFmtId="19">
    <nc r="L34">
      <v>43673</v>
    </nc>
  </rcc>
  <rcc rId="4252" sId="1" odxf="1" dxf="1">
    <nc r="M34">
      <f>S34/AE34*100</f>
    </nc>
    <odxf>
      <font>
        <sz val="12"/>
        <color auto="1"/>
      </font>
      <numFmt numFmtId="168" formatCode="0.0000000"/>
    </odxf>
    <ndxf>
      <font>
        <sz val="12"/>
        <color auto="1"/>
      </font>
      <numFmt numFmtId="165" formatCode="0.000000000"/>
    </ndxf>
  </rcc>
  <rcc rId="4253" sId="1" odxf="1" dxf="1">
    <nc r="N34" t="inlineStr">
      <is>
        <t xml:space="preserve"> Proiect cu acoperire națională</t>
      </is>
    </nc>
    <odxf>
      <font>
        <sz val="12"/>
        <color auto="1"/>
      </font>
      <fill>
        <patternFill patternType="none">
          <bgColor indexed="65"/>
        </patternFill>
      </fill>
    </odxf>
    <ndxf>
      <font>
        <sz val="12"/>
        <color auto="1"/>
      </font>
      <fill>
        <patternFill patternType="solid">
          <bgColor theme="0"/>
        </patternFill>
      </fill>
    </ndxf>
  </rcc>
  <rcc rId="4254" sId="1" odxf="1" dxf="1">
    <nc r="O34" t="inlineStr">
      <is>
        <t>Bacău</t>
      </is>
    </nc>
    <odxf>
      <font>
        <sz val="12"/>
        <color auto="1"/>
      </font>
      <fill>
        <patternFill patternType="none">
          <bgColor indexed="65"/>
        </patternFill>
      </fill>
    </odxf>
    <ndxf>
      <font>
        <sz val="12"/>
        <color auto="1"/>
      </font>
      <fill>
        <patternFill patternType="solid">
          <bgColor theme="0"/>
        </patternFill>
      </fill>
    </ndxf>
  </rcc>
  <rcc rId="4255" sId="1" odxf="1" dxf="1">
    <nc r="P34" t="inlineStr">
      <is>
        <t>Bacău</t>
      </is>
    </nc>
    <odxf>
      <font>
        <sz val="12"/>
        <color auto="1"/>
      </font>
      <fill>
        <patternFill patternType="none">
          <bgColor indexed="65"/>
        </patternFill>
      </fill>
    </odxf>
    <ndxf>
      <font>
        <sz val="12"/>
        <color auto="1"/>
      </font>
      <fill>
        <patternFill patternType="solid">
          <bgColor theme="0"/>
        </patternFill>
      </fill>
    </ndxf>
  </rcc>
  <rcc rId="4256" sId="1" odxf="1" dxf="1">
    <nc r="Q34" t="inlineStr">
      <is>
        <t>APL</t>
      </is>
    </nc>
    <odxf>
      <font>
        <sz val="12"/>
        <color auto="1"/>
      </font>
      <numFmt numFmtId="19" formatCode="dd/mm/yyyy"/>
      <fill>
        <patternFill patternType="none">
          <bgColor indexed="65"/>
        </patternFill>
      </fill>
    </odxf>
    <ndxf>
      <font>
        <sz val="12"/>
        <color auto="1"/>
      </font>
      <numFmt numFmtId="0" formatCode="General"/>
      <fill>
        <patternFill patternType="solid">
          <bgColor theme="0"/>
        </patternFill>
      </fill>
    </ndxf>
  </rcc>
  <rcc rId="4257" sId="1" odxf="1" dxf="1">
    <nc r="R34" t="inlineStr">
      <is>
        <t>119 - Investiții în capacitatea instituțională și în eficiența administrațiilor și a serviciilor publice la nivel național, regional și local, în perspectiva realizării de reforme, a unei mai bune legiferări și a bunei guvernanțe</t>
      </is>
    </nc>
    <odxf>
      <fill>
        <patternFill patternType="solid">
          <bgColor theme="0"/>
        </patternFill>
      </fill>
    </odxf>
    <ndxf>
      <fill>
        <patternFill patternType="none">
          <bgColor indexed="65"/>
        </patternFill>
      </fill>
    </ndxf>
  </rcc>
  <rcc rId="4258" sId="1">
    <nc r="S34">
      <f>T34+U34</f>
    </nc>
  </rcc>
  <rcc rId="4259" sId="1" odxf="1" s="1" dxf="1" numFmtId="4">
    <nc r="T34">
      <v>357519.4</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4260" sId="1" odxf="1" s="1" dxf="1" numFmtId="4">
    <nc r="U34">
      <v>0</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4261" sId="1">
    <nc r="V34">
      <f>W34+X34</f>
    </nc>
  </rcc>
  <rcc rId="4262" sId="1" odxf="1" s="1" dxf="1" numFmtId="4">
    <nc r="W34">
      <v>58822.79</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4263" sId="1" odxf="1" s="1" dxf="1" numFmtId="4">
    <nc r="X34">
      <v>0</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4264" sId="1">
    <nc r="Y34">
      <f>Z34+AA34</f>
    </nc>
  </rcc>
  <rcc rId="4265" sId="1" odxf="1" s="1" dxf="1" numFmtId="4">
    <nc r="Z34">
      <v>8496.7800000000007</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4266" sId="1" odxf="1" s="1" dxf="1" numFmtId="4">
    <nc r="AA34">
      <v>0</v>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6" formatCode="#,##0.00_ ;\-#,##0.00\ "/>
    </ndxf>
  </rcc>
  <rcc rId="4267" sId="1">
    <nc r="AB34">
      <f>AC34+AD34</f>
    </nc>
  </rcc>
  <rfmt sheetId="1" sqref="AC34" start="0" length="0">
    <dxf>
      <numFmt numFmtId="166" formatCode="#,##0.00_ ;\-#,##0.00\ "/>
    </dxf>
  </rfmt>
  <rfmt sheetId="1" sqref="AD34" start="0" length="0">
    <dxf>
      <numFmt numFmtId="166" formatCode="#,##0.00_ ;\-#,##0.00\ "/>
    </dxf>
  </rfmt>
  <rcc rId="4268" sId="1">
    <nc r="AE34">
      <f>S34+V34+Y34+AB34</f>
    </nc>
  </rcc>
  <rcc rId="4269" sId="1" odxf="1" dxf="1" numFmtId="4">
    <nc r="AF34">
      <v>0</v>
    </nc>
    <odxf>
      <font>
        <sz val="12"/>
        <color auto="1"/>
      </font>
    </odxf>
    <ndxf>
      <font>
        <sz val="12"/>
        <color auto="1"/>
      </font>
    </ndxf>
  </rcc>
  <rcc rId="4270" sId="1">
    <nc r="AG34">
      <f>AE34+AF34</f>
    </nc>
  </rcc>
  <rcc rId="4271" sId="1">
    <nc r="AH34" t="inlineStr">
      <is>
        <t xml:space="preserve"> în implementare</t>
      </is>
    </nc>
  </rcc>
  <rcc rId="4272" sId="1" odxf="1" dxf="1">
    <nc r="AI34" t="inlineStr">
      <is>
        <t>n.a</t>
      </is>
    </nc>
    <odxf>
      <font>
        <sz val="12"/>
      </font>
    </odxf>
    <ndxf>
      <font>
        <sz val="12"/>
        <name val="Trebuchet MS"/>
        <scheme val="none"/>
      </font>
    </ndxf>
  </rcc>
  <rcc rId="4273" sId="1">
    <nc r="AJ34">
      <f>91004.83+54990.03-2852.81+19018.76+43276.76+21139.54</f>
    </nc>
  </rcc>
  <rcc rId="4274" sId="1" odxf="1" dxf="1">
    <nc r="AK34">
      <f>8258.02+14527.48+10688.48</f>
    </nc>
    <odxf>
      <font>
        <sz val="12"/>
        <color auto="1"/>
      </font>
    </odxf>
    <ndxf>
      <font>
        <sz val="12"/>
        <color auto="1"/>
      </font>
    </ndxf>
  </rcc>
  <rcc rId="4275" sId="1">
    <oc r="S35">
      <f>SUM(S29:S33)</f>
    </oc>
    <nc r="S35">
      <f>SUM(S29:S34)</f>
    </nc>
  </rcc>
  <rcc rId="4276" sId="1">
    <oc r="T35">
      <f>SUM(T29:T33)</f>
    </oc>
    <nc r="T35">
      <f>SUM(T29:T34)</f>
    </nc>
  </rcc>
  <rcc rId="4277" sId="1">
    <oc r="U35">
      <f>SUM(U29:U33)</f>
    </oc>
    <nc r="U35">
      <f>SUM(U29:U34)</f>
    </nc>
  </rcc>
  <rcc rId="4278" sId="1">
    <oc r="V35">
      <f>SUM(V29:V33)</f>
    </oc>
    <nc r="V35">
      <f>SUM(V29:V34)</f>
    </nc>
  </rcc>
  <rcc rId="4279" sId="1">
    <oc r="W35">
      <f>SUM(W29:W33)</f>
    </oc>
    <nc r="W35">
      <f>SUM(W29:W34)</f>
    </nc>
  </rcc>
  <rcc rId="4280" sId="1">
    <oc r="X35">
      <f>SUM(X29:X33)</f>
    </oc>
    <nc r="X35">
      <f>SUM(X29:X34)</f>
    </nc>
  </rcc>
  <rcc rId="4281" sId="1">
    <oc r="Y35">
      <f>SUM(Y29:Y33)</f>
    </oc>
    <nc r="Y35">
      <f>SUM(Y29:Y34)</f>
    </nc>
  </rcc>
  <rcc rId="4282" sId="1">
    <oc r="Z35">
      <f>SUM(Z29:Z33)</f>
    </oc>
    <nc r="Z35">
      <f>SUM(Z29:Z34)</f>
    </nc>
  </rcc>
  <rcc rId="4283" sId="1">
    <oc r="AA35">
      <f>SUM(AA29:AA33)</f>
    </oc>
    <nc r="AA35">
      <f>SUM(AA29:AA34)</f>
    </nc>
  </rcc>
  <rcc rId="4284" sId="1">
    <oc r="AB35">
      <f>SUM(AB29:AB33)</f>
    </oc>
    <nc r="AB35">
      <f>SUM(AB29:AB34)</f>
    </nc>
  </rcc>
  <rcc rId="4285" sId="1">
    <oc r="AC35">
      <f>SUM(AC29:AC33)</f>
    </oc>
    <nc r="AC35">
      <f>SUM(AC29:AC34)</f>
    </nc>
  </rcc>
  <rcc rId="4286" sId="1">
    <oc r="AD35">
      <f>SUM(AD29:AD33)</f>
    </oc>
    <nc r="AD35">
      <f>SUM(AD29:AD34)</f>
    </nc>
  </rcc>
  <rcc rId="4287" sId="1">
    <oc r="AE35">
      <f>SUM(AE29:AE33)</f>
    </oc>
    <nc r="AE35">
      <f>SUM(AE29:AE34)</f>
    </nc>
  </rcc>
  <rcc rId="4288" sId="1">
    <oc r="AF35">
      <f>SUM(AF29:AF33)</f>
    </oc>
    <nc r="AF35">
      <f>SUM(AF29:AF34)</f>
    </nc>
  </rcc>
  <rcc rId="4289" sId="1">
    <oc r="AG35">
      <f>SUM(AG29:AG33)</f>
    </oc>
    <nc r="AG35">
      <f>SUM(AG29:AG34)</f>
    </nc>
  </rcc>
  <rcc rId="4290" sId="1">
    <oc r="AH35">
      <f>SUM(AH29:AH33)</f>
    </oc>
    <nc r="AH35">
      <f>SUM(AH29:AH34)</f>
    </nc>
  </rcc>
  <rcc rId="4291" sId="1">
    <oc r="AI35">
      <f>SUM(AI29:AI33)</f>
    </oc>
    <nc r="AI35">
      <f>SUM(AI29:AI34)</f>
    </nc>
  </rcc>
  <rcc rId="4292" sId="1">
    <oc r="AJ35">
      <f>SUM(AJ29:AJ33)</f>
    </oc>
    <nc r="AJ35">
      <f>SUM(AJ29:AJ34)</f>
    </nc>
  </rcc>
  <rcc rId="4293" sId="1">
    <oc r="AK35">
      <f>SUM(AK29:AK33)</f>
    </oc>
    <nc r="AK35">
      <f>SUM(AK29:AK34)</f>
    </nc>
  </rcc>
</revisions>
</file>

<file path=xl/revisions/revisionLog4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94" sId="1" ref="A306:XFD306" action="deleteRow">
    <undo index="65535" exp="area" ref3D="1" dr="$H$1:$N$1048576" dn="Z_65B035E3_87FA_46C5_996E_864F2C8D0EBC_.wvu.Cols" sId="1"/>
    <rfmt sheetId="1" xfDxf="1" sqref="A306:XFD306" start="0" length="0"/>
    <rcc rId="0" sId="1" dxf="1">
      <nc r="A306">
        <v>51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cc rId="0" sId="1" dxf="1">
      <nc r="B306">
        <v>120769</v>
      </nc>
      <n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c r="C306">
        <v>96</v>
      </nc>
      <n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D306" t="inlineStr">
        <is>
          <t>OD</t>
        </is>
      </nc>
      <n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06" t="inlineStr">
        <is>
          <t>AP 2/11i/2.1</t>
        </is>
      </nc>
      <n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ndxf>
    </rcc>
    <rcc rId="0" sId="1" dxf="1">
      <nc r="F306" t="inlineStr">
        <is>
          <t>CP4 less /2017</t>
        </is>
      </nc>
      <n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G306" t="inlineStr">
        <is>
          <t>“ Sprijinirea mdunicipiului Bacău pentru asigurarea managementului performantei și calității”</t>
        </is>
      </nc>
      <n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ndxf>
    </rcc>
    <rcc rId="0" sId="1" dxf="1">
      <nc r="H306" t="inlineStr">
        <is>
          <t>Municipiul Bacău</t>
        </is>
      </nc>
      <n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ndxf>
    </rcc>
    <rcc rId="0" sId="1" dxf="1">
      <nc r="I306" t="inlineStr">
        <is>
          <t>Asociatia PartNET – Parteneriat pentru Dezvoltare Durabila</t>
        </is>
      </nc>
      <n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J306" t="inlineStr">
        <is>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is>
      </nc>
      <ndxf>
        <font>
          <sz val="11"/>
          <color theme="1"/>
          <name val="Calibri"/>
          <family val="2"/>
          <charset val="1"/>
          <scheme val="minor"/>
        </font>
        <alignment vertical="top" wrapText="1"/>
        <border outline="0">
          <left style="thin">
            <color indexed="64"/>
          </left>
          <right style="thin">
            <color indexed="64"/>
          </right>
          <top style="thin">
            <color indexed="64"/>
          </top>
          <bottom style="thin">
            <color indexed="64"/>
          </bottom>
        </border>
      </ndxf>
    </rcc>
    <rcc rId="0" sId="1" dxf="1" numFmtId="19">
      <nc r="K306">
        <v>43186</v>
      </nc>
      <n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umFmtId="19">
      <nc r="L306">
        <v>43673</v>
      </nc>
      <n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ndxf>
    </rcc>
    <rcc rId="0" sId="1" dxf="1">
      <nc r="M306">
        <f>S306/AE306*100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cc rId="0" sId="1" dxf="1">
      <nc r="N306" t="inlineStr">
        <is>
          <t xml:space="preserve"> Proiect cu acoperire națională</t>
        </is>
      </nc>
      <n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O306" t="inlineStr">
        <is>
          <t>Bacău</t>
        </is>
      </nc>
      <n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P306" t="inlineStr">
        <is>
          <t>Bacău</t>
        </is>
      </nc>
      <n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Q306" t="inlineStr">
        <is>
          <t>APL</t>
        </is>
      </nc>
      <n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R306" t="inlineStr">
        <is>
          <t>119 - Investiții în capacitatea instituțională și în eficiența administrațiilor și a serviciilor publice la nivel național, regional și local, în perspectiva realizării de reforme, a unei mai bune legiferări și a bunei guvernanțe</t>
        </is>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s="1" dxf="1">
      <nc r="S306">
        <f>T306+U306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T306">
        <v>357519.4</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U306">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V306">
        <f>W306+X306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W306">
        <v>58822.79</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X306">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Y306">
        <f>Z306+AA306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Z306">
        <v>8496.7800000000007</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AA306">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AB306">
        <f>AC306+AD306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30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0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06">
        <f>S306+V306+Y306+AB306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AF306">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c r="AG306">
        <f>AE306+AF306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306" t="inlineStr">
        <is>
          <t xml:space="preserve"> în implementare</t>
        </is>
      </nc>
      <n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I306" t="inlineStr">
        <is>
          <t>n.a</t>
        </is>
      </nc>
      <n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ndxf>
    </rcc>
    <rcc rId="0" sId="1" dxf="1">
      <nc r="AJ306">
        <f>91004.83+54990.03-2852.81+19018.76+43276.76+21139.54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306">
        <f>8258.02+14527.48+10688.48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306" start="0" length="0">
      <dxf>
        <font>
          <sz val="12"/>
          <color theme="1"/>
          <name val="Calibri"/>
          <family val="2"/>
          <charset val="238"/>
          <scheme val="minor"/>
        </font>
      </dxf>
    </rfmt>
  </rrc>
</revisions>
</file>

<file path=xl/revisions/revisionLog4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95" sId="1" ref="A200:XFD200" action="insertRow">
    <undo index="65535" exp="area" ref3D="1" dr="$H$1:$N$1048576" dn="Z_65B035E3_87FA_46C5_996E_864F2C8D0EBC_.wvu.Cols" sId="1"/>
  </rrc>
  <rrc rId="4296" sId="1" ref="A200:XFD200" action="insertRow">
    <undo index="65535" exp="area" ref3D="1" dr="$H$1:$N$1048576" dn="Z_65B035E3_87FA_46C5_996E_864F2C8D0EBC_.wvu.Cols" sId="1"/>
  </rrc>
  <rcc rId="4297" sId="1">
    <nc r="A200">
      <v>5</v>
    </nc>
  </rcc>
  <rcc rId="4298" sId="1">
    <nc r="A201">
      <v>6</v>
    </nc>
  </rcc>
</revisions>
</file>

<file path=xl/revisions/revisionLog4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99" sId="1">
    <nc r="B200">
      <v>121622</v>
    </nc>
  </rcc>
  <rcc rId="4300" sId="1" odxf="1" dxf="1">
    <nc r="C200">
      <v>99</v>
    </nc>
    <odxf>
      <border outline="0">
        <left/>
      </border>
    </odxf>
    <ndxf>
      <border outline="0">
        <left style="thin">
          <color indexed="64"/>
        </left>
      </border>
    </ndxf>
  </rcc>
  <rcc rId="4301" sId="1" odxf="1" dxf="1">
    <nc r="D200" t="inlineStr">
      <is>
        <t>OD</t>
      </is>
    </nc>
    <odxf>
      <border outline="0">
        <left/>
      </border>
    </odxf>
    <ndxf>
      <border outline="0">
        <left style="thin">
          <color indexed="64"/>
        </left>
      </border>
    </ndxf>
  </rcc>
  <rcc rId="4302" sId="1" odxf="1" dxf="1">
    <nc r="E200" t="inlineStr">
      <is>
        <t>AP 2/11i/2.1</t>
      </is>
    </nc>
    <odxf>
      <alignment horizontal="center"/>
    </odxf>
    <ndxf>
      <alignment horizontal="left"/>
    </ndxf>
  </rcc>
  <rcc rId="4303" sId="1">
    <nc r="F200" t="inlineStr">
      <is>
        <t>CP4 less /2017</t>
      </is>
    </nc>
  </rcc>
  <rcc rId="4304" sId="1">
    <nc r="G200" t="inlineStr">
      <is>
        <t>Sisteme de management performant pentru Consiliul Județean Sălaj</t>
      </is>
    </nc>
  </rcc>
  <rcc rId="4305" sId="1" odxf="1" dxf="1">
    <nc r="H200" t="inlineStr">
      <is>
        <t>Consiliul Județean Sălaj</t>
      </is>
    </nc>
    <odxf>
      <font>
        <sz val="12"/>
        <color auto="1"/>
        <charset val="1"/>
      </font>
    </odxf>
    <ndxf>
      <font>
        <sz val="12"/>
        <color auto="1"/>
        <charset val="1"/>
      </font>
    </ndxf>
  </rcc>
  <rcc rId="4306" sId="1">
    <nc r="I200" t="inlineStr">
      <is>
        <t>na</t>
      </is>
    </nc>
  </rcc>
  <rcc rId="4307" sId="1" odxf="1" dxf="1">
    <nc r="J200" t="inlineStr">
      <is>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is>
    </nc>
    <odxf>
      <font>
        <sz val="12"/>
        <color auto="1"/>
      </font>
      <alignment horizontal="justify"/>
    </odxf>
    <ndxf>
      <font>
        <sz val="12"/>
        <color auto="1"/>
        <charset val="1"/>
      </font>
      <alignment horizontal="general"/>
    </ndxf>
  </rcc>
  <rcc rId="4308" sId="1" numFmtId="19">
    <nc r="K200">
      <v>43188</v>
    </nc>
  </rcc>
  <rcc rId="4309" sId="1" numFmtId="19">
    <nc r="L200">
      <v>43737</v>
    </nc>
  </rcc>
  <rcc rId="4310" sId="1">
    <nc r="M200">
      <f>S200/AE200*100</f>
    </nc>
  </rcc>
  <rcc rId="4311" sId="1" odxf="1" dxf="1">
    <nc r="N200" t="inlineStr">
      <is>
        <t xml:space="preserve"> Proiect cu acoperire națională</t>
      </is>
    </nc>
    <odxf>
      <fill>
        <patternFill patternType="none">
          <bgColor indexed="65"/>
        </patternFill>
      </fill>
    </odxf>
    <ndxf>
      <fill>
        <patternFill patternType="solid">
          <bgColor theme="0"/>
        </patternFill>
      </fill>
    </ndxf>
  </rcc>
  <rcc rId="4312" sId="1" odxf="1" dxf="1">
    <nc r="O200" t="inlineStr">
      <is>
        <t>Sălaj</t>
      </is>
    </nc>
    <odxf>
      <fill>
        <patternFill patternType="none">
          <bgColor indexed="65"/>
        </patternFill>
      </fill>
    </odxf>
    <ndxf>
      <fill>
        <patternFill patternType="solid">
          <bgColor theme="0"/>
        </patternFill>
      </fill>
    </ndxf>
  </rcc>
  <rcc rId="4313" sId="1" odxf="1" dxf="1">
    <nc r="P200" t="inlineStr">
      <is>
        <t>Sălaj</t>
      </is>
    </nc>
    <odxf>
      <fill>
        <patternFill patternType="none">
          <bgColor indexed="65"/>
        </patternFill>
      </fill>
    </odxf>
    <ndxf>
      <fill>
        <patternFill patternType="solid">
          <bgColor theme="0"/>
        </patternFill>
      </fill>
    </ndxf>
  </rcc>
  <rcc rId="4314" sId="1" odxf="1" dxf="1">
    <nc r="Q200" t="inlineStr">
      <is>
        <t>APL</t>
      </is>
    </nc>
    <odxf>
      <fill>
        <patternFill patternType="none">
          <bgColor indexed="65"/>
        </patternFill>
      </fill>
    </odxf>
    <ndxf>
      <fill>
        <patternFill patternType="solid">
          <bgColor theme="0"/>
        </patternFill>
      </fill>
    </ndxf>
  </rcc>
  <rcc rId="4315" sId="1">
    <nc r="R200" t="inlineStr">
      <is>
        <t>119 - Investiții în capacitatea instituțională și în eficiența administrațiilor și a serviciilor publice la nivel național, regional și local, în perspectiva realizării de reforme, a unei mai bune legiferări și a bunei guvernanțe</t>
      </is>
    </nc>
  </rcc>
  <rcc rId="4316" sId="1">
    <nc r="S200">
      <f>T200+U200</f>
    </nc>
  </rcc>
  <rcc rId="4317" sId="1" numFmtId="4">
    <nc r="T200">
      <v>444540.46</v>
    </nc>
  </rcc>
  <rcc rId="4318" sId="1" numFmtId="4">
    <nc r="U200">
      <v>0</v>
    </nc>
  </rcc>
  <rcc rId="4319" sId="1">
    <nc r="V200">
      <f>W200+X200</f>
    </nc>
  </rcc>
  <rcc rId="4320" sId="1" numFmtId="4">
    <nc r="W200">
      <v>67988.539999999994</v>
    </nc>
  </rcc>
  <rcc rId="4321" sId="1" numFmtId="4">
    <nc r="X200">
      <v>0</v>
    </nc>
  </rcc>
  <rcc rId="4322" sId="1">
    <nc r="Y200">
      <f>Z200+AA200</f>
    </nc>
  </rcc>
  <rcc rId="4323" sId="1" odxf="1" dxf="1" numFmtId="4">
    <nc r="Z200">
      <v>10459.780000000001</v>
    </nc>
    <odxf>
      <font>
        <sz val="12"/>
        <color auto="1"/>
      </font>
      <numFmt numFmtId="166" formatCode="#,##0.00_ ;\-#,##0.00\ "/>
    </odxf>
    <ndxf>
      <font>
        <sz val="12"/>
        <color auto="1"/>
      </font>
      <numFmt numFmtId="4" formatCode="#,##0.00"/>
    </ndxf>
  </rcc>
  <rcc rId="4324" sId="1" numFmtId="4">
    <nc r="AA200">
      <v>0</v>
    </nc>
  </rcc>
  <rcc rId="4325" sId="1">
    <nc r="AB200">
      <f>AC200+AD200</f>
    </nc>
  </rcc>
  <rcc rId="4326" sId="1">
    <nc r="AE200">
      <f>S200+V200+Y200+AB200</f>
    </nc>
  </rcc>
  <rcc rId="4327" sId="1" numFmtId="4">
    <nc r="AF200">
      <v>0</v>
    </nc>
  </rcc>
  <rcc rId="4328" sId="1">
    <nc r="AG200">
      <f>AE200+AF200</f>
    </nc>
  </rcc>
  <rcc rId="4329" sId="1">
    <nc r="AH200" t="inlineStr">
      <is>
        <t xml:space="preserve"> în implementare</t>
      </is>
    </nc>
  </rcc>
  <rcc rId="4330" sId="1">
    <nc r="AI200" t="inlineStr">
      <is>
        <t>AA1/11.02.2019</t>
      </is>
    </nc>
  </rcc>
  <rcc rId="4331" sId="1">
    <nc r="AJ200">
      <f>14488.25+50968.69+59419.29+14618.26+66415.01</f>
    </nc>
  </rcc>
  <rcc rId="4332" sId="1">
    <nc r="AK200">
      <f>2215.85+7795.21+9087.66+2235.73+10157.58</f>
    </nc>
  </rcc>
</revisions>
</file>

<file path=xl/revisions/revisionLog4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333" sId="1" ref="A308:XFD308" action="deleteRow">
    <undo index="65535" exp="area" ref3D="1" dr="$H$1:$N$1048576" dn="Z_65B035E3_87FA_46C5_996E_864F2C8D0EBC_.wvu.Cols" sId="1"/>
    <rfmt sheetId="1" xfDxf="1" sqref="A308:XFD308" start="0" length="0"/>
    <rcc rId="0" sId="1" dxf="1">
      <nc r="A308">
        <v>52</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cc rId="0" sId="1" dxf="1">
      <nc r="B308">
        <v>121622</v>
      </nc>
      <n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c r="C308">
        <v>99</v>
      </nc>
      <n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D308" t="inlineStr">
        <is>
          <t>OD</t>
        </is>
      </nc>
      <n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08" t="inlineStr">
        <is>
          <t>AP 2/11i/2.1</t>
        </is>
      </nc>
      <n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ndxf>
    </rcc>
    <rcc rId="0" sId="1" dxf="1">
      <nc r="F308" t="inlineStr">
        <is>
          <t>CP4 less /2017</t>
        </is>
      </nc>
      <n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G308" t="inlineStr">
        <is>
          <t>Sisteme de management performant pentru Consiliul Județean Sălaj</t>
        </is>
      </nc>
      <n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ndxf>
    </rcc>
    <rcc rId="0" sId="1" dxf="1">
      <nc r="H308" t="inlineStr">
        <is>
          <t>Consiliul Județean Sălaj</t>
        </is>
      </nc>
      <n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ndxf>
    </rcc>
    <rcc rId="0" sId="1" dxf="1">
      <nc r="I308" t="inlineStr">
        <is>
          <t>na</t>
        </is>
      </nc>
      <n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J308" t="inlineStr">
        <is>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is>
      </nc>
      <ndxf>
        <font>
          <sz val="11"/>
          <color theme="1"/>
          <name val="Calibri"/>
          <family val="2"/>
          <charset val="1"/>
          <scheme val="minor"/>
        </font>
        <alignment vertical="top" wrapText="1"/>
        <border outline="0">
          <left style="thin">
            <color indexed="64"/>
          </left>
          <right style="thin">
            <color indexed="64"/>
          </right>
          <top style="thin">
            <color indexed="64"/>
          </top>
          <bottom style="thin">
            <color indexed="64"/>
          </bottom>
        </border>
      </ndxf>
    </rcc>
    <rcc rId="0" sId="1" dxf="1" numFmtId="19">
      <nc r="K308">
        <v>43188</v>
      </nc>
      <n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umFmtId="19">
      <nc r="L308">
        <v>43737</v>
      </nc>
      <n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ndxf>
    </rcc>
    <rcc rId="0" sId="1" dxf="1">
      <nc r="M308">
        <f>S308/AE308*100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cc rId="0" sId="1" dxf="1">
      <nc r="N308" t="inlineStr">
        <is>
          <t xml:space="preserve"> Proiect cu acoperire națională</t>
        </is>
      </nc>
      <n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O308" t="inlineStr">
        <is>
          <t>Sălaj</t>
        </is>
      </nc>
      <n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P308" t="inlineStr">
        <is>
          <t>Sălaj</t>
        </is>
      </nc>
      <n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Q308" t="inlineStr">
        <is>
          <t>APL</t>
        </is>
      </nc>
      <n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R308" t="inlineStr">
        <is>
          <t>119 - Investiții în capacitatea instituțională și în eficiența administrațiilor și a serviciilor publice la nivel național, regional și local, în perspectiva realizării de reforme, a unei mai bune legiferări și a bunei guvernanțe</t>
        </is>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s="1" dxf="1">
      <nc r="S308">
        <f>T308+U308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T308">
        <v>444540.46</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U308">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V308">
        <f>W308+X308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W308">
        <v>67988.539999999994</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X308">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Y308">
        <f>Z308+AA308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Z308">
        <v>10459.780000000001</v>
      </nc>
      <n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AA308">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AB308">
        <f>AC308+AD308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308"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08"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08">
        <f>S308+V308+Y308+AB308</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AF308">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c r="AG308">
        <f>AE308+AF308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308" t="inlineStr">
        <is>
          <t xml:space="preserve"> în implementare</t>
        </is>
      </nc>
      <n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I308" t="inlineStr">
        <is>
          <t>AA1/11.02.2019</t>
        </is>
      </nc>
      <n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ndxf>
    </rcc>
    <rcc rId="0" sId="1" dxf="1">
      <nc r="AJ308">
        <f>14488.25+50968.69+59419.29+14618.26+66415.01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308">
        <f>2215.85+7795.21+9087.66+2235.73+10157.58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308" start="0" length="0">
      <dxf>
        <font>
          <sz val="12"/>
          <color theme="1"/>
          <name val="Calibri"/>
          <family val="2"/>
          <charset val="238"/>
          <scheme val="minor"/>
        </font>
      </dxf>
    </rfmt>
  </rrc>
  <rcc rId="4334" sId="1">
    <nc r="B201">
      <v>121536</v>
    </nc>
  </rcc>
  <rcc rId="4335" sId="1" odxf="1" dxf="1">
    <nc r="C201">
      <v>102</v>
    </nc>
    <odxf>
      <border outline="0">
        <left/>
      </border>
    </odxf>
    <ndxf>
      <border outline="0">
        <left style="thin">
          <color indexed="64"/>
        </left>
      </border>
    </ndxf>
  </rcc>
  <rcc rId="4336" sId="1" odxf="1" dxf="1">
    <nc r="D201" t="inlineStr">
      <is>
        <t>OD</t>
      </is>
    </nc>
    <odxf>
      <border outline="0">
        <left/>
      </border>
    </odxf>
    <ndxf>
      <border outline="0">
        <left style="thin">
          <color indexed="64"/>
        </left>
      </border>
    </ndxf>
  </rcc>
  <rcc rId="4337" sId="1" odxf="1" dxf="1">
    <nc r="E201" t="inlineStr">
      <is>
        <t>AP 2/11i/2.1</t>
      </is>
    </nc>
    <odxf>
      <alignment horizontal="center"/>
    </odxf>
    <ndxf>
      <alignment horizontal="left"/>
    </ndxf>
  </rcc>
  <rcc rId="4338" sId="1">
    <nc r="F201" t="inlineStr">
      <is>
        <t>CP4 less /2017</t>
      </is>
    </nc>
  </rcc>
  <rcc rId="4339" sId="1">
    <nc r="G201" t="inlineStr">
      <is>
        <r>
          <t>“Calitate, eficiență și performanță a managementului la nivelul UAT Municipiul Zalău (CEP UAT Zalău)</t>
        </r>
        <r>
          <rPr>
            <i/>
            <sz val="11"/>
            <color theme="1"/>
            <rFont val="Trebuchet MS"/>
            <family val="2"/>
          </rPr>
          <t>”</t>
        </r>
      </is>
    </nc>
  </rcc>
  <rcc rId="4340" sId="1" odxf="1" dxf="1">
    <nc r="H201" t="inlineStr">
      <is>
        <t>Municipiul Zalău</t>
      </is>
    </nc>
    <odxf>
      <font>
        <sz val="12"/>
        <color auto="1"/>
        <charset val="1"/>
      </font>
    </odxf>
    <ndxf>
      <font>
        <sz val="12"/>
        <color auto="1"/>
        <charset val="1"/>
      </font>
    </ndxf>
  </rcc>
  <rcc rId="4341" sId="1">
    <nc r="I201" t="inlineStr">
      <is>
        <t>na</t>
      </is>
    </nc>
  </rcc>
  <rcc rId="4342" sId="1" odxf="1" dxf="1">
    <nc r="J201" t="inlineStr">
      <is>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is>
    </nc>
    <odxf>
      <font>
        <sz val="12"/>
        <color auto="1"/>
      </font>
      <alignment horizontal="justify"/>
    </odxf>
    <ndxf>
      <font>
        <sz val="12"/>
        <color auto="1"/>
        <charset val="1"/>
      </font>
      <alignment horizontal="general"/>
    </ndxf>
  </rcc>
  <rcc rId="4343" sId="1" numFmtId="19">
    <nc r="K201">
      <v>43186</v>
    </nc>
  </rcc>
  <rcc rId="4344" sId="1" numFmtId="19">
    <nc r="L201">
      <v>43643</v>
    </nc>
  </rcc>
  <rcc rId="4345" sId="1">
    <nc r="M201">
      <f>S201/AE201*100</f>
    </nc>
  </rcc>
  <rcc rId="4346" sId="1" odxf="1" dxf="1">
    <nc r="N201" t="inlineStr">
      <is>
        <t xml:space="preserve"> Proiect cu acoperire națională</t>
      </is>
    </nc>
    <odxf>
      <fill>
        <patternFill patternType="none">
          <bgColor indexed="65"/>
        </patternFill>
      </fill>
    </odxf>
    <ndxf>
      <fill>
        <patternFill patternType="solid">
          <bgColor theme="0"/>
        </patternFill>
      </fill>
    </ndxf>
  </rcc>
  <rcc rId="4347" sId="1" odxf="1" dxf="1">
    <nc r="O201" t="inlineStr">
      <is>
        <t>Zalău</t>
      </is>
    </nc>
    <odxf>
      <fill>
        <patternFill patternType="none">
          <bgColor indexed="65"/>
        </patternFill>
      </fill>
    </odxf>
    <ndxf>
      <fill>
        <patternFill patternType="solid">
          <bgColor theme="0"/>
        </patternFill>
      </fill>
    </ndxf>
  </rcc>
  <rcc rId="4348" sId="1" odxf="1" dxf="1">
    <nc r="P201" t="inlineStr">
      <is>
        <t>Sălaj</t>
      </is>
    </nc>
    <odxf>
      <fill>
        <patternFill patternType="none">
          <bgColor indexed="65"/>
        </patternFill>
      </fill>
    </odxf>
    <ndxf>
      <fill>
        <patternFill patternType="solid">
          <bgColor theme="0"/>
        </patternFill>
      </fill>
    </ndxf>
  </rcc>
  <rcc rId="4349" sId="1" odxf="1" dxf="1">
    <nc r="Q201" t="inlineStr">
      <is>
        <t>APL</t>
      </is>
    </nc>
    <odxf>
      <fill>
        <patternFill patternType="none">
          <bgColor indexed="65"/>
        </patternFill>
      </fill>
    </odxf>
    <ndxf>
      <fill>
        <patternFill patternType="solid">
          <bgColor theme="0"/>
        </patternFill>
      </fill>
    </ndxf>
  </rcc>
  <rcc rId="4350" sId="1">
    <nc r="R201" t="inlineStr">
      <is>
        <t>119 - Investiții în capacitatea instituțională și în eficiența administrațiilor și a serviciilor publice la nivel național, regional și local, în perspectiva realizării de reforme, a unei mai bune legiferări și a bunei guvernanțe</t>
      </is>
    </nc>
  </rcc>
  <rcc rId="4351" sId="1">
    <nc r="S201">
      <f>T201+U201</f>
    </nc>
  </rcc>
  <rcc rId="4352" sId="1" numFmtId="4">
    <nc r="T201">
      <v>344957.66</v>
    </nc>
  </rcc>
  <rcc rId="4353" sId="1" numFmtId="4">
    <nc r="U201">
      <v>0</v>
    </nc>
  </rcc>
  <rcc rId="4354" sId="1">
    <nc r="V201">
      <f>W201+X201</f>
    </nc>
  </rcc>
  <rcc rId="4355" sId="1" numFmtId="4">
    <nc r="W201">
      <v>52758.23</v>
    </nc>
  </rcc>
  <rcc rId="4356" sId="1" numFmtId="4">
    <nc r="X201">
      <v>0</v>
    </nc>
  </rcc>
  <rcc rId="4357" sId="1">
    <nc r="Y201">
      <f>Z201+AA201</f>
    </nc>
  </rcc>
  <rcc rId="4358" sId="1" numFmtId="4">
    <nc r="Z201">
      <v>8116.65</v>
    </nc>
  </rcc>
  <rcc rId="4359" sId="1" numFmtId="4">
    <nc r="AA201">
      <v>0</v>
    </nc>
  </rcc>
  <rcc rId="4360" sId="1">
    <nc r="AB201">
      <f>AC201+AD201</f>
    </nc>
  </rcc>
  <rcc rId="4361" sId="1">
    <nc r="AE201">
      <f>S201+V201+Y201+AB201</f>
    </nc>
  </rcc>
  <rcc rId="4362" sId="1" numFmtId="4">
    <nc r="AF201">
      <v>0</v>
    </nc>
  </rcc>
  <rcc rId="4363" sId="1">
    <nc r="AG201">
      <f>AE201+AF201</f>
    </nc>
  </rcc>
  <rcc rId="4364" sId="1">
    <nc r="AH201" t="inlineStr">
      <is>
        <t xml:space="preserve"> în implementare</t>
      </is>
    </nc>
  </rcc>
  <rcc rId="4365" sId="1">
    <nc r="AI201" t="inlineStr">
      <is>
        <t>n.a</t>
      </is>
    </nc>
  </rcc>
  <rcc rId="4366" sId="1">
    <nc r="AJ201">
      <f>28255.24+60713.8+16575+57363.1</f>
    </nc>
  </rcc>
  <rcc rId="4367" sId="1">
    <nc r="AK201">
      <f>4321.39+9285.64+2535+8773.18</f>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E462:AI462">
    <dxf>
      <fill>
        <patternFill>
          <bgColor rgb="FFFFFF00"/>
        </patternFill>
      </fill>
    </dxf>
  </rfmt>
  <rcc rId="4827" sId="1" numFmtId="4">
    <nc r="AF447">
      <v>0</v>
    </nc>
  </rcc>
  <rcc rId="4828" sId="1">
    <nc r="AG447">
      <f>AE447+AF447</f>
    </nc>
  </rcc>
  <rcc rId="4829" sId="1">
    <oc r="AH467">
      <f>SUM(AH455:AH462)</f>
    </oc>
    <nc r="AH467">
      <f>SUM(AH455:AH466)</f>
    </nc>
  </rcc>
</revisions>
</file>

<file path=xl/revisions/revisionLog4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68" sId="1">
    <oc r="S202">
      <f>SUM(S196:S199)</f>
    </oc>
    <nc r="S202">
      <f>SUM(S196:S201)</f>
    </nc>
  </rcc>
  <rcc rId="4369" sId="1">
    <oc r="T202">
      <f>SUM(T196:T199)</f>
    </oc>
    <nc r="T202">
      <f>SUM(T196:T201)</f>
    </nc>
  </rcc>
  <rcc rId="4370" sId="1">
    <oc r="U202">
      <f>SUM(U196:U199)</f>
    </oc>
    <nc r="U202">
      <f>SUM(U196:U201)</f>
    </nc>
  </rcc>
  <rcc rId="4371" sId="1">
    <oc r="V202">
      <f>SUM(V196:V199)</f>
    </oc>
    <nc r="V202">
      <f>SUM(V196:V201)</f>
    </nc>
  </rcc>
  <rcc rId="4372" sId="1">
    <oc r="W202">
      <f>SUM(W196:W199)</f>
    </oc>
    <nc r="W202">
      <f>SUM(W196:W201)</f>
    </nc>
  </rcc>
  <rcc rId="4373" sId="1">
    <oc r="X202">
      <f>SUM(X196:X199)</f>
    </oc>
    <nc r="X202">
      <f>SUM(X196:X201)</f>
    </nc>
  </rcc>
  <rcc rId="4374" sId="1">
    <oc r="Y202">
      <f>SUM(Y196:Y199)</f>
    </oc>
    <nc r="Y202">
      <f>SUM(Y196:Y201)</f>
    </nc>
  </rcc>
  <rcc rId="4375" sId="1">
    <oc r="Z202">
      <f>SUM(Z196:Z199)</f>
    </oc>
    <nc r="Z202">
      <f>SUM(Z196:Z201)</f>
    </nc>
  </rcc>
  <rcc rId="4376" sId="1">
    <oc r="AA202">
      <f>SUM(AA196:AA199)</f>
    </oc>
    <nc r="AA202">
      <f>SUM(AA196:AA201)</f>
    </nc>
  </rcc>
  <rcc rId="4377" sId="1">
    <oc r="AB202">
      <f>SUM(AB196:AB199)</f>
    </oc>
    <nc r="AB202">
      <f>SUM(AB196:AB201)</f>
    </nc>
  </rcc>
  <rcc rId="4378" sId="1">
    <oc r="AC202">
      <f>SUM(AC196:AC199)</f>
    </oc>
    <nc r="AC202">
      <f>SUM(AC196:AC201)</f>
    </nc>
  </rcc>
  <rcc rId="4379" sId="1">
    <oc r="AD202">
      <f>SUM(AD196:AD199)</f>
    </oc>
    <nc r="AD202">
      <f>SUM(AD196:AD201)</f>
    </nc>
  </rcc>
  <rcc rId="4380" sId="1">
    <oc r="AE202">
      <f>SUM(AE196:AE199)</f>
    </oc>
    <nc r="AE202">
      <f>SUM(AE196:AE201)</f>
    </nc>
  </rcc>
  <rcc rId="4381" sId="1">
    <oc r="AF202">
      <f>SUM(AF196:AF199)</f>
    </oc>
    <nc r="AF202">
      <f>SUM(AF196:AF201)</f>
    </nc>
  </rcc>
  <rcc rId="4382" sId="1">
    <oc r="AG202">
      <f>SUM(AG196:AG199)</f>
    </oc>
    <nc r="AG202">
      <f>SUM(AG196:AG201)</f>
    </nc>
  </rcc>
  <rcc rId="4383" sId="1">
    <oc r="AH202">
      <f>SUM(AH196:AH199)</f>
    </oc>
    <nc r="AH202">
      <f>SUM(AH196:AH201)</f>
    </nc>
  </rcc>
  <rcc rId="4384" sId="1">
    <oc r="AI202">
      <f>SUM(AI196:AI199)</f>
    </oc>
    <nc r="AI202">
      <f>SUM(AI196:AI201)</f>
    </nc>
  </rcc>
  <rcc rId="4385" sId="1">
    <oc r="AJ202">
      <f>SUM(AJ196:AJ199)</f>
    </oc>
    <nc r="AJ202">
      <f>SUM(AJ196:AJ201)</f>
    </nc>
  </rcc>
  <rcc rId="4386" sId="1">
    <oc r="AK202">
      <f>SUM(AK196:AK199)</f>
    </oc>
    <nc r="AK202">
      <f>SUM(AK196:AK201)</f>
    </nc>
  </rcc>
</revisions>
</file>

<file path=xl/revisions/revisionLog4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387" sId="1" ref="A308:XFD308" action="deleteRow">
    <undo index="65535" exp="area" ref3D="1" dr="$H$1:$N$1048576" dn="Z_65B035E3_87FA_46C5_996E_864F2C8D0EBC_.wvu.Cols" sId="1"/>
    <rfmt sheetId="1" xfDxf="1" sqref="A308:XFD308" start="0" length="0"/>
    <rcc rId="0" sId="1" dxf="1">
      <nc r="A308">
        <v>53</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cc rId="0" sId="1" dxf="1">
      <nc r="B308">
        <v>121536</v>
      </nc>
      <n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c r="C308">
        <v>102</v>
      </nc>
      <n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D308" t="inlineStr">
        <is>
          <t>OD</t>
        </is>
      </nc>
      <n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08" t="inlineStr">
        <is>
          <t>AP 2/11i/2.1</t>
        </is>
      </nc>
      <n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ndxf>
    </rcc>
    <rcc rId="0" sId="1" dxf="1">
      <nc r="F308" t="inlineStr">
        <is>
          <t>CP4 less /2017</t>
        </is>
      </nc>
      <n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G308" t="inlineStr">
        <is>
          <r>
            <t>“Calitate, eficiență și performanță a managementului la nivelul UAT Municipiul Zalău (CEP UAT Zalău)</t>
          </r>
          <r>
            <rPr>
              <i/>
              <sz val="11"/>
              <color theme="1"/>
              <rFont val="Trebuchet MS"/>
              <family val="2"/>
            </rPr>
            <t>”</t>
          </r>
        </is>
      </nc>
      <n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ndxf>
    </rcc>
    <rcc rId="0" sId="1" dxf="1">
      <nc r="H308" t="inlineStr">
        <is>
          <t>Municipiul Zalău</t>
        </is>
      </nc>
      <n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ndxf>
    </rcc>
    <rcc rId="0" sId="1" dxf="1">
      <nc r="I308" t="inlineStr">
        <is>
          <t>na</t>
        </is>
      </nc>
      <n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J308" t="inlineStr">
        <is>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is>
      </nc>
      <ndxf>
        <font>
          <sz val="11"/>
          <color theme="1"/>
          <name val="Calibri"/>
          <family val="2"/>
          <charset val="1"/>
          <scheme val="minor"/>
        </font>
        <alignment vertical="top" wrapText="1"/>
        <border outline="0">
          <left style="thin">
            <color indexed="64"/>
          </left>
          <right style="thin">
            <color indexed="64"/>
          </right>
          <top style="thin">
            <color indexed="64"/>
          </top>
          <bottom style="thin">
            <color indexed="64"/>
          </bottom>
        </border>
      </ndxf>
    </rcc>
    <rcc rId="0" sId="1" dxf="1" numFmtId="19">
      <nc r="K308">
        <v>43186</v>
      </nc>
      <n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umFmtId="19">
      <nc r="L308">
        <v>43643</v>
      </nc>
      <n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ndxf>
    </rcc>
    <rcc rId="0" sId="1" dxf="1">
      <nc r="M308">
        <f>S308/AE308*100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cc rId="0" sId="1" dxf="1">
      <nc r="N308" t="inlineStr">
        <is>
          <t xml:space="preserve"> Proiect cu acoperire națională</t>
        </is>
      </nc>
      <n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O308" t="inlineStr">
        <is>
          <t>Zalău</t>
        </is>
      </nc>
      <n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P308" t="inlineStr">
        <is>
          <t>Sălaj</t>
        </is>
      </nc>
      <n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Q308" t="inlineStr">
        <is>
          <t>APL</t>
        </is>
      </nc>
      <n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cc rId="0" sId="1" dxf="1">
      <nc r="R308" t="inlineStr">
        <is>
          <t>119 - Investiții în capacitatea instituțională și în eficiența administrațiilor și a serviciilor publice la nivel național, regional și local, în perspectiva realizării de reforme, a unei mai bune legiferări și a bunei guvernanțe</t>
        </is>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s="1" dxf="1">
      <nc r="S308">
        <f>T308+U308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T308">
        <v>344957.66</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U308">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V308">
        <f>W308+X308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W308">
        <v>52758.23</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X308">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Y308">
        <f>Z308+AA308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umFmtId="4">
      <nc r="Z308">
        <v>8116.65</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AA308">
        <v>0</v>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s="1" dxf="1">
      <nc r="AB308">
        <f>AC308+AD308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308"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08"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08">
        <f>S308+V308+Y308+AB308</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cc rId="0" sId="1" s="1" dxf="1" numFmtId="4">
      <nc r="AF308">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s="1" dxf="1">
      <nc r="AG308">
        <f>AE308+AF308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308" t="inlineStr">
        <is>
          <t xml:space="preserve"> în implementare</t>
        </is>
      </nc>
      <n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I308" t="inlineStr">
        <is>
          <t>n.a</t>
        </is>
      </nc>
      <n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ndxf>
    </rcc>
    <rcc rId="0" sId="1" dxf="1">
      <nc r="AJ308">
        <f>28255.24+60713.8+16575+57363.1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308">
        <f>4321.39+9285.64+2535+8773.18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308" start="0" length="0">
      <dxf>
        <font>
          <sz val="12"/>
          <color theme="1"/>
          <name val="Calibri"/>
          <family val="2"/>
          <charset val="238"/>
          <scheme val="minor"/>
        </font>
      </dxf>
    </rfmt>
  </rrc>
</revisions>
</file>

<file path=xl/revisions/revisionLog4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88" sId="1">
    <oc r="A25">
      <v>3</v>
    </oc>
    <nc r="A25">
      <v>2</v>
    </nc>
  </rcc>
  <rcc rId="4389" sId="1">
    <oc r="A26">
      <v>4</v>
    </oc>
    <nc r="A26">
      <v>3</v>
    </nc>
  </rcc>
  <rcc rId="4390" sId="1">
    <oc r="A27">
      <v>5</v>
    </oc>
    <nc r="A27">
      <v>4</v>
    </nc>
  </rcc>
  <rcc rId="4391" sId="1">
    <oc r="A28">
      <v>6</v>
    </oc>
    <nc r="A28">
      <v>5</v>
    </nc>
  </rcc>
</revisions>
</file>

<file path=xl/revisions/revisionLog4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92" sId="1">
    <oc r="A65">
      <v>5</v>
    </oc>
    <nc r="A65">
      <v>4</v>
    </nc>
  </rcc>
</revisions>
</file>

<file path=xl/revisions/revisionLog4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93" sId="1">
    <oc r="A66">
      <v>6</v>
    </oc>
    <nc r="A66">
      <v>5</v>
    </nc>
  </rcc>
  <rcc rId="4394" sId="1">
    <oc r="A67">
      <v>7</v>
    </oc>
    <nc r="A67">
      <v>6</v>
    </nc>
  </rcc>
  <rcc rId="4395" sId="1">
    <oc r="A68">
      <v>8</v>
    </oc>
    <nc r="A68">
      <v>7</v>
    </nc>
  </rcc>
  <rcc rId="4396" sId="1">
    <oc r="A69">
      <v>9</v>
    </oc>
    <nc r="A69">
      <v>8</v>
    </nc>
  </rcc>
  <rcc rId="4397" sId="1">
    <oc r="A70">
      <v>10</v>
    </oc>
    <nc r="A70">
      <v>9</v>
    </nc>
  </rcc>
  <rcc rId="4398" sId="1">
    <oc r="A71">
      <v>11</v>
    </oc>
    <nc r="A71">
      <v>10</v>
    </nc>
  </rcc>
  <rcc rId="4399" sId="1">
    <oc r="A72">
      <v>12</v>
    </oc>
    <nc r="A72">
      <v>11</v>
    </nc>
  </rcc>
  <rcc rId="4400" sId="1">
    <oc r="A74">
      <v>2</v>
    </oc>
    <nc r="A74">
      <v>1</v>
    </nc>
  </rcc>
  <rcc rId="4401" sId="1">
    <oc r="A75">
      <v>3</v>
    </oc>
    <nc r="A75">
      <v>2</v>
    </nc>
  </rcc>
  <rcc rId="4402" sId="1">
    <oc r="A76">
      <v>4</v>
    </oc>
    <nc r="A76">
      <v>3</v>
    </nc>
  </rcc>
  <rcc rId="4403" sId="1">
    <oc r="A77">
      <v>5</v>
    </oc>
    <nc r="A77">
      <v>4</v>
    </nc>
  </rcc>
  <rcc rId="4404" sId="1">
    <oc r="A78">
      <v>6</v>
    </oc>
    <nc r="A78">
      <v>5</v>
    </nc>
  </rcc>
  <rcc rId="4405" sId="1">
    <oc r="A79">
      <v>7</v>
    </oc>
    <nc r="A79">
      <v>6</v>
    </nc>
  </rcc>
</revisions>
</file>

<file path=xl/revisions/revisionLog4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06" sId="1">
    <nc r="A152">
      <v>7</v>
    </nc>
  </rcc>
  <rcc rId="4407" sId="1">
    <nc r="A153">
      <v>8</v>
    </nc>
  </rcc>
  <rcc rId="4408" sId="1">
    <nc r="A216">
      <v>3</v>
    </nc>
  </rcc>
  <rcc rId="4409" sId="1">
    <nc r="A217">
      <v>4</v>
    </nc>
  </rcc>
  <rcc rId="4410" sId="1">
    <oc r="A308">
      <v>54</v>
    </oc>
    <nc r="A308">
      <v>51</v>
    </nc>
  </rcc>
  <rcc rId="4411" sId="1">
    <oc r="A309">
      <v>55</v>
    </oc>
    <nc r="A309">
      <v>52</v>
    </nc>
  </rcc>
  <rcc rId="4412" sId="1">
    <oc r="A310">
      <v>56</v>
    </oc>
    <nc r="A310">
      <v>53</v>
    </nc>
  </rcc>
  <rcc rId="4413" sId="1">
    <oc r="A311">
      <v>57</v>
    </oc>
    <nc r="A311">
      <v>54</v>
    </nc>
  </rcc>
  <rcc rId="4414" sId="1">
    <oc r="A312">
      <v>58</v>
    </oc>
    <nc r="A312">
      <v>55</v>
    </nc>
  </rcc>
  <rcc rId="4415" sId="1">
    <oc r="A313">
      <v>59</v>
    </oc>
    <nc r="A313">
      <v>56</v>
    </nc>
  </rcc>
  <rcc rId="4416" sId="1">
    <oc r="A314">
      <v>60</v>
    </oc>
    <nc r="A314">
      <v>67</v>
    </nc>
  </rcc>
  <rcc rId="4417" sId="1">
    <oc r="A315">
      <v>61</v>
    </oc>
    <nc r="A315">
      <v>58</v>
    </nc>
  </rcc>
  <rcc rId="4418" sId="1">
    <oc r="A316">
      <v>62</v>
    </oc>
    <nc r="A316">
      <v>59</v>
    </nc>
  </rcc>
  <rcc rId="4419" sId="1">
    <oc r="A317">
      <v>63</v>
    </oc>
    <nc r="A317">
      <v>60</v>
    </nc>
  </rcc>
  <rcc rId="4420" sId="1">
    <oc r="A318">
      <v>64</v>
    </oc>
    <nc r="A318">
      <v>61</v>
    </nc>
  </rcc>
  <rcc rId="4421" sId="1">
    <oc r="A319">
      <v>65</v>
    </oc>
    <nc r="A319">
      <v>62</v>
    </nc>
  </rcc>
  <rcc rId="4422" sId="1">
    <oc r="A320">
      <v>66</v>
    </oc>
    <nc r="A320">
      <v>63</v>
    </nc>
  </rcc>
  <rcc rId="4423" sId="1">
    <oc r="A321">
      <v>67</v>
    </oc>
    <nc r="A321">
      <v>64</v>
    </nc>
  </rcc>
  <rcc rId="4424" sId="1">
    <oc r="A322">
      <v>68</v>
    </oc>
    <nc r="A322">
      <v>65</v>
    </nc>
  </rcc>
  <rcc rId="4425" sId="1">
    <oc r="A323">
      <v>69</v>
    </oc>
    <nc r="A323">
      <v>66</v>
    </nc>
  </rcc>
  <rcc rId="4426" sId="1">
    <oc r="A324">
      <v>70</v>
    </oc>
    <nc r="A324">
      <v>67</v>
    </nc>
  </rcc>
  <rcc rId="4427" sId="1">
    <oc r="A325">
      <v>71</v>
    </oc>
    <nc r="A325">
      <v>68</v>
    </nc>
  </rcc>
  <rcc rId="4428" sId="1">
    <oc r="A326">
      <v>72</v>
    </oc>
    <nc r="A326">
      <v>69</v>
    </nc>
  </rcc>
  <rcc rId="4429" sId="1">
    <oc r="A327">
      <v>73</v>
    </oc>
    <nc r="A327">
      <v>70</v>
    </nc>
  </rcc>
  <rcc rId="4430" sId="1">
    <oc r="A328">
      <v>74</v>
    </oc>
    <nc r="A328">
      <v>71</v>
    </nc>
  </rcc>
  <rcc rId="4431" sId="1">
    <oc r="A329">
      <v>75</v>
    </oc>
    <nc r="A329">
      <v>72</v>
    </nc>
  </rcc>
  <rcc rId="4432" sId="1">
    <oc r="A330">
      <v>76</v>
    </oc>
    <nc r="A330">
      <v>73</v>
    </nc>
  </rcc>
  <rcc rId="4433" sId="1">
    <oc r="A331">
      <v>77</v>
    </oc>
    <nc r="A331">
      <v>74</v>
    </nc>
  </rcc>
  <rcc rId="4434" sId="1">
    <oc r="A332">
      <v>78</v>
    </oc>
    <nc r="A332">
      <v>75</v>
    </nc>
  </rcc>
  <rcc rId="4435" sId="1">
    <oc r="A333">
      <v>79</v>
    </oc>
    <nc r="A333">
      <v>76</v>
    </nc>
  </rcc>
  <rcc rId="4436" sId="1">
    <oc r="A334">
      <v>80</v>
    </oc>
    <nc r="A334">
      <v>77</v>
    </nc>
  </rcc>
  <rcc rId="4437" sId="1">
    <oc r="A335">
      <v>81</v>
    </oc>
    <nc r="A335">
      <v>78</v>
    </nc>
  </rcc>
  <rcc rId="4438" sId="1">
    <oc r="A336">
      <v>82</v>
    </oc>
    <nc r="A336">
      <v>79</v>
    </nc>
  </rcc>
  <rcc rId="4439" sId="1">
    <oc r="A337">
      <v>83</v>
    </oc>
    <nc r="A337">
      <v>80</v>
    </nc>
  </rcc>
  <rcc rId="4440" sId="1">
    <oc r="A338">
      <v>84</v>
    </oc>
    <nc r="A338">
      <v>81</v>
    </nc>
  </rcc>
  <rcc rId="4441" sId="1">
    <oc r="A339">
      <v>85</v>
    </oc>
    <nc r="A339">
      <v>82</v>
    </nc>
  </rcc>
  <rcc rId="4442" sId="1">
    <oc r="A340">
      <v>86</v>
    </oc>
    <nc r="A340">
      <v>83</v>
    </nc>
  </rcc>
  <rcc rId="4443" sId="1">
    <oc r="A341">
      <v>87</v>
    </oc>
    <nc r="A341">
      <v>84</v>
    </nc>
  </rcc>
  <rcc rId="4444" sId="1">
    <oc r="A342">
      <v>88</v>
    </oc>
    <nc r="A342">
      <v>85</v>
    </nc>
  </rcc>
  <rcc rId="4445" sId="1">
    <oc r="A343">
      <v>89</v>
    </oc>
    <nc r="A343">
      <v>86</v>
    </nc>
  </rcc>
  <rcc rId="4446" sId="1">
    <oc r="A344">
      <v>90</v>
    </oc>
    <nc r="A344">
      <v>87</v>
    </nc>
  </rcc>
  <rcc rId="4447" sId="1">
    <oc r="A345">
      <v>91</v>
    </oc>
    <nc r="A345">
      <v>88</v>
    </nc>
  </rcc>
  <rcc rId="4448" sId="1">
    <oc r="A346">
      <v>92</v>
    </oc>
    <nc r="A346">
      <v>89</v>
    </nc>
  </rcc>
  <rcc rId="4449" sId="1">
    <oc r="A347">
      <v>93</v>
    </oc>
    <nc r="A347">
      <v>90</v>
    </nc>
  </rcc>
  <rcc rId="4450" sId="1">
    <oc r="A348">
      <v>94</v>
    </oc>
    <nc r="A348">
      <v>91</v>
    </nc>
  </rcc>
  <rcc rId="4451" sId="1">
    <oc r="A349">
      <v>95</v>
    </oc>
    <nc r="A349">
      <v>92</v>
    </nc>
  </rcc>
  <rcc rId="4452" sId="1">
    <oc r="A350">
      <v>96</v>
    </oc>
    <nc r="A350">
      <v>93</v>
    </nc>
  </rcc>
  <rcc rId="4453" sId="1">
    <oc r="A351">
      <v>97</v>
    </oc>
    <nc r="A351">
      <v>94</v>
    </nc>
  </rcc>
  <rcc rId="4454" sId="1">
    <oc r="A352">
      <v>98</v>
    </oc>
    <nc r="A352">
      <v>95</v>
    </nc>
  </rcc>
  <rcc rId="4455" sId="1">
    <oc r="A353">
      <v>99</v>
    </oc>
    <nc r="A353">
      <v>96</v>
    </nc>
  </rcc>
  <rcc rId="4456" sId="1">
    <oc r="A354">
      <v>100</v>
    </oc>
    <nc r="A354">
      <v>97</v>
    </nc>
  </rcc>
  <rcc rId="4457" sId="1">
    <oc r="A355">
      <v>101</v>
    </oc>
    <nc r="A355">
      <v>98</v>
    </nc>
  </rcc>
  <rcc rId="4458" sId="1">
    <oc r="A356">
      <v>102</v>
    </oc>
    <nc r="A356">
      <v>99</v>
    </nc>
  </rcc>
  <rcc rId="4459" sId="1">
    <oc r="A357">
      <v>103</v>
    </oc>
    <nc r="A357">
      <v>100</v>
    </nc>
  </rcc>
  <rcc rId="4460" sId="1">
    <oc r="A358">
      <v>104</v>
    </oc>
    <nc r="A358">
      <v>101</v>
    </nc>
  </rcc>
  <rcc rId="4461" sId="1">
    <oc r="A359">
      <v>105</v>
    </oc>
    <nc r="A359">
      <v>102</v>
    </nc>
  </rcc>
  <rcc rId="4462" sId="1">
    <oc r="A360">
      <v>106</v>
    </oc>
    <nc r="A360">
      <v>103</v>
    </nc>
  </rcc>
  <rcc rId="4463" sId="1">
    <oc r="A361">
      <v>107</v>
    </oc>
    <nc r="A361">
      <v>104</v>
    </nc>
  </rcc>
  <rcc rId="4464" sId="1">
    <oc r="A362">
      <v>108</v>
    </oc>
    <nc r="A362">
      <v>105</v>
    </nc>
  </rcc>
  <rcc rId="4465" sId="1">
    <oc r="A363">
      <v>109</v>
    </oc>
    <nc r="A363">
      <v>106</v>
    </nc>
  </rcc>
  <rcc rId="4466" sId="1">
    <oc r="A364">
      <v>110</v>
    </oc>
    <nc r="A364">
      <v>107</v>
    </nc>
  </rcc>
  <rcc rId="4467" sId="1">
    <oc r="A365">
      <v>111</v>
    </oc>
    <nc r="A365">
      <v>108</v>
    </nc>
  </rcc>
  <rcc rId="4468" sId="1">
    <oc r="A366">
      <v>113</v>
    </oc>
    <nc r="A366">
      <v>109</v>
    </nc>
  </rcc>
  <rcc rId="4469" sId="1">
    <oc r="A367">
      <v>115</v>
    </oc>
    <nc r="A367">
      <v>110</v>
    </nc>
  </rcc>
  <rcc rId="4470" sId="1">
    <oc r="A368">
      <v>116</v>
    </oc>
    <nc r="A368">
      <v>111</v>
    </nc>
  </rcc>
  <rcc rId="4471" sId="1">
    <oc r="A369">
      <v>117</v>
    </oc>
    <nc r="A369">
      <v>112</v>
    </nc>
  </rcc>
  <rcc rId="4472" sId="1">
    <oc r="A370">
      <v>118</v>
    </oc>
    <nc r="A370">
      <v>113</v>
    </nc>
  </rcc>
  <rcc rId="4473" sId="1">
    <oc r="A371">
      <v>119</v>
    </oc>
    <nc r="A371">
      <v>114</v>
    </nc>
  </rcc>
  <rcc rId="4474" sId="1">
    <oc r="A372">
      <v>120</v>
    </oc>
    <nc r="A372">
      <v>115</v>
    </nc>
  </rcc>
  <rcc rId="4475" sId="1">
    <oc r="A373">
      <v>121</v>
    </oc>
    <nc r="A373">
      <v>116</v>
    </nc>
  </rcc>
  <rcc rId="4476" sId="1">
    <oc r="A374">
      <v>122</v>
    </oc>
    <nc r="A374">
      <v>117</v>
    </nc>
  </rcc>
  <rcc rId="4477" sId="1">
    <oc r="A375">
      <v>123</v>
    </oc>
    <nc r="A375">
      <v>118</v>
    </nc>
  </rcc>
  <rcc rId="4478" sId="1">
    <oc r="A376">
      <v>124</v>
    </oc>
    <nc r="A376">
      <v>119</v>
    </nc>
  </rcc>
  <rcc rId="4479" sId="1">
    <oc r="A377">
      <v>125</v>
    </oc>
    <nc r="A377">
      <v>120</v>
    </nc>
  </rcc>
  <rcc rId="4480" sId="1">
    <oc r="A378">
      <v>126</v>
    </oc>
    <nc r="A378">
      <v>121</v>
    </nc>
  </rcc>
  <rcc rId="4481" sId="1">
    <oc r="A379">
      <v>127</v>
    </oc>
    <nc r="A379">
      <v>122</v>
    </nc>
  </rcc>
  <rcc rId="4482" sId="1">
    <oc r="A380">
      <v>128</v>
    </oc>
    <nc r="A380">
      <v>123</v>
    </nc>
  </rcc>
  <rcc rId="4483" sId="1">
    <oc r="A381">
      <v>129</v>
    </oc>
    <nc r="A381">
      <v>124</v>
    </nc>
  </rcc>
  <rcc rId="4484" sId="1">
    <oc r="A382">
      <v>130</v>
    </oc>
    <nc r="A382">
      <v>125</v>
    </nc>
  </rcc>
  <rcc rId="4485" sId="1">
    <oc r="A383">
      <v>131</v>
    </oc>
    <nc r="A383">
      <v>126</v>
    </nc>
  </rcc>
  <rcc rId="4486" sId="1">
    <oc r="A384">
      <v>132</v>
    </oc>
    <nc r="A384">
      <v>127</v>
    </nc>
  </rcc>
  <rcc rId="4487" sId="1">
    <oc r="A385">
      <v>133</v>
    </oc>
    <nc r="A385">
      <v>128</v>
    </nc>
  </rcc>
  <rcc rId="4488" sId="1">
    <oc r="A386">
      <v>134</v>
    </oc>
    <nc r="A386">
      <v>129</v>
    </nc>
  </rcc>
  <rcc rId="4489" sId="1">
    <oc r="A387">
      <v>135</v>
    </oc>
    <nc r="A387">
      <v>130</v>
    </nc>
  </rcc>
  <rcc rId="4490" sId="1">
    <oc r="A388">
      <v>136</v>
    </oc>
    <nc r="A388">
      <v>131</v>
    </nc>
  </rcc>
  <rcc rId="4491" sId="1">
    <oc r="A389">
      <v>138</v>
    </oc>
    <nc r="A389">
      <v>132</v>
    </nc>
  </rcc>
  <rcc rId="4492" sId="1">
    <oc r="A390">
      <v>139</v>
    </oc>
    <nc r="A390">
      <v>133</v>
    </nc>
  </rcc>
  <rcc rId="4493" sId="1">
    <oc r="A391">
      <v>140</v>
    </oc>
    <nc r="A391">
      <v>134</v>
    </nc>
  </rcc>
  <rcc rId="4494" sId="1">
    <oc r="A392">
      <v>141</v>
    </oc>
    <nc r="A392">
      <v>135</v>
    </nc>
  </rcc>
  <rcc rId="4495" sId="1">
    <oc r="A393">
      <v>142</v>
    </oc>
    <nc r="A393">
      <v>136</v>
    </nc>
  </rcc>
  <rcc rId="4496" sId="1">
    <oc r="A394">
      <v>143</v>
    </oc>
    <nc r="A394">
      <v>137</v>
    </nc>
  </rcc>
  <rcc rId="4497" sId="1">
    <oc r="A395">
      <v>144</v>
    </oc>
    <nc r="A395">
      <v>138</v>
    </nc>
  </rcc>
  <rcc rId="4498" sId="1">
    <oc r="A396">
      <v>145</v>
    </oc>
    <nc r="A396">
      <v>139</v>
    </nc>
  </rcc>
  <rcc rId="4499" sId="1">
    <oc r="A397">
      <v>146</v>
    </oc>
    <nc r="A397">
      <v>140</v>
    </nc>
  </rcc>
  <rcc rId="4500" sId="1">
    <oc r="A398">
      <v>147</v>
    </oc>
    <nc r="A398">
      <v>141</v>
    </nc>
  </rcc>
  <rcc rId="4501" sId="1">
    <oc r="A399">
      <v>148</v>
    </oc>
    <nc r="A399">
      <v>142</v>
    </nc>
  </rcc>
  <rcc rId="4502" sId="1">
    <oc r="A400">
      <v>149</v>
    </oc>
    <nc r="A400">
      <v>143</v>
    </nc>
  </rcc>
  <rcc rId="4503" sId="1">
    <oc r="A401">
      <v>150</v>
    </oc>
    <nc r="A401">
      <v>144</v>
    </nc>
  </rcc>
  <rcc rId="4504" sId="1">
    <oc r="A402">
      <v>151</v>
    </oc>
    <nc r="A402">
      <v>145</v>
    </nc>
  </rcc>
  <rcc rId="4505" sId="1">
    <oc r="A403">
      <v>152</v>
    </oc>
    <nc r="A403">
      <v>146</v>
    </nc>
  </rcc>
  <rcc rId="4506" sId="1">
    <oc r="A404">
      <v>153</v>
    </oc>
    <nc r="A404">
      <v>147</v>
    </nc>
  </rcc>
  <rcc rId="4507" sId="1">
    <oc r="A405">
      <v>154</v>
    </oc>
    <nc r="A405">
      <v>148</v>
    </nc>
  </rcc>
  <rcc rId="4508" sId="1">
    <oc r="A406">
      <v>155</v>
    </oc>
    <nc r="A406">
      <v>149</v>
    </nc>
  </rcc>
  <rcc rId="4509" sId="1">
    <oc r="A407">
      <v>156</v>
    </oc>
    <nc r="A407">
      <v>150</v>
    </nc>
  </rcc>
  <rcc rId="4510" sId="1">
    <oc r="A408">
      <v>157</v>
    </oc>
    <nc r="A408">
      <v>151</v>
    </nc>
  </rcc>
  <rcc rId="4511" sId="1">
    <oc r="A409">
      <v>158</v>
    </oc>
    <nc r="A409">
      <v>152</v>
    </nc>
  </rcc>
  <rcc rId="4512" sId="1">
    <oc r="A410">
      <v>159</v>
    </oc>
    <nc r="A410">
      <v>153</v>
    </nc>
  </rcc>
  <rcc rId="4513" sId="1">
    <oc r="A411">
      <v>160</v>
    </oc>
    <nc r="A411">
      <v>154</v>
    </nc>
  </rcc>
  <rcc rId="4514" sId="1">
    <oc r="A412">
      <v>161</v>
    </oc>
    <nc r="A412">
      <v>155</v>
    </nc>
  </rcc>
  <rcc rId="4515" sId="1">
    <oc r="A413">
      <v>162</v>
    </oc>
    <nc r="A413">
      <v>156</v>
    </nc>
  </rcc>
  <rcc rId="4516" sId="1">
    <oc r="A414">
      <v>163</v>
    </oc>
    <nc r="A414">
      <v>157</v>
    </nc>
  </rcc>
  <rcc rId="4517" sId="1">
    <oc r="A415">
      <v>164</v>
    </oc>
    <nc r="A415">
      <v>158</v>
    </nc>
  </rcc>
  <rcc rId="4518" sId="1">
    <oc r="A416">
      <v>165</v>
    </oc>
    <nc r="A416">
      <v>159</v>
    </nc>
  </rcc>
  <rcc rId="4519" sId="1">
    <oc r="A417">
      <v>166</v>
    </oc>
    <nc r="A417">
      <v>160</v>
    </nc>
  </rcc>
  <rcc rId="4520" sId="1">
    <oc r="A418">
      <v>167</v>
    </oc>
    <nc r="A418">
      <v>161</v>
    </nc>
  </rcc>
  <rcc rId="4521" sId="1">
    <oc r="A419">
      <v>168</v>
    </oc>
    <nc r="A419">
      <v>162</v>
    </nc>
  </rcc>
  <rcc rId="4522" sId="1">
    <oc r="A420">
      <v>169</v>
    </oc>
    <nc r="A420">
      <v>163</v>
    </nc>
  </rcc>
  <rcc rId="4523" sId="1">
    <oc r="A421">
      <v>170</v>
    </oc>
    <nc r="A421">
      <v>164</v>
    </nc>
  </rcc>
  <rcc rId="4524" sId="1">
    <oc r="A422">
      <v>171</v>
    </oc>
    <nc r="A422">
      <v>165</v>
    </nc>
  </rcc>
  <rcc rId="4525" sId="1">
    <oc r="A423">
      <v>172</v>
    </oc>
    <nc r="A423">
      <v>166</v>
    </nc>
  </rcc>
  <rcc rId="4526" sId="1">
    <oc r="A424">
      <v>173</v>
    </oc>
    <nc r="A424">
      <v>167</v>
    </nc>
  </rcc>
  <rcc rId="4527" sId="1">
    <oc r="A425">
      <v>174</v>
    </oc>
    <nc r="A425">
      <v>168</v>
    </nc>
  </rcc>
  <rcc rId="4528" sId="1">
    <oc r="A426">
      <v>175</v>
    </oc>
    <nc r="A426">
      <v>169</v>
    </nc>
  </rcc>
  <rcc rId="4529" sId="1">
    <oc r="A427">
      <v>176</v>
    </oc>
    <nc r="A427">
      <v>170</v>
    </nc>
  </rcc>
  <rcc rId="4530" sId="1">
    <oc r="A428">
      <v>177</v>
    </oc>
    <nc r="A428">
      <v>171</v>
    </nc>
  </rcc>
  <rcc rId="4531" sId="1">
    <oc r="A429">
      <v>178</v>
    </oc>
    <nc r="A429">
      <v>172</v>
    </nc>
  </rcc>
  <rcc rId="4532" sId="1">
    <oc r="A430">
      <v>179</v>
    </oc>
    <nc r="A430">
      <v>173</v>
    </nc>
  </rcc>
  <rcc rId="4533" sId="1">
    <oc r="A431">
      <v>180</v>
    </oc>
    <nc r="A431">
      <v>174</v>
    </nc>
  </rcc>
  <rcc rId="4534" sId="1">
    <oc r="A432">
      <v>181</v>
    </oc>
    <nc r="A432">
      <v>175</v>
    </nc>
  </rcc>
  <rcc rId="4535" sId="1">
    <oc r="A433">
      <v>182</v>
    </oc>
    <nc r="A433">
      <v>176</v>
    </nc>
  </rcc>
  <rcc rId="4536" sId="1">
    <oc r="A434">
      <v>183</v>
    </oc>
    <nc r="A434">
      <v>177</v>
    </nc>
  </rcc>
  <rcc rId="4537" sId="1">
    <oc r="A435">
      <v>184</v>
    </oc>
    <nc r="A435">
      <v>178</v>
    </nc>
  </rcc>
  <rcc rId="4538" sId="1">
    <oc r="A436">
      <v>185</v>
    </oc>
    <nc r="A436">
      <v>179</v>
    </nc>
  </rcc>
  <rcc rId="4539" sId="1">
    <oc r="A437">
      <v>186</v>
    </oc>
    <nc r="A437">
      <v>180</v>
    </nc>
  </rcc>
  <rcc rId="4540" sId="1">
    <oc r="A438">
      <v>187</v>
    </oc>
    <nc r="A438">
      <v>181</v>
    </nc>
  </rcc>
  <rcc rId="4541" sId="1">
    <oc r="A439">
      <v>188</v>
    </oc>
    <nc r="A439">
      <v>182</v>
    </nc>
  </rcc>
  <rcc rId="4542" sId="1">
    <oc r="A440">
      <v>189</v>
    </oc>
    <nc r="A440">
      <v>183</v>
    </nc>
  </rcc>
  <rcc rId="4543" sId="1">
    <oc r="A441">
      <v>190</v>
    </oc>
    <nc r="A441">
      <v>184</v>
    </nc>
  </rcc>
  <rcc rId="4544" sId="1">
    <oc r="A442">
      <v>191</v>
    </oc>
    <nc r="A442">
      <v>185</v>
    </nc>
  </rcc>
  <rcc rId="4545" sId="1">
    <oc r="A443">
      <v>192</v>
    </oc>
    <nc r="A443">
      <v>186</v>
    </nc>
  </rcc>
  <rcc rId="4546" sId="1">
    <oc r="A444">
      <v>193</v>
    </oc>
    <nc r="A444">
      <v>187</v>
    </nc>
  </rcc>
  <rcc rId="4547" sId="1">
    <oc r="A445">
      <v>194</v>
    </oc>
    <nc r="A445">
      <v>188</v>
    </nc>
  </rcc>
  <rcc rId="4548" sId="1">
    <oc r="A446">
      <v>195</v>
    </oc>
    <nc r="A446">
      <v>189</v>
    </nc>
  </rcc>
  <rcc rId="4549" sId="1">
    <oc r="A447">
      <v>196</v>
    </oc>
    <nc r="A447">
      <v>190</v>
    </nc>
  </rcc>
  <rcc rId="4550" sId="1">
    <oc r="A448">
      <v>197</v>
    </oc>
    <nc r="A448">
      <v>191</v>
    </nc>
  </rcc>
  <rcc rId="4551" sId="1">
    <oc r="A449">
      <v>198</v>
    </oc>
    <nc r="A449">
      <v>192</v>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H462" start="0" length="0">
    <dxf>
      <fill>
        <patternFill>
          <bgColor theme="0" tint="-0.14999847407452621"/>
        </patternFill>
      </fill>
    </dxf>
  </rfmt>
  <rfmt sheetId="1" sqref="AI462" start="0" length="0">
    <dxf>
      <fill>
        <patternFill>
          <bgColor theme="0" tint="-0.14999847407452621"/>
        </patternFill>
      </fill>
    </dxf>
  </rfmt>
  <rcc rId="4830" sId="1" odxf="1" dxf="1">
    <oc r="AE462">
      <f>SUMIFS(AE$7:AE$454,$F$7:$F$454,$F462)</f>
    </oc>
    <nc r="AE462">
      <f>SUMIFS(AE$7:AE$454,$F$7:$F$454,$F462)</f>
    </nc>
    <odxf>
      <fill>
        <patternFill>
          <bgColor rgb="FFFFFF00"/>
        </patternFill>
      </fill>
    </odxf>
    <ndxf>
      <fill>
        <patternFill>
          <bgColor theme="0"/>
        </patternFill>
      </fill>
    </ndxf>
  </rcc>
  <rcc rId="4831" sId="1" odxf="1" dxf="1">
    <oc r="AF462">
      <f>SUMIFS(AF$7:AF$454,$F$7:$F$454,$F462)</f>
    </oc>
    <nc r="AF462">
      <f>SUMIFS(AF$7:AF$454,$F$7:$F$454,$F462)</f>
    </nc>
    <odxf>
      <fill>
        <patternFill>
          <bgColor rgb="FFFFFF00"/>
        </patternFill>
      </fill>
    </odxf>
    <ndxf>
      <fill>
        <patternFill>
          <bgColor theme="0" tint="-0.14999847407452621"/>
        </patternFill>
      </fill>
    </ndxf>
  </rcc>
  <rcc rId="4832" sId="1" odxf="1" dxf="1">
    <oc r="AG462">
      <f>SUMIFS(AG$7:AG$454,$F$7:$F$454,$F462)</f>
    </oc>
    <nc r="AG462">
      <f>SUMIFS(AG$7:AG$454,$F$7:$F$454,$F462)</f>
    </nc>
    <odxf>
      <fill>
        <patternFill>
          <bgColor rgb="FFFFFF00"/>
        </patternFill>
      </fill>
    </odxf>
    <ndxf>
      <fill>
        <patternFill>
          <bgColor theme="0" tint="-0.14999847407452621"/>
        </patternFill>
      </fill>
    </ndxf>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3" sId="1">
    <oc r="AE469">
      <f>SUMIFS(AE$7:AE$454,$F$7:$F$454,$F469)</f>
    </oc>
    <nc r="AE469">
      <f>SUMIFS(AE$7:AE$454,$F$7:$F$454,$F469)</f>
    </nc>
  </rcc>
  <rcc rId="4834" sId="1">
    <oc r="AE470">
      <f>SUMIFS(AE$7:AE$454,$F$7:$F$454,$F470)</f>
    </oc>
    <nc r="AE470">
      <f>SUMIFS(AE$7:AE$454,$F$7:$F$454,$F470)</f>
    </nc>
  </rcc>
  <rcc rId="4835" sId="1">
    <oc r="AE471">
      <f>SUMIFS(AE$7:AE$454,$F$7:$F$454,$F471)</f>
    </oc>
    <nc r="AE471">
      <f>SUMIFS(AE$7:AE$454,$F$7:$F$454,$F471)</f>
    </nc>
  </rcc>
  <rcc rId="4836" sId="1">
    <oc r="AE472">
      <f>SUMIFS(AE$7:AE$454,$F$7:$F$454,$F472)</f>
    </oc>
    <nc r="AE472">
      <f>SUMIFS(AE$7:AE$454,$F$7:$F$454,$F472)</f>
    </nc>
  </rcc>
  <rcc rId="4837" sId="1">
    <oc r="AE473">
      <f>SUMIFS(AE$7:AE$454,$F$7:$F$454,$F473)</f>
    </oc>
    <nc r="AE473">
      <f>SUMIFS(AE$7:AE$454,$F$7:$F$454,$F473)</f>
    </nc>
  </rcc>
  <rcc rId="4838" sId="1">
    <oc r="AE474">
      <f>SUMIFS(AE$7:AE$454,$F$7:$F$454,$F474)</f>
    </oc>
    <nc r="AE474">
      <f>SUMIFS(AE$7:AE$454,$F$7:$F$454,$F474)</f>
    </nc>
  </rcc>
  <rcc rId="4839" sId="1">
    <oc r="AE475">
      <f>SUMIFS(AE$7:AE$454,$F$7:$F$454,$F475)</f>
    </oc>
    <nc r="AE475">
      <f>SUMIFS(AE$7:AE$454,$F$7:$F$454,$F475)</f>
    </nc>
  </rcc>
  <rcc rId="4840" sId="1">
    <oc r="AE476">
      <f>SUMIFS(AE$7:AE$454,$F$7:$F$454,$F476)</f>
    </oc>
    <nc r="AE476">
      <f>SUMIFS(AE$7:AE$454,$F$7:$F$454,$F476)</f>
    </nc>
  </rcc>
  <rcc rId="4841" sId="1">
    <oc r="AE477">
      <f>SUMIFS(AE$7:AE$454,$F$7:$F$454,$F477)</f>
    </oc>
    <nc r="AE477">
      <f>SUMIFS(AE$7:AE$454,$F$7:$F$454,$F477)</f>
    </nc>
  </rcc>
  <rcc rId="4842" sId="1">
    <oc r="AE478">
      <f>SUMIFS(AE$7:AE$454,$F$7:$F$454,$F478)</f>
    </oc>
    <nc r="AE478">
      <f>SUMIFS(AE$7:AE$454,$F$7:$F$454,$F478)</f>
    </nc>
  </rcc>
  <rcc rId="4843" sId="1">
    <oc r="AE479">
      <f>SUMIFS(AE$7:AE$454,$F$7:$F$454,$F479)</f>
    </oc>
    <nc r="AE479">
      <f>SUMIFS(AE$7:AE$454,$F$7:$F$454,$F479)</f>
    </nc>
  </rcc>
  <rcc rId="4844" sId="1">
    <oc r="AE480">
      <f>SUMIFS(AE$7:AE$454,$F$7:$F$454,$F480)</f>
    </oc>
    <nc r="AE480">
      <f>SUMIFS(AE$7:AE$454,$F$7:$F$454,$F480)</f>
    </nc>
  </rcc>
  <rcc rId="4845" sId="1">
    <oc r="AE481">
      <f>SUMIFS(AE$7:AE$454,$F$7:$F$454,$F481)</f>
    </oc>
    <nc r="AE481">
      <f>SUMIFS(AE$7:AE$454,$F$7:$F$454,$F481)</f>
    </nc>
  </rcc>
  <rcc rId="4846" sId="1">
    <oc r="AE482">
      <f>SUMIFS(AE$7:AE$454,$F$7:$F$454,$F482)</f>
    </oc>
    <nc r="AE482">
      <f>SUMIFS(AE$7:AE$454,$F$7:$F$454,$F482)</f>
    </nc>
  </rcc>
  <rcc rId="4847" sId="1">
    <oc r="AE483">
      <f>SUMIFS(AE$7:AE$454,$F$7:$F$454,$F483)</f>
    </oc>
    <nc r="AE483">
      <f>SUMIFS(AE$7:AE$454,$F$7:$F$454,$F483)</f>
    </nc>
  </rcc>
  <rcc rId="4848" sId="1">
    <oc r="AE484">
      <f>SUMIFS(AE$7:AE$454,$F$7:$F$454,$F484)</f>
    </oc>
    <nc r="AE484">
      <f>SUMIFS(AE$7:AE$454,$F$7:$F$454,$F484)</f>
    </nc>
  </rcc>
  <rcc rId="4849" sId="1" numFmtId="4">
    <nc r="AF17">
      <v>0</v>
    </nc>
  </rcc>
  <rcc rId="4850" sId="1" numFmtId="4">
    <nc r="AF47">
      <v>0</v>
    </nc>
  </rcc>
  <rcc rId="4851" sId="1" odxf="1" dxf="1" numFmtId="4">
    <oc r="AE52">
      <v>377910.53</v>
    </oc>
    <nc r="AE52">
      <f>S52+V52+Y52</f>
    </nc>
    <odxf>
      <font>
        <sz val="12"/>
        <color auto="1"/>
      </font>
    </odxf>
    <ndxf>
      <font>
        <sz val="12"/>
        <color auto="1"/>
      </font>
    </ndxf>
  </rcc>
  <rcc rId="4852" sId="1" odxf="1" dxf="1" numFmtId="4">
    <oc r="AG52">
      <v>377910.53</v>
    </oc>
    <nc r="AG52">
      <f>AE52+AF52</f>
    </nc>
    <odxf>
      <font>
        <sz val="12"/>
        <color auto="1"/>
      </font>
      <fill>
        <patternFill patternType="solid">
          <bgColor theme="0"/>
        </patternFill>
      </fill>
    </odxf>
    <ndxf>
      <font>
        <sz val="12"/>
        <color auto="1"/>
      </font>
      <fill>
        <patternFill patternType="none">
          <bgColor indexed="65"/>
        </patternFill>
      </fill>
    </ndxf>
  </rcc>
  <rcc rId="4853" sId="1">
    <oc r="AH485">
      <f>SUM(AH468:AH484)</f>
    </oc>
    <nc r="AH485"/>
  </rcc>
  <rcc rId="4854" sId="1">
    <oc r="AI485">
      <f>SUM(AI468:AI484)</f>
    </oc>
    <nc r="AI485"/>
  </rcc>
  <rcv guid="{7C1B4D6D-D666-48DD-AB17-E00791B6F0B6}" action="delete"/>
  <rdn rId="0" localSheetId="1" customView="1" name="Z_7C1B4D6D_D666_48DD_AB17_E00791B6F0B6_.wvu.PrintArea" hidden="1" oldHidden="1">
    <formula>Sheet1!$A$1:$AL$487</formula>
    <oldFormula>Sheet1!$A$1:$AL$487</oldFormula>
  </rdn>
  <rdn rId="0" localSheetId="1" customView="1" name="Z_7C1B4D6D_D666_48DD_AB17_E00791B6F0B6_.wvu.FilterData" hidden="1" oldHidden="1">
    <formula>Sheet1!$A$6:$DG$453</formula>
    <oldFormula>Sheet1!$A$6:$DG$453</oldFormula>
  </rdn>
  <rcv guid="{7C1B4D6D-D666-48DD-AB17-E00791B6F0B6}"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B0F2E6A-FA33-479E-9A47-8E3494FBB4DE}" action="delete"/>
  <rdn rId="0" localSheetId="1" customView="1" name="Z_EB0F2E6A_FA33_479E_9A47_8E3494FBB4DE_.wvu.PrintArea" hidden="1" oldHidden="1">
    <formula>Sheet1!$A$1:$AL$487</formula>
    <oldFormula>Sheet1!$A$1:$AL$487</oldFormula>
  </rdn>
  <rdn rId="0" localSheetId="1" customView="1" name="Z_EB0F2E6A_FA33_479E_9A47_8E3494FBB4DE_.wvu.FilterData" hidden="1" oldHidden="1">
    <formula>Sheet1!$A$6:$AL$487</formula>
    <oldFormula>Sheet1!$A$6:$AL$487</oldFormula>
  </rdn>
  <rcv guid="{EB0F2E6A-FA33-479E-9A47-8E3494FBB4DE}"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9" sId="1">
    <oc r="AH311" t="inlineStr">
      <is>
        <t xml:space="preserve"> în implementare</t>
      </is>
    </oc>
    <nc r="AH311" t="inlineStr">
      <is>
        <t>finalizat</t>
      </is>
    </nc>
  </rcc>
  <rcv guid="{0781B6C2-B440-4971-9809-BD16245A70FD}" action="delete"/>
  <rdn rId="0" localSheetId="1" customView="1" name="Z_0781B6C2_B440_4971_9809_BD16245A70FD_.wvu.PrintArea" hidden="1" oldHidden="1">
    <formula>Sheet1!$A$1:$AL$487</formula>
    <oldFormula>Sheet1!$A$1:$AL$487</oldFormula>
  </rdn>
  <rdn rId="0" localSheetId="1" customView="1" name="Z_0781B6C2_B440_4971_9809_BD16245A70FD_.wvu.FilterData" hidden="1" oldHidden="1">
    <formula>Sheet1!$A$1:$AL$453</formula>
    <oldFormula>Sheet1!$A$1:$AL$453</oldFormula>
  </rdn>
  <rcv guid="{0781B6C2-B440-4971-9809-BD16245A70FD}"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62" sId="1" numFmtId="19">
    <oc r="L311">
      <v>43675</v>
    </oc>
    <nc r="L311">
      <v>43672</v>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dxf>
      <fill>
        <patternFill patternType="none">
          <bgColor auto="1"/>
        </patternFill>
      </fill>
    </dxf>
  </rfmt>
  <rrc rId="4863" sId="1" ref="A4:XFD4" action="deleteRow">
    <undo index="65535" exp="area" ref3D="1" dr="$H$1:$N$1048576" dn="Z_65B035E3_87FA_46C5_996E_864F2C8D0EBC_.wvu.Cols" sId="1"/>
    <rfmt sheetId="1" xfDxf="1" sqref="A4:XFD4" start="0" length="0"/>
    <rcc rId="0" sId="1" dxf="1">
      <nc r="A4" t="inlineStr">
        <is>
          <t>Crt. No.</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rder>
      </ndxf>
    </rcc>
    <rcc rId="0" sId="1" dxf="1">
      <nc r="B4" t="inlineStr">
        <is>
          <t>MySMIS Code</t>
        </is>
      </nc>
      <ndxf>
        <font>
          <b/>
          <sz val="12"/>
          <color auto="1"/>
          <name val="Calibri"/>
          <family val="2"/>
          <charset val="238"/>
          <scheme val="minor"/>
        </font>
        <alignment horizontal="center" vertical="center" wrapText="1"/>
        <border outline="0">
          <left style="thin">
            <color indexed="64"/>
          </left>
          <right style="thin">
            <color indexed="64"/>
          </right>
          <top style="medium">
            <color indexed="64"/>
          </top>
        </border>
      </ndxf>
    </rcc>
    <rcc rId="0" sId="1" dxf="1">
      <nc r="C4" t="inlineStr">
        <is>
          <t>SIPOCA Code</t>
        </is>
      </nc>
      <ndxf>
        <font>
          <b/>
          <sz val="12"/>
          <color auto="1"/>
          <name val="Calibri"/>
          <family val="2"/>
          <charset val="238"/>
          <scheme val="minor"/>
        </font>
        <alignment horizontal="center" vertical="center" wrapText="1"/>
        <border outline="0">
          <left style="thin">
            <color indexed="64"/>
          </left>
          <right style="thin">
            <color indexed="64"/>
          </right>
          <top style="medium">
            <color indexed="64"/>
          </top>
          <bottom style="thin">
            <color indexed="64"/>
          </bottom>
        </border>
      </ndxf>
    </rcc>
    <rcc rId="0" sId="1" dxf="1">
      <nc r="D4" t="inlineStr">
        <is>
          <t>OFP</t>
        </is>
      </nc>
      <ndxf>
        <font>
          <b/>
          <sz val="12"/>
          <color auto="1"/>
          <name val="Calibri"/>
          <family val="2"/>
          <charset val="238"/>
          <scheme val="minor"/>
        </font>
        <alignment horizontal="center" vertical="center" wrapText="1"/>
        <border outline="0">
          <left style="thin">
            <color indexed="64"/>
          </left>
          <right style="thin">
            <color indexed="64"/>
          </right>
          <top style="medium">
            <color indexed="64"/>
          </top>
          <bottom style="thin">
            <color indexed="64"/>
          </bottom>
        </border>
      </ndxf>
    </rcc>
    <rcc rId="0" sId="1" dxf="1">
      <nc r="E4" t="inlineStr">
        <is>
          <t>Priority Axis/Investment priority</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F4" t="inlineStr">
        <is>
          <t>Call no.</t>
        </is>
      </nc>
      <ndxf>
        <font>
          <b/>
          <sz val="12"/>
          <color auto="1"/>
          <name val="Calibri"/>
          <family val="2"/>
          <charset val="238"/>
          <scheme val="minor"/>
        </font>
        <alignment horizontal="center" vertical="center" wrapText="1"/>
        <border outline="0">
          <left style="thin">
            <color indexed="64"/>
          </left>
          <right style="thin">
            <color indexed="64"/>
          </right>
          <top style="medium">
            <color indexed="64"/>
          </top>
          <bottom style="thin">
            <color indexed="64"/>
          </bottom>
        </border>
      </ndxf>
    </rcc>
    <rcc rId="0" sId="1" dxf="1">
      <nc r="G4" t="inlineStr">
        <is>
          <t>Project title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H4" t="inlineStr">
        <is>
          <t>Benficiary Name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I4" t="inlineStr">
        <is>
          <t>Partner Name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J4" t="inlineStr">
        <is>
          <t>Project summary</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K4" t="inlineStr">
        <is>
          <t>Start date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L4" t="inlineStr">
        <is>
          <t>End date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M4" t="inlineStr">
        <is>
          <t>Union co-financing rate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N4" t="inlineStr">
        <is>
          <t>Region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O4" t="inlineStr">
        <is>
          <t>County</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P4" t="inlineStr">
        <is>
          <t>Locality</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Q4" t="inlineStr">
        <is>
          <t>Beneficiary type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R4" t="inlineStr">
        <is>
          <t>Area of intervention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rder>
      </ndxf>
    </rcc>
    <rcc rId="0" sId="1" dxf="1">
      <nc r="S4" t="inlineStr">
        <is>
          <t>Eligible value of the project (LEI)</t>
        </is>
      </nc>
      <ndxf>
        <font>
          <b/>
          <sz val="12"/>
          <color auto="1"/>
          <name val="Calibri"/>
          <family val="2"/>
          <charset val="238"/>
          <scheme val="minor"/>
        </font>
        <numFmt numFmtId="4" formatCode="#,##0.00"/>
        <alignment horizontal="center" vertical="center" wrapText="1"/>
        <border outline="0">
          <left style="thin">
            <color indexed="64"/>
          </left>
          <top style="medium">
            <color indexed="64"/>
          </top>
          <bottom style="thin">
            <color indexed="64"/>
          </bottom>
        </border>
      </ndxf>
    </rcc>
    <rfmt sheetId="1" sqref="T4"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U4"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V4"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W4"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X4"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Y4"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Z4" start="0" length="0">
      <dxf>
        <alignment horizontal="center" vertical="center" wrapText="1"/>
        <border outline="0">
          <top style="medium">
            <color indexed="64"/>
          </top>
          <bottom style="thin">
            <color indexed="64"/>
          </bottom>
        </border>
      </dxf>
    </rfmt>
    <rfmt sheetId="1" sqref="AA4" start="0" length="0">
      <dxf>
        <alignment horizontal="center" vertical="center" wrapText="1"/>
        <border outline="0">
          <top style="medium">
            <color indexed="64"/>
          </top>
          <bottom style="thin">
            <color indexed="64"/>
          </bottom>
        </border>
      </dxf>
    </rfmt>
    <rfmt sheetId="1" sqref="AB4" start="0" length="0">
      <dxf>
        <alignment horizontal="center" vertical="center" wrapText="1"/>
        <border outline="0">
          <right style="thin">
            <color indexed="64"/>
          </right>
          <top style="medium">
            <color indexed="64"/>
          </top>
          <bottom style="thin">
            <color indexed="64"/>
          </bottom>
        </border>
      </dxf>
    </rfmt>
    <rfmt sheetId="1" sqref="AC4" start="0" length="0">
      <dxf>
        <alignment horizontal="center" vertical="center" wrapText="1"/>
        <border outline="0">
          <right style="thin">
            <color indexed="64"/>
          </right>
        </border>
      </dxf>
    </rfmt>
    <rfmt sheetId="1" sqref="AD4" start="0" length="0">
      <dxf>
        <alignment horizontal="center" vertical="center" wrapText="1"/>
        <border outline="0">
          <right style="thin">
            <color indexed="64"/>
          </right>
        </border>
      </dxf>
    </rfmt>
    <rcc rId="0" sId="1" dxf="1">
      <nc r="AE4" t="inlineStr">
        <is>
          <t>Eligible value of the project</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rder>
      </ndxf>
    </rcc>
    <rcc rId="0" sId="1" dxf="1">
      <nc r="AF4" t="inlineStr">
        <is>
          <t>Non eligible expenditure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rder>
      </ndxf>
    </rcc>
    <rcc rId="0" sId="1" dxf="1">
      <nc r="AG4" t="inlineStr">
        <is>
          <t>Total value of the project</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rder>
      </ndxf>
    </rcc>
    <rcc rId="0" sId="1" dxf="1">
      <nc r="AH4" t="inlineStr">
        <is>
          <t>Project status</t>
        </is>
      </nc>
      <ndxf>
        <font>
          <b/>
          <sz val="10"/>
          <color theme="1"/>
          <name val="Trebuchet MS"/>
          <family val="2"/>
          <charset val="238"/>
          <scheme val="none"/>
        </font>
        <alignment vertical="center" wrapText="1"/>
        <border outline="0">
          <left style="thin">
            <color indexed="64"/>
          </left>
          <right style="thin">
            <color indexed="64"/>
          </right>
          <top style="thin">
            <color indexed="64"/>
          </top>
        </border>
      </ndxf>
    </rcc>
    <rcc rId="0" sId="1" dxf="1">
      <nc r="AI4" t="inlineStr">
        <is>
          <t>Aditional Act  no.</t>
        </is>
      </nc>
      <n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rder>
      </ndxf>
    </rcc>
    <rcc rId="0" sId="1" dxf="1">
      <nc r="AJ4" t="inlineStr">
        <is>
          <t>EU Funds</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rder>
      </ndxf>
    </rcc>
    <rcc rId="0" sId="1" dxf="1">
      <nc r="AK4" t="inlineStr">
        <is>
          <t>National contribution</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rder>
      </ndxf>
    </rcc>
    <rfmt sheetId="1" sqref="AL4" start="0" length="0">
      <dxf>
        <font>
          <b/>
          <sz val="12"/>
          <color auto="1"/>
          <name val="Calibri"/>
          <family val="2"/>
          <charset val="238"/>
          <scheme val="minor"/>
        </font>
        <numFmt numFmtId="19" formatCode="dd/mm/yyyy"/>
        <alignment vertical="center" wrapText="1"/>
      </dxf>
    </rfmt>
  </rrc>
  <rrc rId="4864" sId="1" ref="A4:XFD4" action="deleteRow">
    <undo index="65535" exp="area" ref3D="1" dr="$H$1:$N$1048576" dn="Z_65B035E3_87FA_46C5_996E_864F2C8D0EBC_.wvu.Cols" sId="1"/>
    <rfmt sheetId="1" xfDxf="1" sqref="A4:XFD4" start="0" length="0"/>
    <rfmt sheetId="1" sqref="A4" start="0" length="0">
      <dxf>
        <font>
          <b/>
          <sz val="12"/>
          <color auto="1"/>
          <name val="Calibri"/>
          <family val="2"/>
          <charset val="238"/>
          <scheme val="minor"/>
        </font>
        <alignment horizontal="center" vertical="center" wrapText="1"/>
        <border outline="0">
          <left style="medium">
            <color indexed="64"/>
          </left>
          <right style="thin">
            <color indexed="64"/>
          </right>
          <bottom style="thin">
            <color indexed="64"/>
          </bottom>
        </border>
      </dxf>
    </rfmt>
    <rfmt sheetId="1" sqref="B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C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F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H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I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J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K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L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M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N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O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P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Q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fmt sheetId="1" sqref="R4" start="0" length="0">
      <dxf>
        <font>
          <b/>
          <sz val="12"/>
          <color auto="1"/>
          <name val="Calibri"/>
          <family val="2"/>
          <charset val="238"/>
          <scheme val="minor"/>
        </font>
        <alignment horizontal="center" vertical="center" wrapText="1"/>
        <border outline="0">
          <left style="thin">
            <color indexed="64"/>
          </left>
          <right style="thin">
            <color indexed="64"/>
          </right>
          <bottom style="thin">
            <color indexed="64"/>
          </bottom>
        </border>
      </dxf>
    </rfmt>
    <rcc rId="0" sId="1" dxf="1">
      <nc r="S4" t="inlineStr">
        <is>
          <t>EU Funds</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T4" t="inlineStr">
        <is>
          <t>Less developed regions</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U4" t="inlineStr">
        <is>
          <t>More developed regions</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V4" t="inlineStr">
        <is>
          <t>National Budget</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W4" t="inlineStr">
        <is>
          <t>Less developed regions</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X4" t="inlineStr">
        <is>
          <t>More developed regions</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Y4" t="inlineStr">
        <is>
          <t>Beneficiary private contribution</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Z4" t="inlineStr">
        <is>
          <t>Less developed regions</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A4" t="inlineStr">
        <is>
          <t>More developed regions</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B4" t="inlineStr">
        <is>
          <t>private contribution</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C4" t="inlineStr">
        <is>
          <t>Less developed regions</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D4" t="inlineStr">
        <is>
          <t>More developed regions</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E4" start="0" length="0">
      <dxf>
        <font>
          <b/>
          <sz val="12"/>
          <color auto="1"/>
          <name val="Calibri"/>
          <family val="2"/>
          <charset val="238"/>
          <scheme val="minor"/>
        </font>
        <numFmt numFmtId="4" formatCode="#,##0.00"/>
        <alignment vertical="center" wrapText="1"/>
        <border outline="0">
          <left style="thin">
            <color indexed="64"/>
          </left>
          <right style="thin">
            <color indexed="64"/>
          </right>
          <bottom style="thin">
            <color indexed="64"/>
          </bottom>
        </border>
      </dxf>
    </rfmt>
    <rfmt sheetId="1" sqref="AF4" start="0" length="0">
      <dxf>
        <font>
          <b/>
          <sz val="12"/>
          <color auto="1"/>
          <name val="Calibri"/>
          <family val="2"/>
          <charset val="238"/>
          <scheme val="minor"/>
        </font>
        <numFmt numFmtId="4" formatCode="#,##0.00"/>
        <alignment vertical="center" wrapText="1"/>
        <border outline="0">
          <left style="thin">
            <color indexed="64"/>
          </left>
          <right style="thin">
            <color indexed="64"/>
          </right>
          <bottom style="thin">
            <color indexed="64"/>
          </bottom>
        </border>
      </dxf>
    </rfmt>
    <rfmt sheetId="1" sqref="AG4" start="0" length="0">
      <dxf>
        <font>
          <b/>
          <sz val="12"/>
          <color auto="1"/>
          <name val="Calibri"/>
          <family val="2"/>
          <charset val="238"/>
          <scheme val="minor"/>
        </font>
        <numFmt numFmtId="4" formatCode="#,##0.00"/>
        <alignment vertical="center" wrapText="1"/>
        <border outline="0">
          <left style="thin">
            <color indexed="64"/>
          </left>
          <right style="thin">
            <color indexed="64"/>
          </right>
          <bottom style="thin">
            <color indexed="64"/>
          </bottom>
        </border>
      </dxf>
    </rfmt>
    <rfmt sheetId="1" sqref="AH4" start="0" length="0">
      <dxf>
        <font>
          <b/>
          <sz val="10"/>
          <color theme="1"/>
          <name val="Trebuchet MS"/>
          <family val="2"/>
          <charset val="238"/>
          <scheme val="none"/>
        </font>
        <alignment vertical="center" wrapText="1"/>
        <border outline="0">
          <left style="thin">
            <color indexed="64"/>
          </left>
          <right style="thin">
            <color indexed="64"/>
          </right>
          <bottom style="thin">
            <color indexed="64"/>
          </bottom>
        </border>
      </dxf>
    </rfmt>
    <rfmt sheetId="1" sqref="AI4" start="0" length="0">
      <dxf>
        <font>
          <b/>
          <sz val="12"/>
          <color auto="1"/>
          <name val="Calibri"/>
          <family val="2"/>
          <charset val="238"/>
          <scheme val="minor"/>
        </font>
        <numFmt numFmtId="3" formatCode="#,##0"/>
        <alignment vertical="center" wrapText="1"/>
        <border outline="0">
          <left style="thin">
            <color indexed="64"/>
          </left>
          <right style="thin">
            <color indexed="64"/>
          </right>
          <bottom style="thin">
            <color indexed="64"/>
          </bottom>
        </border>
      </dxf>
    </rfmt>
    <rfmt sheetId="1" sqref="AJ4" start="0" length="0">
      <dxf>
        <font>
          <b/>
          <sz val="12"/>
          <color auto="1"/>
          <name val="Calibri"/>
          <family val="2"/>
          <charset val="238"/>
          <scheme val="minor"/>
        </font>
        <numFmt numFmtId="4" formatCode="#,##0.00"/>
        <alignment vertical="center" wrapText="1"/>
        <border outline="0">
          <left style="thin">
            <color indexed="64"/>
          </left>
          <right style="thin">
            <color indexed="64"/>
          </right>
          <bottom style="thin">
            <color indexed="64"/>
          </bottom>
        </border>
      </dxf>
    </rfmt>
    <rfmt sheetId="1" sqref="AK4" start="0" length="0">
      <dxf>
        <font>
          <b/>
          <sz val="12"/>
          <color auto="1"/>
          <name val="Calibri"/>
          <family val="2"/>
          <charset val="238"/>
          <scheme val="minor"/>
        </font>
        <numFmt numFmtId="4" formatCode="#,##0.00"/>
        <alignment vertical="center" wrapText="1"/>
        <border outline="0">
          <left style="thin">
            <color indexed="64"/>
          </left>
          <right style="thin">
            <color indexed="64"/>
          </right>
          <bottom style="thin">
            <color indexed="64"/>
          </bottom>
        </border>
      </dxf>
    </rfmt>
    <rcc rId="0" sId="1" dxf="1">
      <nc r="AL4" t="inlineStr">
        <is>
          <t>Report Date</t>
        </is>
      </nc>
      <ndxf>
        <font>
          <b/>
          <sz val="12"/>
          <color auto="1"/>
          <name val="Calibri"/>
          <family val="2"/>
          <charset val="238"/>
          <scheme val="minor"/>
        </font>
        <numFmt numFmtId="19" formatCode="dd/mm/yyyy"/>
        <alignment vertical="center" wrapText="1"/>
        <border outline="0">
          <left style="thin">
            <color indexed="64"/>
          </left>
          <right style="thin">
            <color indexed="64"/>
          </right>
          <top style="thin">
            <color indexed="64"/>
          </top>
          <bottom style="thin">
            <color indexed="64"/>
          </bottom>
        </border>
      </ndxf>
    </rcc>
  </rrc>
  <rcc rId="4865" sId="1">
    <oc r="D453">
      <f>COUNTIFS(F$5:F$452,$F453)</f>
    </oc>
    <nc r="D453"/>
  </rcc>
  <rcc rId="4866" sId="1">
    <oc r="E453" t="inlineStr">
      <is>
        <t>TOTAL</t>
      </is>
    </oc>
    <nc r="E453"/>
  </rcc>
  <rcc rId="4867" sId="1">
    <oc r="F453" t="inlineStr">
      <is>
        <t>IP1/2015</t>
      </is>
    </oc>
    <nc r="F453"/>
  </rcc>
  <rcc rId="4868" sId="1">
    <oc r="S453">
      <f>SUMIFS(S$5:S$452,$F$5:$F$452,$F453)</f>
    </oc>
    <nc r="S453"/>
  </rcc>
  <rcc rId="4869" sId="1">
    <oc r="T453">
      <f>SUMIFS(T$5:T$452,$F$5:$F$452,$F453)</f>
    </oc>
    <nc r="T453"/>
  </rcc>
  <rcc rId="4870" sId="1">
    <oc r="U453">
      <f>SUMIFS(U$5:U$452,$F$5:$F$452,$F453)</f>
    </oc>
    <nc r="U453"/>
  </rcc>
  <rcc rId="4871" sId="1">
    <oc r="V453">
      <f>SUMIFS(V$5:V$452,$F$5:$F$452,$F453)</f>
    </oc>
    <nc r="V453"/>
  </rcc>
  <rcc rId="4872" sId="1">
    <oc r="W453">
      <f>SUMIFS(W$5:W$452,$F$5:$F$452,$F453)</f>
    </oc>
    <nc r="W453"/>
  </rcc>
  <rcc rId="4873" sId="1">
    <oc r="X453">
      <f>SUMIFS(X$5:X$452,$F$5:$F$452,$F453)</f>
    </oc>
    <nc r="X453"/>
  </rcc>
  <rcc rId="4874" sId="1">
    <oc r="Y453">
      <f>SUMIFS(Y$5:Y$452,$F$5:$F$452,$F453)</f>
    </oc>
    <nc r="Y453"/>
  </rcc>
  <rcc rId="4875" sId="1">
    <oc r="Z453">
      <f>SUMIFS(Z$5:Z$452,$F$5:$F$452,$F453)</f>
    </oc>
    <nc r="Z453"/>
  </rcc>
  <rcc rId="4876" sId="1">
    <oc r="AA453">
      <f>SUMIFS(AA$5:AA$452,$F$5:$F$452,$F453)</f>
    </oc>
    <nc r="AA453"/>
  </rcc>
  <rcc rId="4877" sId="1">
    <oc r="AB453">
      <f>SUMIFS(AB$5:AB$452,$F$5:$F$452,$F453)</f>
    </oc>
    <nc r="AB453"/>
  </rcc>
  <rcc rId="4878" sId="1">
    <oc r="AC453">
      <f>SUMIFS(AC$5:AC$452,$F$5:$F$452,$F453)</f>
    </oc>
    <nc r="AC453"/>
  </rcc>
  <rcc rId="4879" sId="1">
    <oc r="AD453">
      <f>SUMIFS(AD$5:AD$452,$F$5:$F$452,$F453)</f>
    </oc>
    <nc r="AD453"/>
  </rcc>
  <rcc rId="4880" sId="1">
    <oc r="AE453">
      <f>SUMIFS(AE$5:AE$452,$F$5:$F$452,$F453)</f>
    </oc>
    <nc r="AE453"/>
  </rcc>
  <rcc rId="4881" sId="1">
    <oc r="AF453">
      <f>SUMIFS(AF$5:AF$452,$F$5:$F$452,$F453)</f>
    </oc>
    <nc r="AF453"/>
  </rcc>
  <rcc rId="4882" sId="1">
    <oc r="AG453">
      <f>SUMIFS(AG$5:AG$452,$F$5:$F$452,$F453)</f>
    </oc>
    <nc r="AG453"/>
  </rcc>
  <rcc rId="4883" sId="1">
    <oc r="AJ453">
      <f>SUMIFS(AJ$5:AJ$452,$F$5:$F$452,$F453)</f>
    </oc>
    <nc r="AJ453"/>
  </rcc>
  <rcc rId="4884" sId="1">
    <oc r="AK453">
      <f>SUMIFS(AK$5:AK$452,$F$5:$F$452,$F453)</f>
    </oc>
    <nc r="AK453"/>
  </rcc>
  <rcc rId="4885" sId="1">
    <oc r="D454">
      <f>COUNTIFS(F$5:F$452,$F454)</f>
    </oc>
    <nc r="D454"/>
  </rcc>
  <rcc rId="4886" sId="1">
    <oc r="E454" t="inlineStr">
      <is>
        <t>TOTAL</t>
      </is>
    </oc>
    <nc r="E454"/>
  </rcc>
  <rcc rId="4887" sId="1">
    <oc r="F454" t="inlineStr">
      <is>
        <t>IP3/2016</t>
      </is>
    </oc>
    <nc r="F454"/>
  </rcc>
  <rcc rId="4888" sId="1">
    <oc r="S454">
      <f>SUMIFS(S$5:S$452,$F$5:$F$452,$F454)</f>
    </oc>
    <nc r="S454"/>
  </rcc>
  <rcc rId="4889" sId="1">
    <oc r="T454">
      <f>SUMIFS(T$5:T$452,$F$5:$F$452,$F454)</f>
    </oc>
    <nc r="T454"/>
  </rcc>
  <rcc rId="4890" sId="1">
    <oc r="U454">
      <f>SUMIFS(U$5:U$452,$F$5:$F$452,$F454)</f>
    </oc>
    <nc r="U454"/>
  </rcc>
  <rcc rId="4891" sId="1">
    <oc r="V454">
      <f>SUMIFS(V$5:V$452,$F$5:$F$452,$F454)</f>
    </oc>
    <nc r="V454"/>
  </rcc>
  <rcc rId="4892" sId="1">
    <oc r="W454">
      <f>SUMIFS(W$5:W$452,$F$5:$F$452,$F454)</f>
    </oc>
    <nc r="W454"/>
  </rcc>
  <rcc rId="4893" sId="1">
    <oc r="X454">
      <f>SUMIFS(X$5:X$452,$F$5:$F$452,$F454)</f>
    </oc>
    <nc r="X454"/>
  </rcc>
  <rcc rId="4894" sId="1">
    <oc r="Y454">
      <f>SUMIFS(Y$5:Y$452,$F$5:$F$452,$F454)</f>
    </oc>
    <nc r="Y454"/>
  </rcc>
  <rcc rId="4895" sId="1">
    <oc r="Z454">
      <f>SUMIFS(Z$5:Z$452,$F$5:$F$452,$F454)</f>
    </oc>
    <nc r="Z454"/>
  </rcc>
  <rcc rId="4896" sId="1">
    <oc r="AA454">
      <f>SUMIFS(AA$5:AA$452,$F$5:$F$452,$F454)</f>
    </oc>
    <nc r="AA454"/>
  </rcc>
  <rcc rId="4897" sId="1">
    <oc r="AB454">
      <f>SUMIFS(AB$5:AB$452,$F$5:$F$452,$F454)</f>
    </oc>
    <nc r="AB454"/>
  </rcc>
  <rcc rId="4898" sId="1">
    <oc r="AC454">
      <f>SUMIFS(AC$5:AC$452,$F$5:$F$452,$F454)</f>
    </oc>
    <nc r="AC454"/>
  </rcc>
  <rcc rId="4899" sId="1">
    <oc r="AD454">
      <f>SUMIFS(AD$5:AD$452,$F$5:$F$452,$F454)</f>
    </oc>
    <nc r="AD454"/>
  </rcc>
  <rcc rId="4900" sId="1">
    <oc r="AE454">
      <f>SUMIFS(AE$5:AE$452,$F$5:$F$452,$F454)</f>
    </oc>
    <nc r="AE454"/>
  </rcc>
  <rcc rId="4901" sId="1">
    <oc r="AF454">
      <f>SUMIFS(AF$5:AF$452,$F$5:$F$452,$F454)</f>
    </oc>
    <nc r="AF454"/>
  </rcc>
  <rcc rId="4902" sId="1">
    <oc r="AG454">
      <f>SUMIFS(AG$5:AG$452,$F$5:$F$452,$F454)</f>
    </oc>
    <nc r="AG454"/>
  </rcc>
  <rcc rId="4903" sId="1">
    <oc r="AJ454">
      <f>SUMIFS(AJ$5:AJ$452,$F$5:$F$452,$F454)</f>
    </oc>
    <nc r="AJ454"/>
  </rcc>
  <rcc rId="4904" sId="1">
    <oc r="AK454">
      <f>SUMIFS(AK$5:AK$452,$F$5:$F$452,$F454)</f>
    </oc>
    <nc r="AK454"/>
  </rcc>
  <rcc rId="4905" sId="1">
    <oc r="D455">
      <f>COUNTIFS(F$5:F$452,$F455)</f>
    </oc>
    <nc r="D455"/>
  </rcc>
  <rcc rId="4906" sId="1">
    <oc r="E455" t="inlineStr">
      <is>
        <t xml:space="preserve">TOTAL </t>
      </is>
    </oc>
    <nc r="E455"/>
  </rcc>
  <rcc rId="4907" sId="1">
    <oc r="F455" t="inlineStr">
      <is>
        <t>IP5/2016</t>
      </is>
    </oc>
    <nc r="F455"/>
  </rcc>
  <rcc rId="4908" sId="1">
    <oc r="S455">
      <f>SUMIFS(S$5:S$452,$F$5:$F$452,$F455)</f>
    </oc>
    <nc r="S455"/>
  </rcc>
  <rcc rId="4909" sId="1">
    <oc r="T455">
      <f>SUMIFS(T$5:T$452,$F$5:$F$452,$F455)</f>
    </oc>
    <nc r="T455"/>
  </rcc>
  <rcc rId="4910" sId="1">
    <oc r="U455">
      <f>SUMIFS(U$5:U$452,$F$5:$F$452,$F455)</f>
    </oc>
    <nc r="U455"/>
  </rcc>
  <rcc rId="4911" sId="1">
    <oc r="V455">
      <f>SUMIFS(V$5:V$452,$F$5:$F$452,$F455)</f>
    </oc>
    <nc r="V455"/>
  </rcc>
  <rcc rId="4912" sId="1">
    <oc r="W455">
      <f>SUMIFS(W$5:W$452,$F$5:$F$452,$F455)</f>
    </oc>
    <nc r="W455"/>
  </rcc>
  <rcc rId="4913" sId="1">
    <oc r="X455">
      <f>SUMIFS(X$5:X$452,$F$5:$F$452,$F455)</f>
    </oc>
    <nc r="X455"/>
  </rcc>
  <rcc rId="4914" sId="1">
    <oc r="Y455">
      <f>SUMIFS(Y$5:Y$452,$F$5:$F$452,$F455)</f>
    </oc>
    <nc r="Y455"/>
  </rcc>
  <rcc rId="4915" sId="1">
    <oc r="Z455">
      <f>SUMIFS(Z$5:Z$452,$F$5:$F$452,$F455)</f>
    </oc>
    <nc r="Z455"/>
  </rcc>
  <rcc rId="4916" sId="1">
    <oc r="AA455">
      <f>SUMIFS(AA$5:AA$452,$F$5:$F$452,$F455)</f>
    </oc>
    <nc r="AA455"/>
  </rcc>
  <rcc rId="4917" sId="1">
    <oc r="AB455">
      <f>SUMIFS(AB$5:AB$452,$F$5:$F$452,$F455)</f>
    </oc>
    <nc r="AB455"/>
  </rcc>
  <rcc rId="4918" sId="1">
    <oc r="AC455">
      <f>SUMIFS(AC$5:AC$452,$F$5:$F$452,$F455)</f>
    </oc>
    <nc r="AC455"/>
  </rcc>
  <rcc rId="4919" sId="1">
    <oc r="AD455">
      <f>SUMIFS(AD$5:AD$452,$F$5:$F$452,$F455)</f>
    </oc>
    <nc r="AD455"/>
  </rcc>
  <rcc rId="4920" sId="1">
    <oc r="AE455">
      <f>SUMIFS(AE$5:AE$452,$F$5:$F$452,$F455)</f>
    </oc>
    <nc r="AE455"/>
  </rcc>
  <rcc rId="4921" sId="1">
    <oc r="AF455">
      <f>SUMIFS(AF$5:AF$452,$F$5:$F$452,$F455)</f>
    </oc>
    <nc r="AF455"/>
  </rcc>
  <rcc rId="4922" sId="1">
    <oc r="AG455">
      <f>SUMIFS(AG$5:AG$452,$F$5:$F$452,$F455)</f>
    </oc>
    <nc r="AG455"/>
  </rcc>
  <rcc rId="4923" sId="1">
    <oc r="AJ455">
      <f>SUMIFS(AJ$5:AJ$452,$F$5:$F$452,$F455)</f>
    </oc>
    <nc r="AJ455"/>
  </rcc>
  <rcc rId="4924" sId="1">
    <oc r="AK455">
      <f>SUMIFS(AK$5:AK$452,$F$5:$F$452,$F455)</f>
    </oc>
    <nc r="AK455"/>
  </rcc>
  <rcc rId="4925" sId="1">
    <oc r="D456">
      <f>COUNTIFS(F$257:F$452,$F456)</f>
    </oc>
    <nc r="D456"/>
  </rcc>
  <rcc rId="4926" sId="1">
    <oc r="E456" t="inlineStr">
      <is>
        <t>TOTAL</t>
      </is>
    </oc>
    <nc r="E456"/>
  </rcc>
  <rcc rId="4927" sId="1">
    <oc r="F456" t="inlineStr">
      <is>
        <t>IP4/2016</t>
      </is>
    </oc>
    <nc r="F456"/>
  </rcc>
  <rcc rId="4928" sId="1">
    <oc r="S456">
      <f>SUMIFS(S$5:S$452,$F$5:$F$452,$F456)</f>
    </oc>
    <nc r="S456"/>
  </rcc>
  <rcc rId="4929" sId="1">
    <oc r="T456">
      <f>SUMIFS(T$5:T$452,$F$5:$F$452,$F456)</f>
    </oc>
    <nc r="T456"/>
  </rcc>
  <rcc rId="4930" sId="1">
    <oc r="U456">
      <f>SUMIFS(U$5:U$452,$F$5:$F$452,$F456)</f>
    </oc>
    <nc r="U456"/>
  </rcc>
  <rcc rId="4931" sId="1">
    <oc r="V456">
      <f>SUMIFS(V$5:V$452,$F$5:$F$452,$F456)</f>
    </oc>
    <nc r="V456"/>
  </rcc>
  <rcc rId="4932" sId="1">
    <oc r="W456">
      <f>SUMIFS(W$5:W$452,$F$5:$F$452,$F456)</f>
    </oc>
    <nc r="W456"/>
  </rcc>
  <rcc rId="4933" sId="1">
    <oc r="X456">
      <f>SUMIFS(X$5:X$452,$F$5:$F$452,$F456)</f>
    </oc>
    <nc r="X456"/>
  </rcc>
  <rcc rId="4934" sId="1">
    <oc r="Y456">
      <f>SUMIFS(Y$5:Y$452,$F$5:$F$452,$F456)</f>
    </oc>
    <nc r="Y456"/>
  </rcc>
  <rcc rId="4935" sId="1">
    <oc r="Z456">
      <f>SUMIFS(Z$5:Z$452,$F$5:$F$452,$F456)</f>
    </oc>
    <nc r="Z456"/>
  </rcc>
  <rcc rId="4936" sId="1">
    <oc r="AA456">
      <f>SUMIFS(AA$5:AA$452,$F$5:$F$452,$F456)</f>
    </oc>
    <nc r="AA456"/>
  </rcc>
  <rcc rId="4937" sId="1">
    <oc r="AB456">
      <f>SUMIFS(AB$5:AB$452,$F$5:$F$452,$F456)</f>
    </oc>
    <nc r="AB456"/>
  </rcc>
  <rcc rId="4938" sId="1">
    <oc r="AC456">
      <f>SUMIFS(AC$5:AC$452,$F$5:$F$452,$F456)</f>
    </oc>
    <nc r="AC456"/>
  </rcc>
  <rcc rId="4939" sId="1">
    <oc r="AD456">
      <f>SUMIFS(AD$5:AD$452,$F$5:$F$452,$F456)</f>
    </oc>
    <nc r="AD456"/>
  </rcc>
  <rcc rId="4940" sId="1">
    <oc r="AE456">
      <f>SUMIFS(AE$5:AE$452,$F$5:$F$452,$F456)</f>
    </oc>
    <nc r="AE456"/>
  </rcc>
  <rcc rId="4941" sId="1">
    <oc r="AF456">
      <f>SUMIFS(AF$5:AF$452,$F$5:$F$452,$F456)</f>
    </oc>
    <nc r="AF456"/>
  </rcc>
  <rcc rId="4942" sId="1">
    <oc r="AG456">
      <f>SUMIFS(AG$5:AG$452,$F$5:$F$452,$F456)</f>
    </oc>
    <nc r="AG456"/>
  </rcc>
  <rcc rId="4943" sId="1">
    <oc r="AJ456">
      <f>SUMIFS(AJ$5:AJ$452,$F$5:$F$452,$F456)</f>
    </oc>
    <nc r="AJ456"/>
  </rcc>
  <rcc rId="4944" sId="1">
    <oc r="AK456">
      <f>SUMIFS(AK$5:AK$452,$F$5:$F$452,$F456)</f>
    </oc>
    <nc r="AK456"/>
  </rcc>
  <rcc rId="4945" sId="1">
    <oc r="D457">
      <f>COUNTIFS(F$5:F$452,$F457)</f>
    </oc>
    <nc r="D457"/>
  </rcc>
  <rcc rId="4946" sId="1">
    <oc r="E457" t="inlineStr">
      <is>
        <t>TOTAL</t>
      </is>
    </oc>
    <nc r="E457"/>
  </rcc>
  <rcc rId="4947" sId="1">
    <oc r="F457" t="inlineStr">
      <is>
        <t>IP6/2016</t>
      </is>
    </oc>
    <nc r="F457"/>
  </rcc>
  <rcc rId="4948" sId="1">
    <oc r="S457">
      <f>SUMIFS(S$5:S$452,$F$5:$F$452,$F457)</f>
    </oc>
    <nc r="S457"/>
  </rcc>
  <rcc rId="4949" sId="1">
    <oc r="T457">
      <f>SUMIFS(T$5:T$452,$F$5:$F$452,$F457)</f>
    </oc>
    <nc r="T457"/>
  </rcc>
  <rcc rId="4950" sId="1">
    <oc r="U457">
      <f>SUMIFS(U$5:U$452,$F$5:$F$452,$F457)</f>
    </oc>
    <nc r="U457"/>
  </rcc>
  <rcc rId="4951" sId="1">
    <oc r="V457">
      <f>SUMIFS(V$5:V$452,$F$5:$F$452,$F457)</f>
    </oc>
    <nc r="V457"/>
  </rcc>
  <rcc rId="4952" sId="1">
    <oc r="W457">
      <f>SUMIFS(W$5:W$452,$F$5:$F$452,$F457)</f>
    </oc>
    <nc r="W457"/>
  </rcc>
  <rcc rId="4953" sId="1">
    <oc r="X457">
      <f>SUMIFS(X$5:X$452,$F$5:$F$452,$F457)</f>
    </oc>
    <nc r="X457"/>
  </rcc>
  <rcc rId="4954" sId="1">
    <oc r="Y457">
      <f>SUMIFS(Y$5:Y$452,$F$5:$F$452,$F457)</f>
    </oc>
    <nc r="Y457"/>
  </rcc>
  <rcc rId="4955" sId="1">
    <oc r="Z457">
      <f>SUMIFS(Z$5:Z$452,$F$5:$F$452,$F457)</f>
    </oc>
    <nc r="Z457"/>
  </rcc>
  <rcc rId="4956" sId="1">
    <oc r="AA457">
      <f>SUMIFS(AA$5:AA$452,$F$5:$F$452,$F457)</f>
    </oc>
    <nc r="AA457"/>
  </rcc>
  <rcc rId="4957" sId="1">
    <oc r="AB457">
      <f>SUMIFS(AB$5:AB$452,$F$5:$F$452,$F457)</f>
    </oc>
    <nc r="AB457"/>
  </rcc>
  <rcc rId="4958" sId="1">
    <oc r="AC457">
      <f>SUMIFS(AC$5:AC$452,$F$5:$F$452,$F457)</f>
    </oc>
    <nc r="AC457"/>
  </rcc>
  <rcc rId="4959" sId="1">
    <oc r="AD457">
      <f>SUMIFS(AD$5:AD$452,$F$5:$F$452,$F457)</f>
    </oc>
    <nc r="AD457"/>
  </rcc>
  <rcc rId="4960" sId="1">
    <oc r="AE457">
      <f>SUMIFS(AE$5:AE$452,$F$5:$F$452,$F457)</f>
    </oc>
    <nc r="AE457"/>
  </rcc>
  <rcc rId="4961" sId="1">
    <oc r="AF457">
      <f>SUMIFS(AF$5:AF$452,$F$5:$F$452,$F457)</f>
    </oc>
    <nc r="AF457"/>
  </rcc>
  <rcc rId="4962" sId="1">
    <oc r="AG457">
      <f>SUMIFS(AG$5:AG$452,$F$5:$F$452,$F457)</f>
    </oc>
    <nc r="AG457"/>
  </rcc>
  <rcc rId="4963" sId="1">
    <oc r="AJ457">
      <f>SUMIFS(AJ$5:AJ$452,$F$5:$F$452,$F457)</f>
    </oc>
    <nc r="AJ457"/>
  </rcc>
  <rcc rId="4964" sId="1">
    <oc r="AK457">
      <f>SUMIFS(AK$5:AK$452,$F$5:$F$452,$F457)</f>
    </oc>
    <nc r="AK457"/>
  </rcc>
  <rcc rId="4965" sId="1">
    <oc r="D458">
      <f>COUNTIFS(F$5:F$452,$F458)</f>
    </oc>
    <nc r="D458"/>
  </rcc>
  <rcc rId="4966" sId="1">
    <oc r="E458" t="inlineStr">
      <is>
        <t>TOTAL</t>
      </is>
    </oc>
    <nc r="E458"/>
  </rcc>
  <rcc rId="4967" sId="1">
    <oc r="F458" t="inlineStr">
      <is>
        <t>CP 2/2017 (MySMIS: POCA/111/1/1)</t>
      </is>
    </oc>
    <nc r="F458"/>
  </rcc>
  <rcc rId="4968" sId="1">
    <oc r="S458">
      <f>SUMIFS(S$5:S$452,$F$5:$F$452,$F458)</f>
    </oc>
    <nc r="S458"/>
  </rcc>
  <rcc rId="4969" sId="1">
    <oc r="T458">
      <f>SUMIFS(T$5:T$452,$F$5:$F$452,$F458)</f>
    </oc>
    <nc r="T458"/>
  </rcc>
  <rcc rId="4970" sId="1">
    <oc r="U458">
      <f>SUMIFS(U$5:U$452,$F$5:$F$452,$F458)</f>
    </oc>
    <nc r="U458"/>
  </rcc>
  <rcc rId="4971" sId="1">
    <oc r="V458">
      <f>SUMIFS(V$5:V$452,$F$5:$F$452,$F458)</f>
    </oc>
    <nc r="V458"/>
  </rcc>
  <rcc rId="4972" sId="1">
    <oc r="W458">
      <f>SUMIFS(W$5:W$452,$F$5:$F$452,$F458)</f>
    </oc>
    <nc r="W458"/>
  </rcc>
  <rcc rId="4973" sId="1">
    <oc r="X458">
      <f>SUMIFS(X$5:X$452,$F$5:$F$452,$F458)</f>
    </oc>
    <nc r="X458"/>
  </rcc>
  <rcc rId="4974" sId="1">
    <oc r="Y458">
      <f>SUMIFS(Y$5:Y$452,$F$5:$F$452,$F458)</f>
    </oc>
    <nc r="Y458"/>
  </rcc>
  <rcc rId="4975" sId="1">
    <oc r="Z458">
      <f>SUMIFS(Z$5:Z$452,$F$5:$F$452,$F458)</f>
    </oc>
    <nc r="Z458"/>
  </rcc>
  <rcc rId="4976" sId="1">
    <oc r="AA458">
      <f>SUMIFS(AA$5:AA$452,$F$5:$F$452,$F458)</f>
    </oc>
    <nc r="AA458"/>
  </rcc>
  <rcc rId="4977" sId="1">
    <oc r="AB458">
      <f>SUMIFS(AB$5:AB$452,$F$5:$F$452,$F458)</f>
    </oc>
    <nc r="AB458"/>
  </rcc>
  <rcc rId="4978" sId="1">
    <oc r="AC458">
      <f>SUMIFS(AC$5:AC$452,$F$5:$F$452,$F458)</f>
    </oc>
    <nc r="AC458"/>
  </rcc>
  <rcc rId="4979" sId="1">
    <oc r="AD458">
      <f>SUMIFS(AD$5:AD$452,$F$5:$F$452,$F458)</f>
    </oc>
    <nc r="AD458"/>
  </rcc>
  <rcc rId="4980" sId="1">
    <oc r="AE458">
      <f>SUMIFS(AE$5:AE$452,$F$5:$F$452,$F458)</f>
    </oc>
    <nc r="AE458"/>
  </rcc>
  <rcc rId="4981" sId="1">
    <oc r="AF458">
      <f>SUMIFS(AF$5:AF$452,$F$5:$F$452,$F458)</f>
    </oc>
    <nc r="AF458"/>
  </rcc>
  <rcc rId="4982" sId="1">
    <oc r="AG458">
      <f>SUMIFS(AG$5:AG$452,$F$5:$F$452,$F458)</f>
    </oc>
    <nc r="AG458"/>
  </rcc>
  <rcc rId="4983" sId="1">
    <oc r="AJ458">
      <f>SUMIFS(AJ$5:AJ$452,$F$5:$F$452,$F458)</f>
    </oc>
    <nc r="AJ458"/>
  </rcc>
  <rcc rId="4984" sId="1">
    <oc r="AK458">
      <f>SUMIFS(AK$5:AK$452,$F$5:$F$452,$F458)</f>
    </oc>
    <nc r="AK458"/>
  </rcc>
  <rcc rId="4985" sId="1">
    <oc r="D459">
      <f>COUNTIFS(F$5:F$452,$F459)</f>
    </oc>
    <nc r="D459"/>
  </rcc>
  <rcc rId="4986" sId="1">
    <oc r="E459" t="inlineStr">
      <is>
        <t>TOTAL</t>
      </is>
    </oc>
    <nc r="E459"/>
  </rcc>
  <rcc rId="4987" sId="1">
    <oc r="F459" t="inlineStr">
      <is>
        <t>IP8/2017 (MySMIS:
POCA/129/1/1)</t>
      </is>
    </oc>
    <nc r="F459"/>
  </rcc>
  <rcc rId="4988" sId="1">
    <oc r="S459">
      <f>SUMIFS(S$5:S$452,$F$5:$F$452,$F459)</f>
    </oc>
    <nc r="S459"/>
  </rcc>
  <rcc rId="4989" sId="1">
    <oc r="T459">
      <f>SUMIFS(T$5:T$452,$F$5:$F$452,$F459)</f>
    </oc>
    <nc r="T459"/>
  </rcc>
  <rcc rId="4990" sId="1">
    <oc r="U459">
      <f>SUMIFS(U$5:U$452,$F$5:$F$452,$F459)</f>
    </oc>
    <nc r="U459"/>
  </rcc>
  <rcc rId="4991" sId="1">
    <oc r="V459">
      <f>SUMIFS(V$5:V$452,$F$5:$F$452,$F459)</f>
    </oc>
    <nc r="V459"/>
  </rcc>
  <rcc rId="4992" sId="1">
    <oc r="W459">
      <f>SUMIFS(W$5:W$452,$F$5:$F$452,$F459)</f>
    </oc>
    <nc r="W459"/>
  </rcc>
  <rcc rId="4993" sId="1">
    <oc r="X459">
      <f>SUMIFS(X$5:X$452,$F$5:$F$452,$F459)</f>
    </oc>
    <nc r="X459"/>
  </rcc>
  <rcc rId="4994" sId="1">
    <oc r="Y459">
      <f>SUMIFS(Y$5:Y$452,$F$5:$F$452,$F459)</f>
    </oc>
    <nc r="Y459"/>
  </rcc>
  <rcc rId="4995" sId="1">
    <oc r="Z459">
      <f>SUMIFS(Z$5:Z$452,$F$5:$F$452,$F459)</f>
    </oc>
    <nc r="Z459"/>
  </rcc>
  <rcc rId="4996" sId="1">
    <oc r="AA459">
      <f>SUMIFS(AA$5:AA$452,$F$5:$F$452,$F459)</f>
    </oc>
    <nc r="AA459"/>
  </rcc>
  <rcc rId="4997" sId="1">
    <oc r="AB459">
      <f>SUMIFS(AB$5:AB$452,$F$5:$F$452,$F459)</f>
    </oc>
    <nc r="AB459"/>
  </rcc>
  <rcc rId="4998" sId="1">
    <oc r="AC459">
      <f>SUMIFS(AC$5:AC$452,$F$5:$F$452,$F459)</f>
    </oc>
    <nc r="AC459"/>
  </rcc>
  <rcc rId="4999" sId="1">
    <oc r="AD459">
      <f>SUMIFS(AD$5:AD$452,$F$5:$F$452,$F459)</f>
    </oc>
    <nc r="AD459"/>
  </rcc>
  <rcc rId="5000" sId="1">
    <oc r="AE459">
      <f>SUMIFS(AE$5:AE$452,$F$5:$F$452,$F459)</f>
    </oc>
    <nc r="AE459"/>
  </rcc>
  <rcc rId="5001" sId="1">
    <oc r="AF459">
      <f>SUMIFS(AF$5:AF$452,$F$5:$F$452,$F459)</f>
    </oc>
    <nc r="AF459"/>
  </rcc>
  <rcc rId="5002" sId="1">
    <oc r="AG459">
      <f>SUMIFS(AG$5:AG$452,$F$5:$F$452,$F459)</f>
    </oc>
    <nc r="AG459"/>
  </rcc>
  <rcc rId="5003" sId="1">
    <oc r="AJ459">
      <f>SUMIFS(AJ$5:AJ$452,$F$5:$F$452,$F459)</f>
    </oc>
    <nc r="AJ459"/>
  </rcc>
  <rcc rId="5004" sId="1">
    <oc r="AK459">
      <f>SUMIFS(AK$5:AK$452,$F$5:$F$452,$F459)</f>
    </oc>
    <nc r="AK459"/>
  </rcc>
  <rcc rId="5005" sId="1">
    <oc r="D460">
      <f>COUNTIFS(F$5:F$452,$F460)</f>
    </oc>
    <nc r="D460"/>
  </rcc>
  <rcc rId="5006" sId="1">
    <oc r="E460" t="inlineStr">
      <is>
        <t>TOTAL</t>
      </is>
    </oc>
    <nc r="E460"/>
  </rcc>
  <rcc rId="5007" sId="1">
    <oc r="F460" t="inlineStr">
      <is>
        <t>IP12/2018
(MySMIS: 
POCA/ 399/1/1)</t>
      </is>
    </oc>
    <nc r="F460"/>
  </rcc>
  <rcc rId="5008" sId="1">
    <oc r="S460">
      <f>SUMIFS(S$5:S$452,$F$5:$F$452,$F460)</f>
    </oc>
    <nc r="S460"/>
  </rcc>
  <rcc rId="5009" sId="1">
    <oc r="T460">
      <f>SUMIFS(T$5:T$452,$F$5:$F$452,$F460)</f>
    </oc>
    <nc r="T460"/>
  </rcc>
  <rcc rId="5010" sId="1">
    <oc r="U460">
      <f>SUMIFS(U$5:U$452,$F$5:$F$452,$F460)</f>
    </oc>
    <nc r="U460"/>
  </rcc>
  <rcc rId="5011" sId="1">
    <oc r="V460">
      <f>SUMIFS(V$5:V$452,$F$5:$F$452,$F460)</f>
    </oc>
    <nc r="V460"/>
  </rcc>
  <rcc rId="5012" sId="1">
    <oc r="W460">
      <f>SUMIFS(W$5:W$452,$F$5:$F$452,$F460)</f>
    </oc>
    <nc r="W460"/>
  </rcc>
  <rcc rId="5013" sId="1">
    <oc r="X460">
      <f>SUMIFS(X$5:X$452,$F$5:$F$452,$F460)</f>
    </oc>
    <nc r="X460"/>
  </rcc>
  <rcc rId="5014" sId="1">
    <oc r="Y460">
      <f>SUMIFS(Y$5:Y$452,$F$5:$F$452,$F460)</f>
    </oc>
    <nc r="Y460"/>
  </rcc>
  <rcc rId="5015" sId="1">
    <oc r="Z460">
      <f>SUMIFS(Z$5:Z$452,$F$5:$F$452,$F460)</f>
    </oc>
    <nc r="Z460"/>
  </rcc>
  <rcc rId="5016" sId="1">
    <oc r="AA460">
      <f>SUMIFS(AA$5:AA$452,$F$5:$F$452,$F460)</f>
    </oc>
    <nc r="AA460"/>
  </rcc>
  <rcc rId="5017" sId="1">
    <oc r="AB460">
      <f>SUMIFS(AB$5:AB$452,$F$5:$F$452,$F460)</f>
    </oc>
    <nc r="AB460"/>
  </rcc>
  <rcc rId="5018" sId="1">
    <oc r="AC460">
      <f>SUMIFS(AC$5:AC$452,$F$5:$F$452,$F460)</f>
    </oc>
    <nc r="AC460"/>
  </rcc>
  <rcc rId="5019" sId="1">
    <oc r="AD460">
      <f>SUMIFS(AD$5:AD$452,$F$5:$F$452,$F460)</f>
    </oc>
    <nc r="AD460"/>
  </rcc>
  <rcc rId="5020" sId="1">
    <oc r="AE460">
      <f>SUMIFS(AE$5:AE$452,$F$5:$F$452,$F460)</f>
    </oc>
    <nc r="AE460"/>
  </rcc>
  <rcc rId="5021" sId="1">
    <oc r="AF460">
      <f>SUMIFS(AF$5:AF$452,$F$5:$F$452,$F460)</f>
    </oc>
    <nc r="AF460"/>
  </rcc>
  <rcc rId="5022" sId="1">
    <oc r="AG460">
      <f>SUMIFS(AG$5:AG$452,$F$5:$F$452,$F460)</f>
    </oc>
    <nc r="AG460"/>
  </rcc>
  <rcc rId="5023" sId="1">
    <oc r="AJ460">
      <f>SUMIFS(AJ$5:AJ$452,$F$5:$F$452,$F460)</f>
    </oc>
    <nc r="AJ460"/>
  </rcc>
  <rcc rId="5024" sId="1">
    <oc r="AK460">
      <f>SUMIFS(AK$5:AK$452,$F$5:$F$452,$F460)</f>
    </oc>
    <nc r="AK460"/>
  </rcc>
  <rcc rId="5025" sId="1">
    <oc r="D461">
      <f>COUNTIFS(F$5:F$452,$F461)</f>
    </oc>
    <nc r="D461"/>
  </rcc>
  <rcc rId="5026" sId="1">
    <oc r="E461" t="inlineStr">
      <is>
        <t>TOTAL</t>
      </is>
    </oc>
    <nc r="E461"/>
  </rcc>
  <rcc rId="5027" sId="1">
    <oc r="F461" t="inlineStr">
      <is>
        <t>IP14/2019
(MySMIS: 
POCA/ 513/1/1 )</t>
      </is>
    </oc>
    <nc r="F461"/>
  </rcc>
  <rcc rId="5028" sId="1">
    <oc r="S461">
      <f>SUMIFS(S$5:S$452,$F$5:$F$452,$F461)</f>
    </oc>
    <nc r="S461"/>
  </rcc>
  <rcc rId="5029" sId="1">
    <oc r="T461">
      <f>SUMIFS(T$5:T$452,$F$5:$F$452,$F461)</f>
    </oc>
    <nc r="T461"/>
  </rcc>
  <rcc rId="5030" sId="1">
    <oc r="U461">
      <f>SUMIFS(U$5:U$452,$F$5:$F$452,$F461)</f>
    </oc>
    <nc r="U461"/>
  </rcc>
  <rcc rId="5031" sId="1">
    <oc r="V461">
      <f>SUMIFS(V$5:V$452,$F$5:$F$452,$F461)</f>
    </oc>
    <nc r="V461"/>
  </rcc>
  <rcc rId="5032" sId="1">
    <oc r="W461">
      <f>SUMIFS(W$5:W$452,$F$5:$F$452,$F461)</f>
    </oc>
    <nc r="W461"/>
  </rcc>
  <rcc rId="5033" sId="1">
    <oc r="X461">
      <f>SUMIFS(X$5:X$452,$F$5:$F$452,$F461)</f>
    </oc>
    <nc r="X461"/>
  </rcc>
  <rcc rId="5034" sId="1">
    <oc r="Y461">
      <f>SUMIFS(Y$5:Y$452,$F$5:$F$452,$F461)</f>
    </oc>
    <nc r="Y461"/>
  </rcc>
  <rcc rId="5035" sId="1">
    <oc r="Z461">
      <f>SUMIFS(Z$5:Z$452,$F$5:$F$452,$F461)</f>
    </oc>
    <nc r="Z461"/>
  </rcc>
  <rcc rId="5036" sId="1">
    <oc r="AA461">
      <f>SUMIFS(AA$5:AA$452,$F$5:$F$452,$F461)</f>
    </oc>
    <nc r="AA461"/>
  </rcc>
  <rcc rId="5037" sId="1">
    <oc r="AB461">
      <f>SUMIFS(AB$5:AB$452,$F$5:$F$452,$F461)</f>
    </oc>
    <nc r="AB461"/>
  </rcc>
  <rcc rId="5038" sId="1">
    <oc r="AC461">
      <f>SUMIFS(AC$5:AC$452,$F$5:$F$452,$F461)</f>
    </oc>
    <nc r="AC461"/>
  </rcc>
  <rcc rId="5039" sId="1">
    <oc r="AD461">
      <f>SUMIFS(AD$5:AD$452,$F$5:$F$452,$F461)</f>
    </oc>
    <nc r="AD461"/>
  </rcc>
  <rcc rId="5040" sId="1">
    <oc r="AE461">
      <f>SUMIFS(AE$5:AE$452,$F$5:$F$452,$F461)</f>
    </oc>
    <nc r="AE461"/>
  </rcc>
  <rcc rId="5041" sId="1">
    <oc r="AF461">
      <f>SUMIFS(AF$5:AF$452,$F$5:$F$452,$F461)</f>
    </oc>
    <nc r="AF461"/>
  </rcc>
  <rcc rId="5042" sId="1">
    <oc r="AG461">
      <f>SUMIFS(AG$5:AG$452,$F$5:$F$452,$F461)</f>
    </oc>
    <nc r="AG461"/>
  </rcc>
  <rcc rId="5043" sId="1">
    <oc r="AJ461">
      <f>SUMIFS(AJ$5:AJ$452,$F$5:$F$452,$F461)</f>
    </oc>
    <nc r="AJ461"/>
  </rcc>
  <rcc rId="5044" sId="1">
    <oc r="AK461">
      <f>SUMIFS(AK$5:AK$452,$F$5:$F$452,$F461)</f>
    </oc>
    <nc r="AK461"/>
  </rcc>
  <rcc rId="5045" sId="1">
    <oc r="D462">
      <f>COUNTIFS(F$5:F$452,$F462)</f>
    </oc>
    <nc r="D462"/>
  </rcc>
  <rcc rId="5046" sId="1">
    <oc r="E462" t="inlineStr">
      <is>
        <t>TOTAL</t>
      </is>
    </oc>
    <nc r="E462"/>
  </rcc>
  <rcc rId="5047" sId="1">
    <oc r="F462" t="inlineStr">
      <is>
        <t>IP15/2019
(MySMIS: 
POCA/ 535/1/2 )</t>
      </is>
    </oc>
    <nc r="F462"/>
  </rcc>
  <rcc rId="5048" sId="1">
    <oc r="S462">
      <f>SUMIFS(S$5:S$452,$F$5:$F$452,$F462)</f>
    </oc>
    <nc r="S462"/>
  </rcc>
  <rcc rId="5049" sId="1">
    <oc r="T462">
      <f>SUMIFS(T$5:T$452,$F$5:$F$452,$F462)</f>
    </oc>
    <nc r="T462"/>
  </rcc>
  <rcc rId="5050" sId="1">
    <oc r="U462">
      <f>SUMIFS(U$5:U$452,$F$5:$F$452,$F462)</f>
    </oc>
    <nc r="U462"/>
  </rcc>
  <rcc rId="5051" sId="1">
    <oc r="V462">
      <f>SUMIFS(V$5:V$452,$F$5:$F$452,$F462)</f>
    </oc>
    <nc r="V462"/>
  </rcc>
  <rcc rId="5052" sId="1">
    <oc r="W462">
      <f>SUMIFS(W$5:W$452,$F$5:$F$452,$F462)</f>
    </oc>
    <nc r="W462"/>
  </rcc>
  <rcc rId="5053" sId="1">
    <oc r="X462">
      <f>SUMIFS(X$5:X$452,$F$5:$F$452,$F462)</f>
    </oc>
    <nc r="X462"/>
  </rcc>
  <rcc rId="5054" sId="1">
    <oc r="Y462">
      <f>SUMIFS(Y$5:Y$452,$F$5:$F$452,$F462)</f>
    </oc>
    <nc r="Y462"/>
  </rcc>
  <rcc rId="5055" sId="1">
    <oc r="Z462">
      <f>SUMIFS(Z$5:Z$452,$F$5:$F$452,$F462)</f>
    </oc>
    <nc r="Z462"/>
  </rcc>
  <rcc rId="5056" sId="1">
    <oc r="AA462">
      <f>SUMIFS(AA$5:AA$452,$F$5:$F$452,$F462)</f>
    </oc>
    <nc r="AA462"/>
  </rcc>
  <rcc rId="5057" sId="1">
    <oc r="AB462">
      <f>SUMIFS(AB$5:AB$452,$F$5:$F$452,$F462)</f>
    </oc>
    <nc r="AB462"/>
  </rcc>
  <rcc rId="5058" sId="1">
    <oc r="AC462">
      <f>SUMIFS(AC$5:AC$452,$F$5:$F$452,$F462)</f>
    </oc>
    <nc r="AC462"/>
  </rcc>
  <rcc rId="5059" sId="1">
    <oc r="AD462">
      <f>SUMIFS(AD$5:AD$452,$F$5:$F$452,$F462)</f>
    </oc>
    <nc r="AD462"/>
  </rcc>
  <rcc rId="5060" sId="1">
    <oc r="AE462">
      <f>SUMIFS(AE$5:AE$452,$F$5:$F$452,$F462)</f>
    </oc>
    <nc r="AE462"/>
  </rcc>
  <rcc rId="5061" sId="1">
    <oc r="AF462">
      <f>SUMIFS(AF$5:AF$452,$F$5:$F$452,$F462)</f>
    </oc>
    <nc r="AF462"/>
  </rcc>
  <rcc rId="5062" sId="1">
    <oc r="AG462">
      <f>SUMIFS(AG$5:AG$452,$F$5:$F$452,$F462)</f>
    </oc>
    <nc r="AG462"/>
  </rcc>
  <rcc rId="5063" sId="1">
    <oc r="AJ462">
      <f>SUMIFS(AJ$5:AJ$452,$F$5:$F$452,$F462)</f>
    </oc>
    <nc r="AJ462"/>
  </rcc>
  <rcc rId="5064" sId="1">
    <oc r="AK462">
      <f>SUMIFS(AK$5:AK$452,$F$5:$F$452,$F462)</f>
    </oc>
    <nc r="AK462"/>
  </rcc>
  <rcc rId="5065" sId="1">
    <oc r="D463">
      <f>COUNTIFS(F$5:F$452,$F463)</f>
    </oc>
    <nc r="D463"/>
  </rcc>
  <rcc rId="5066" sId="1">
    <oc r="E463" t="inlineStr">
      <is>
        <t>TOTAL</t>
      </is>
    </oc>
    <nc r="E463"/>
  </rcc>
  <rcc rId="5067" sId="1">
    <oc r="F463" t="inlineStr">
      <is>
        <t>IP 11/2018</t>
      </is>
    </oc>
    <nc r="F463"/>
  </rcc>
  <rcc rId="5068" sId="1">
    <oc r="S463">
      <f>SUMIFS(S$5:S$452,$F$5:$F$452,$F463)</f>
    </oc>
    <nc r="S463"/>
  </rcc>
  <rcc rId="5069" sId="1">
    <oc r="T463">
      <f>SUMIFS(T$5:T$452,$F$5:$F$452,$F463)</f>
    </oc>
    <nc r="T463"/>
  </rcc>
  <rcc rId="5070" sId="1">
    <oc r="U463">
      <f>SUMIFS(U$5:U$452,$F$5:$F$452,$F463)</f>
    </oc>
    <nc r="U463"/>
  </rcc>
  <rcc rId="5071" sId="1">
    <oc r="V463">
      <f>SUMIFS(V$5:V$452,$F$5:$F$452,$F463)</f>
    </oc>
    <nc r="V463"/>
  </rcc>
  <rcc rId="5072" sId="1">
    <oc r="W463">
      <f>SUMIFS(W$5:W$452,$F$5:$F$452,$F463)</f>
    </oc>
    <nc r="W463"/>
  </rcc>
  <rcc rId="5073" sId="1">
    <oc r="X463">
      <f>SUMIFS(X$5:X$452,$F$5:$F$452,$F463)</f>
    </oc>
    <nc r="X463"/>
  </rcc>
  <rcc rId="5074" sId="1">
    <oc r="Y463">
      <f>SUMIFS(Y$5:Y$452,$F$5:$F$452,$F463)</f>
    </oc>
    <nc r="Y463"/>
  </rcc>
  <rcc rId="5075" sId="1">
    <oc r="Z463">
      <f>SUMIFS(Z$5:Z$452,$F$5:$F$452,$F463)</f>
    </oc>
    <nc r="Z463"/>
  </rcc>
  <rcc rId="5076" sId="1">
    <oc r="AA463">
      <f>SUMIFS(AA$5:AA$452,$F$5:$F$452,$F463)</f>
    </oc>
    <nc r="AA463"/>
  </rcc>
  <rcc rId="5077" sId="1">
    <oc r="AB463">
      <f>SUMIFS(AB$5:AB$452,$F$5:$F$452,$F463)</f>
    </oc>
    <nc r="AB463"/>
  </rcc>
  <rcc rId="5078" sId="1">
    <oc r="AC463">
      <f>SUMIFS(AC$5:AC$452,$F$5:$F$452,$F463)</f>
    </oc>
    <nc r="AC463"/>
  </rcc>
  <rcc rId="5079" sId="1">
    <oc r="AD463">
      <f>SUMIFS(AD$5:AD$452,$F$5:$F$452,$F463)</f>
    </oc>
    <nc r="AD463"/>
  </rcc>
  <rcc rId="5080" sId="1">
    <oc r="AE463">
      <f>SUMIFS(AE$5:AE$452,$F$5:$F$452,$F463)</f>
    </oc>
    <nc r="AE463"/>
  </rcc>
  <rcc rId="5081" sId="1">
    <oc r="AF463">
      <f>SUMIFS(AF$5:AF$452,$F$5:$F$452,$F463)</f>
    </oc>
    <nc r="AF463"/>
  </rcc>
  <rcc rId="5082" sId="1">
    <oc r="AG463">
      <f>SUMIFS(AG$5:AG$452,$F$5:$F$452,$F463)</f>
    </oc>
    <nc r="AG463"/>
  </rcc>
  <rcc rId="5083" sId="1">
    <oc r="AJ463">
      <f>SUMIFS(AJ$5:AJ$452,$F$5:$F$452,$F463)</f>
    </oc>
    <nc r="AJ463"/>
  </rcc>
  <rcc rId="5084" sId="1">
    <oc r="AK463">
      <f>SUMIFS(AK$5:AK$452,$F$5:$F$452,$F463)</f>
    </oc>
    <nc r="AK463"/>
  </rcc>
  <rcc rId="5085" sId="1">
    <oc r="D464">
      <f>COUNTIFS(F$5:F$452,$F464)</f>
    </oc>
    <nc r="D464"/>
  </rcc>
  <rcc rId="5086" sId="1">
    <oc r="E464" t="inlineStr">
      <is>
        <t>TOTAL</t>
      </is>
    </oc>
    <nc r="E464"/>
  </rcc>
  <rcc rId="5087" sId="1">
    <oc r="F464" t="inlineStr">
      <is>
        <t>IP 10/2018 (MySMIS: 
POCA/354/1/3/)</t>
      </is>
    </oc>
    <nc r="F464"/>
  </rcc>
  <rcc rId="5088" sId="1">
    <oc r="S464">
      <f>SUMIFS(S$5:S$452,$F$5:$F$452,$F464)</f>
    </oc>
    <nc r="S464"/>
  </rcc>
  <rcc rId="5089" sId="1">
    <oc r="T464">
      <f>SUMIFS(T$5:T$452,$F$5:$F$452,$F464)</f>
    </oc>
    <nc r="T464"/>
  </rcc>
  <rcc rId="5090" sId="1">
    <oc r="U464">
      <f>SUMIFS(U$5:U$452,$F$5:$F$452,$F464)</f>
    </oc>
    <nc r="U464"/>
  </rcc>
  <rcc rId="5091" sId="1">
    <oc r="V464">
      <f>SUMIFS(V$5:V$452,$F$5:$F$452,$F464)</f>
    </oc>
    <nc r="V464"/>
  </rcc>
  <rcc rId="5092" sId="1">
    <oc r="W464">
      <f>SUMIFS(W$5:W$452,$F$5:$F$452,$F464)</f>
    </oc>
    <nc r="W464"/>
  </rcc>
  <rcc rId="5093" sId="1">
    <oc r="X464">
      <f>SUMIFS(X$5:X$452,$F$5:$F$452,$F464)</f>
    </oc>
    <nc r="X464"/>
  </rcc>
  <rcc rId="5094" sId="1">
    <oc r="Y464">
      <f>SUMIFS(Y$5:Y$452,$F$5:$F$452,$F464)</f>
    </oc>
    <nc r="Y464"/>
  </rcc>
  <rcc rId="5095" sId="1">
    <oc r="Z464">
      <f>SUMIFS(Z$5:Z$452,$F$5:$F$452,$F464)</f>
    </oc>
    <nc r="Z464"/>
  </rcc>
  <rcc rId="5096" sId="1">
    <oc r="AA464">
      <f>SUMIFS(AA$5:AA$452,$F$5:$F$452,$F464)</f>
    </oc>
    <nc r="AA464"/>
  </rcc>
  <rcc rId="5097" sId="1">
    <oc r="AB464">
      <f>SUMIFS(AB$5:AB$452,$F$5:$F$452,$F464)</f>
    </oc>
    <nc r="AB464"/>
  </rcc>
  <rcc rId="5098" sId="1">
    <oc r="AC464">
      <f>SUMIFS(AC$5:AC$452,$F$5:$F$452,$F464)</f>
    </oc>
    <nc r="AC464"/>
  </rcc>
  <rcc rId="5099" sId="1">
    <oc r="AD464">
      <f>SUMIFS(AD$5:AD$452,$F$5:$F$452,$F464)</f>
    </oc>
    <nc r="AD464"/>
  </rcc>
  <rcc rId="5100" sId="1">
    <oc r="AE464">
      <f>SUMIFS(AE$5:AE$452,$F$5:$F$452,$F464)</f>
    </oc>
    <nc r="AE464"/>
  </rcc>
  <rcc rId="5101" sId="1">
    <oc r="AF464">
      <f>SUMIFS(AF$5:AF$452,$F$5:$F$452,$F464)</f>
    </oc>
    <nc r="AF464"/>
  </rcc>
  <rcc rId="5102" sId="1">
    <oc r="AG464">
      <f>SUMIFS(AG$5:AG$452,$F$5:$F$452,$F464)</f>
    </oc>
    <nc r="AG464"/>
  </rcc>
  <rcc rId="5103" sId="1">
    <oc r="AJ464">
      <f>SUMIFS(AJ$5:AJ$452,$F$5:$F$452,$F464)</f>
    </oc>
    <nc r="AJ464"/>
  </rcc>
  <rcc rId="5104" sId="1">
    <oc r="AK464">
      <f>SUMIFS(AK$5:AK$452,$F$5:$F$452,$F464)</f>
    </oc>
    <nc r="AK464"/>
  </rcc>
  <rcc rId="5105" sId="1">
    <oc r="D465">
      <f>SUM(D453:D464)</f>
    </oc>
    <nc r="D465"/>
  </rcc>
  <rcc rId="5106" sId="1">
    <oc r="E465" t="inlineStr">
      <is>
        <t>TOTAL AXA 1</t>
      </is>
    </oc>
    <nc r="E465"/>
  </rcc>
  <rcc rId="5107" sId="1">
    <oc r="S465">
      <f>SUM(S453:S464)</f>
    </oc>
    <nc r="S465"/>
  </rcc>
  <rcc rId="5108" sId="1">
    <oc r="T465">
      <f>SUM(T453:T464)</f>
    </oc>
    <nc r="T465"/>
  </rcc>
  <rcc rId="5109" sId="1">
    <oc r="U465">
      <f>SUM(U453:U464)</f>
    </oc>
    <nc r="U465"/>
  </rcc>
  <rcc rId="5110" sId="1">
    <oc r="V465">
      <f>SUM(V453:V464)</f>
    </oc>
    <nc r="V465"/>
  </rcc>
  <rcc rId="5111" sId="1">
    <oc r="W465">
      <f>SUM(W453:W464)</f>
    </oc>
    <nc r="W465"/>
  </rcc>
  <rcc rId="5112" sId="1">
    <oc r="X465">
      <f>SUM(X453:X464)</f>
    </oc>
    <nc r="X465"/>
  </rcc>
  <rcc rId="5113" sId="1">
    <oc r="Y465">
      <f>SUM(Y453:Y464)</f>
    </oc>
    <nc r="Y465"/>
  </rcc>
  <rcc rId="5114" sId="1">
    <oc r="Z465">
      <f>SUM(Z453:Z464)</f>
    </oc>
    <nc r="Z465"/>
  </rcc>
  <rcc rId="5115" sId="1">
    <oc r="AA465">
      <f>SUM(AA453:AA464)</f>
    </oc>
    <nc r="AA465"/>
  </rcc>
  <rcc rId="5116" sId="1">
    <oc r="AB465">
      <f>SUM(AB453:AB464)</f>
    </oc>
    <nc r="AB465"/>
  </rcc>
  <rcc rId="5117" sId="1">
    <oc r="AC465">
      <f>SUM(AC453:AC464)</f>
    </oc>
    <nc r="AC465"/>
  </rcc>
  <rcc rId="5118" sId="1">
    <oc r="AD465">
      <f>SUM(AD453:AD464)</f>
    </oc>
    <nc r="AD465"/>
  </rcc>
  <rcc rId="5119" sId="1">
    <oc r="AE465">
      <f>SUM(AE453:AE464)</f>
    </oc>
    <nc r="AE465"/>
  </rcc>
  <rcc rId="5120" sId="1">
    <oc r="AF465">
      <f>SUM(AF453:AF464)</f>
    </oc>
    <nc r="AF465"/>
  </rcc>
  <rcc rId="5121" sId="1">
    <oc r="AG465">
      <f>SUM(AG453:AG464)</f>
    </oc>
    <nc r="AG465"/>
  </rcc>
  <rcc rId="5122" sId="1">
    <oc r="AH465">
      <f>SUM(AH453:AH464)</f>
    </oc>
    <nc r="AH465"/>
  </rcc>
  <rcc rId="5123" sId="1">
    <oc r="AI465">
      <f>SUM(AI453:AI460)</f>
    </oc>
    <nc r="AI465"/>
  </rcc>
  <rcc rId="5124" sId="1">
    <oc r="AJ465">
      <f>SUM(AJ453:AJ464)</f>
    </oc>
    <nc r="AJ465"/>
  </rcc>
  <rcc rId="5125" sId="1">
    <oc r="AK465">
      <f>SUM(AK453:AK464)</f>
    </oc>
    <nc r="AK465"/>
  </rcc>
  <rcc rId="5126" sId="1">
    <oc r="D466">
      <f>COUNTIFS(F$5:F$452,$F466)</f>
    </oc>
    <nc r="D466"/>
  </rcc>
  <rcc rId="5127" sId="1">
    <oc r="E466" t="inlineStr">
      <is>
        <t>TOTAL</t>
      </is>
    </oc>
    <nc r="E466"/>
  </rcc>
  <rcc rId="5128" sId="1">
    <oc r="F466" t="inlineStr">
      <is>
        <t>IP2/2015</t>
      </is>
    </oc>
    <nc r="F466"/>
  </rcc>
  <rcc rId="5129" sId="1">
    <oc r="S466">
      <f>SUMIFS(S$5:S$452,$F$5:$F$452,$F466)</f>
    </oc>
    <nc r="S466"/>
  </rcc>
  <rcc rId="5130" sId="1">
    <oc r="T466">
      <f>SUMIFS(T$5:T$452,$F$5:$F$452,$F466)</f>
    </oc>
    <nc r="T466"/>
  </rcc>
  <rcc rId="5131" sId="1">
    <oc r="U466">
      <f>SUMIFS(U$5:U$452,$F$5:$F$452,$F466)</f>
    </oc>
    <nc r="U466"/>
  </rcc>
  <rcc rId="5132" sId="1">
    <oc r="V466">
      <f>SUMIFS(V$5:V$452,$F$5:$F$452,$F466)</f>
    </oc>
    <nc r="V466"/>
  </rcc>
  <rcc rId="5133" sId="1">
    <oc r="W466">
      <f>SUMIFS(W$5:W$452,$F$5:$F$452,$F466)</f>
    </oc>
    <nc r="W466"/>
  </rcc>
  <rcc rId="5134" sId="1">
    <oc r="X466">
      <f>SUMIFS(X$5:X$452,$F$5:$F$452,$F466)</f>
    </oc>
    <nc r="X466"/>
  </rcc>
  <rcc rId="5135" sId="1">
    <oc r="Y466">
      <f>SUMIFS(Y$5:Y$452,$F$5:$F$452,$F466)</f>
    </oc>
    <nc r="Y466"/>
  </rcc>
  <rcc rId="5136" sId="1">
    <oc r="Z466">
      <f>SUMIFS(Z$5:Z$452,$F$5:$F$452,$F466)</f>
    </oc>
    <nc r="Z466"/>
  </rcc>
  <rcc rId="5137" sId="1">
    <oc r="AA466">
      <f>SUMIFS(AA$5:AA$452,$F$5:$F$452,$F466)</f>
    </oc>
    <nc r="AA466"/>
  </rcc>
  <rcc rId="5138" sId="1">
    <oc r="AB466">
      <f>SUMIFS(AB$5:AB$452,$F$5:$F$452,$F466)</f>
    </oc>
    <nc r="AB466"/>
  </rcc>
  <rcc rId="5139" sId="1">
    <oc r="AC466">
      <f>SUMIFS(AC$5:AC$452,$F$5:$F$452,$F466)</f>
    </oc>
    <nc r="AC466"/>
  </rcc>
  <rcc rId="5140" sId="1">
    <oc r="AD466">
      <f>SUMIFS(AD$5:AD$452,$F$5:$F$452,$F466)</f>
    </oc>
    <nc r="AD466"/>
  </rcc>
  <rcc rId="5141" sId="1">
    <oc r="AE466">
      <f>SUMIFS(AE$5:AE$452,$F$5:$F$452,$F466)</f>
    </oc>
    <nc r="AE466"/>
  </rcc>
  <rcc rId="5142" sId="1">
    <oc r="AF466">
      <f>SUMIFS(AF$5:AF$452,$F$5:$F$452,$F466)</f>
    </oc>
    <nc r="AF466"/>
  </rcc>
  <rcc rId="5143" sId="1">
    <oc r="AG466">
      <f>SUMIFS(AG$5:AG$452,$F$5:$F$452,$F466)</f>
    </oc>
    <nc r="AG466"/>
  </rcc>
  <rcc rId="5144" sId="1">
    <oc r="AJ466">
      <f>SUMIFS(AJ$5:AJ$452,$F$5:$F$452,$F466)</f>
    </oc>
    <nc r="AJ466"/>
  </rcc>
  <rcc rId="5145" sId="1">
    <oc r="AK466">
      <f>SUMIFS(AK$5:AK$452,$F$5:$F$452,$F466)</f>
    </oc>
    <nc r="AK466"/>
  </rcc>
  <rcc rId="5146" sId="1">
    <oc r="D467">
      <f>COUNTIFS(F$5:F$452,$F467)</f>
    </oc>
    <nc r="D467"/>
  </rcc>
  <rcc rId="5147" sId="1">
    <oc r="E467" t="inlineStr">
      <is>
        <t xml:space="preserve">TOTAL </t>
      </is>
    </oc>
    <nc r="E467"/>
  </rcc>
  <rcc rId="5148" sId="1">
    <oc r="F467" t="inlineStr">
      <is>
        <t>IP7/2017</t>
      </is>
    </oc>
    <nc r="F467"/>
  </rcc>
  <rcc rId="5149" sId="1">
    <oc r="S467">
      <f>SUMIFS(S$5:S$452,$F$5:$F$452,$F467)</f>
    </oc>
    <nc r="S467"/>
  </rcc>
  <rcc rId="5150" sId="1">
    <oc r="T467">
      <f>SUMIFS(T$5:T$452,$F$5:$F$452,$F467)</f>
    </oc>
    <nc r="T467"/>
  </rcc>
  <rcc rId="5151" sId="1">
    <oc r="U467">
      <f>SUMIFS(U$5:U$452,$F$5:$F$452,$F467)</f>
    </oc>
    <nc r="U467"/>
  </rcc>
  <rcc rId="5152" sId="1">
    <oc r="V467">
      <f>SUMIFS(V$5:V$452,$F$5:$F$452,$F467)</f>
    </oc>
    <nc r="V467"/>
  </rcc>
  <rcc rId="5153" sId="1">
    <oc r="W467">
      <f>SUMIFS(W$5:W$452,$F$5:$F$452,$F467)</f>
    </oc>
    <nc r="W467"/>
  </rcc>
  <rcc rId="5154" sId="1">
    <oc r="X467">
      <f>SUMIFS(X$5:X$452,$F$5:$F$452,$F467)</f>
    </oc>
    <nc r="X467"/>
  </rcc>
  <rcc rId="5155" sId="1">
    <oc r="Y467">
      <f>SUMIFS(Y$5:Y$452,$F$5:$F$452,$F467)</f>
    </oc>
    <nc r="Y467"/>
  </rcc>
  <rcc rId="5156" sId="1">
    <oc r="Z467">
      <f>SUMIFS(Z$5:Z$452,$F$5:$F$452,$F467)</f>
    </oc>
    <nc r="Z467"/>
  </rcc>
  <rcc rId="5157" sId="1">
    <oc r="AA467">
      <f>SUMIFS(AA$5:AA$452,$F$5:$F$452,$F467)</f>
    </oc>
    <nc r="AA467"/>
  </rcc>
  <rcc rId="5158" sId="1">
    <oc r="AB467">
      <f>SUMIFS(AB$5:AB$452,$F$5:$F$452,$F467)</f>
    </oc>
    <nc r="AB467"/>
  </rcc>
  <rcc rId="5159" sId="1">
    <oc r="AC467">
      <f>SUMIFS(AC$5:AC$452,$F$5:$F$452,$F467)</f>
    </oc>
    <nc r="AC467"/>
  </rcc>
  <rcc rId="5160" sId="1">
    <oc r="AD467">
      <f>SUMIFS(AD$5:AD$452,$F$5:$F$452,$F467)</f>
    </oc>
    <nc r="AD467"/>
  </rcc>
  <rcc rId="5161" sId="1">
    <oc r="AE467">
      <f>SUMIFS(AE$5:AE$452,$F$5:$F$452,$F467)</f>
    </oc>
    <nc r="AE467"/>
  </rcc>
  <rcc rId="5162" sId="1">
    <oc r="AF467">
      <f>SUMIFS(AF$5:AF$452,$F$5:$F$452,$F467)</f>
    </oc>
    <nc r="AF467"/>
  </rcc>
  <rcc rId="5163" sId="1">
    <oc r="AG467">
      <f>SUMIFS(AG$5:AG$452,$F$5:$F$452,$F467)</f>
    </oc>
    <nc r="AG467"/>
  </rcc>
  <rcc rId="5164" sId="1">
    <oc r="AJ467">
      <f>SUMIFS(AJ$5:AJ$452,$F$5:$F$452,$F467)</f>
    </oc>
    <nc r="AJ467"/>
  </rcc>
  <rcc rId="5165" sId="1" numFmtId="4">
    <oc r="AK467">
      <v>116391.22</v>
    </oc>
    <nc r="AK467"/>
  </rcc>
  <rcc rId="5166" sId="1">
    <oc r="D468">
      <f>COUNTIFS(F$5:F$452,$F468)</f>
    </oc>
    <nc r="D468"/>
  </rcc>
  <rcc rId="5167" sId="1">
    <oc r="E468" t="inlineStr">
      <is>
        <t xml:space="preserve">TOTAL </t>
      </is>
    </oc>
    <nc r="E468"/>
  </rcc>
  <rcc rId="5168" sId="1">
    <oc r="F468" t="inlineStr">
      <is>
        <t>CP4 more /2017</t>
      </is>
    </oc>
    <nc r="F468"/>
  </rcc>
  <rcc rId="5169" sId="1">
    <oc r="S468">
      <f>SUMIFS(S$5:S$452,$F$5:$F$452,$F468)</f>
    </oc>
    <nc r="S468"/>
  </rcc>
  <rcc rId="5170" sId="1">
    <oc r="T468">
      <f>SUMIFS(T$5:T$452,$F$5:$F$452,$F468)</f>
    </oc>
    <nc r="T468"/>
  </rcc>
  <rcc rId="5171" sId="1">
    <oc r="U468">
      <f>SUMIFS(U$5:U$452,$F$5:$F$452,$F468)</f>
    </oc>
    <nc r="U468"/>
  </rcc>
  <rcc rId="5172" sId="1">
    <oc r="V468">
      <f>SUMIFS(V$5:V$452,$F$5:$F$452,$F468)</f>
    </oc>
    <nc r="V468"/>
  </rcc>
  <rcc rId="5173" sId="1">
    <oc r="W468">
      <f>SUMIFS(W$5:W$452,$F$5:$F$452,$F468)</f>
    </oc>
    <nc r="W468"/>
  </rcc>
  <rcc rId="5174" sId="1">
    <oc r="X468">
      <f>SUMIFS(X$5:X$452,$F$5:$F$452,$F468)</f>
    </oc>
    <nc r="X468"/>
  </rcc>
  <rcc rId="5175" sId="1">
    <oc r="Y468">
      <f>SUMIFS(Y$5:Y$452,$F$5:$F$452,$F468)</f>
    </oc>
    <nc r="Y468"/>
  </rcc>
  <rcc rId="5176" sId="1">
    <oc r="Z468">
      <f>SUMIFS(Z$5:Z$452,$F$5:$F$452,$F468)</f>
    </oc>
    <nc r="Z468"/>
  </rcc>
  <rcc rId="5177" sId="1">
    <oc r="AA468">
      <f>SUMIFS(AA$5:AA$452,$F$5:$F$452,$F468)</f>
    </oc>
    <nc r="AA468"/>
  </rcc>
  <rcc rId="5178" sId="1">
    <oc r="AB468">
      <f>SUMIFS(AB$5:AB$452,$F$5:$F$452,$F468)</f>
    </oc>
    <nc r="AB468"/>
  </rcc>
  <rcc rId="5179" sId="1">
    <oc r="AC468">
      <f>SUMIFS(AC$5:AC$452,$F$5:$F$452,$F468)</f>
    </oc>
    <nc r="AC468"/>
  </rcc>
  <rcc rId="5180" sId="1">
    <oc r="AD468">
      <f>SUMIFS(AD$5:AD$452,$F$5:$F$452,$F468)</f>
    </oc>
    <nc r="AD468"/>
  </rcc>
  <rcc rId="5181" sId="1">
    <oc r="AE468">
      <f>SUMIFS(AE$5:AE$452,$F$5:$F$452,$F468)</f>
    </oc>
    <nc r="AE468"/>
  </rcc>
  <rcc rId="5182" sId="1">
    <oc r="AF468">
      <f>SUMIFS(AF$5:AF$452,$F$5:$F$452,$F468)</f>
    </oc>
    <nc r="AF468"/>
  </rcc>
  <rcc rId="5183" sId="1">
    <oc r="AG468">
      <f>SUMIFS(AG$5:AG$452,$F$5:$F$452,$F468)</f>
    </oc>
    <nc r="AG468"/>
  </rcc>
  <rcc rId="5184" sId="1">
    <oc r="AJ468">
      <f>SUMIFS(AJ$5:AJ$452,$F$5:$F$452,$F468)</f>
    </oc>
    <nc r="AJ468"/>
  </rcc>
  <rcc rId="5185" sId="1">
    <oc r="AK468">
      <f>SUMIFS(AK$5:AK$452,$F$5:$F$452,$F468)</f>
    </oc>
    <nc r="AK468"/>
  </rcc>
  <rcc rId="5186" sId="1">
    <oc r="D469">
      <f>COUNTIFS(F$5:F$452,$F469)</f>
    </oc>
    <nc r="D469"/>
  </rcc>
  <rcc rId="5187" sId="1">
    <oc r="E469" t="inlineStr">
      <is>
        <t xml:space="preserve">TOTAL </t>
      </is>
    </oc>
    <nc r="E469"/>
  </rcc>
  <rcc rId="5188" sId="1">
    <oc r="F469" t="inlineStr">
      <is>
        <t>CP4 less /2017</t>
      </is>
    </oc>
    <nc r="F469"/>
  </rcc>
  <rcc rId="5189" sId="1">
    <oc r="S469">
      <f>SUMIFS(S$5:S$452,$F$5:$F$452,$F469)</f>
    </oc>
    <nc r="S469"/>
  </rcc>
  <rcc rId="5190" sId="1">
    <oc r="T469">
      <f>SUMIFS(T$5:T$452,$F$5:$F$452,$F469)</f>
    </oc>
    <nc r="T469"/>
  </rcc>
  <rcc rId="5191" sId="1">
    <oc r="U469">
      <f>SUMIFS(U$5:U$452,$F$5:$F$452,$F469)</f>
    </oc>
    <nc r="U469"/>
  </rcc>
  <rcc rId="5192" sId="1">
    <oc r="V469">
      <f>SUMIFS(V$5:V$452,$F$5:$F$452,$F469)</f>
    </oc>
    <nc r="V469"/>
  </rcc>
  <rcc rId="5193" sId="1">
    <oc r="W469">
      <f>SUMIFS(W$5:W$452,$F$5:$F$452,$F469)</f>
    </oc>
    <nc r="W469"/>
  </rcc>
  <rcc rId="5194" sId="1">
    <oc r="X469">
      <f>SUMIFS(X$5:X$452,$F$5:$F$452,$F469)</f>
    </oc>
    <nc r="X469"/>
  </rcc>
  <rcc rId="5195" sId="1">
    <oc r="Y469">
      <f>SUMIFS(Y$5:Y$452,$F$5:$F$452,$F469)</f>
    </oc>
    <nc r="Y469"/>
  </rcc>
  <rcc rId="5196" sId="1">
    <oc r="Z469">
      <f>SUMIFS(Z$5:Z$452,$F$5:$F$452,$F469)</f>
    </oc>
    <nc r="Z469"/>
  </rcc>
  <rcc rId="5197" sId="1">
    <oc r="AA469">
      <f>SUMIFS(AA$5:AA$452,$F$5:$F$452,$F469)</f>
    </oc>
    <nc r="AA469"/>
  </rcc>
  <rcc rId="5198" sId="1">
    <oc r="AB469">
      <f>SUMIFS(AB$5:AB$452,$F$5:$F$452,$F469)</f>
    </oc>
    <nc r="AB469"/>
  </rcc>
  <rcc rId="5199" sId="1">
    <oc r="AC469">
      <f>SUMIFS(AC$5:AC$452,$F$5:$F$452,$F469)</f>
    </oc>
    <nc r="AC469"/>
  </rcc>
  <rcc rId="5200" sId="1">
    <oc r="AD469">
      <f>SUMIFS(AD$5:AD$452,$F$5:$F$452,$F469)</f>
    </oc>
    <nc r="AD469"/>
  </rcc>
  <rcc rId="5201" sId="1">
    <oc r="AE469">
      <f>SUMIFS(AE$5:AE$452,$F$5:$F$452,$F469)</f>
    </oc>
    <nc r="AE469"/>
  </rcc>
  <rcc rId="5202" sId="1">
    <oc r="AF469">
      <f>SUMIFS(AF$5:AF$452,$F$5:$F$452,$F469)</f>
    </oc>
    <nc r="AF469"/>
  </rcc>
  <rcc rId="5203" sId="1">
    <oc r="AG469">
      <f>SUMIFS(AG$5:AG$452,$F$5:$F$452,$F469)</f>
    </oc>
    <nc r="AG469"/>
  </rcc>
  <rcc rId="5204" sId="1">
    <oc r="AJ469">
      <f>SUMIFS(AJ$5:AJ$452,$F$5:$F$452,$F469)</f>
    </oc>
    <nc r="AJ469"/>
  </rcc>
  <rcc rId="5205" sId="1">
    <oc r="AK469">
      <f>SUMIFS(AK$5:AK$452,$F$5:$F$452,$F469)</f>
    </oc>
    <nc r="AK469"/>
  </rcc>
  <rcc rId="5206" sId="1">
    <oc r="D470">
      <f>COUNTIFS(F$5:F$452,$F470)</f>
    </oc>
    <nc r="D470"/>
  </rcc>
  <rcc rId="5207" sId="1">
    <oc r="E470" t="inlineStr">
      <is>
        <t>TOTAL</t>
      </is>
    </oc>
    <nc r="E470"/>
  </rcc>
  <rcc rId="5208" sId="1">
    <oc r="F470" t="inlineStr">
      <is>
        <t>CP6 less /2017</t>
      </is>
    </oc>
    <nc r="F470"/>
  </rcc>
  <rcc rId="5209" sId="1">
    <oc r="S470">
      <f>SUMIFS(S$5:S$452,$F$5:$F$452,$F470)</f>
    </oc>
    <nc r="S470"/>
  </rcc>
  <rcc rId="5210" sId="1">
    <oc r="T470">
      <f>SUMIFS(T$5:T$452,$F$5:$F$452,$F470)</f>
    </oc>
    <nc r="T470"/>
  </rcc>
  <rcc rId="5211" sId="1">
    <oc r="U470">
      <f>SUMIFS(U$5:U$452,$F$5:$F$452,$F470)</f>
    </oc>
    <nc r="U470"/>
  </rcc>
  <rcc rId="5212" sId="1">
    <oc r="V470">
      <f>SUMIFS(V$5:V$452,$F$5:$F$452,$F470)</f>
    </oc>
    <nc r="V470"/>
  </rcc>
  <rcc rId="5213" sId="1">
    <oc r="W470">
      <f>SUMIFS(W$5:W$452,$F$5:$F$452,$F470)</f>
    </oc>
    <nc r="W470"/>
  </rcc>
  <rcc rId="5214" sId="1">
    <oc r="X470">
      <f>SUMIFS(X$5:X$452,$F$5:$F$452,$F470)</f>
    </oc>
    <nc r="X470"/>
  </rcc>
  <rcc rId="5215" sId="1">
    <oc r="Y470">
      <f>SUMIFS(Y$5:Y$452,$F$5:$F$452,$F470)</f>
    </oc>
    <nc r="Y470"/>
  </rcc>
  <rcc rId="5216" sId="1">
    <oc r="Z470">
      <f>SUMIFS(Z$5:Z$452,$F$5:$F$452,$F470)</f>
    </oc>
    <nc r="Z470"/>
  </rcc>
  <rcc rId="5217" sId="1">
    <oc r="AA470">
      <f>SUMIFS(AA$5:AA$452,$F$5:$F$452,$F470)</f>
    </oc>
    <nc r="AA470"/>
  </rcc>
  <rcc rId="5218" sId="1">
    <oc r="AB470">
      <f>SUMIFS(AB$5:AB$452,$F$5:$F$452,$F470)</f>
    </oc>
    <nc r="AB470"/>
  </rcc>
  <rcc rId="5219" sId="1">
    <oc r="AC470">
      <f>SUMIFS(AC$5:AC$452,$F$5:$F$452,$F470)</f>
    </oc>
    <nc r="AC470"/>
  </rcc>
  <rcc rId="5220" sId="1">
    <oc r="AD470">
      <f>SUMIFS(AD$5:AD$452,$F$5:$F$452,$F470)</f>
    </oc>
    <nc r="AD470"/>
  </rcc>
  <rcc rId="5221" sId="1">
    <oc r="AE470">
      <f>SUMIFS(AE$5:AE$452,$F$5:$F$452,$F470)</f>
    </oc>
    <nc r="AE470"/>
  </rcc>
  <rcc rId="5222" sId="1">
    <oc r="AF470">
      <f>SUMIFS(AF$5:AF$452,$F$5:$F$452,$F470)</f>
    </oc>
    <nc r="AF470"/>
  </rcc>
  <rcc rId="5223" sId="1">
    <oc r="AG470">
      <f>SUMIFS(AG$5:AG$452,$F$5:$F$452,$F470)</f>
    </oc>
    <nc r="AG470"/>
  </rcc>
  <rcc rId="5224" sId="1">
    <oc r="AJ470">
      <f>SUMIFS(AJ$5:AJ$452,$F$5:$F$452,$F470)</f>
    </oc>
    <nc r="AJ470"/>
  </rcc>
  <rcc rId="5225" sId="1">
    <oc r="AK470">
      <f>SUMIFS(AK$5:AK$452,$F$5:$F$452,$F470)</f>
    </oc>
    <nc r="AK470"/>
  </rcc>
  <rcc rId="5226" sId="1">
    <oc r="D471">
      <f>COUNTIFS(F$5:F$452,$F471)</f>
    </oc>
    <nc r="D471"/>
  </rcc>
  <rcc rId="5227" sId="1">
    <oc r="E471" t="inlineStr">
      <is>
        <t>TOTAL</t>
      </is>
    </oc>
    <nc r="E471"/>
  </rcc>
  <rcc rId="5228" sId="1">
    <oc r="F471" t="inlineStr">
      <is>
        <t>CP6 more /2017</t>
      </is>
    </oc>
    <nc r="F471"/>
  </rcc>
  <rcc rId="5229" sId="1">
    <oc r="S471">
      <f>SUMIFS(S$5:S$452,$F$5:$F$452,$F471)</f>
    </oc>
    <nc r="S471"/>
  </rcc>
  <rcc rId="5230" sId="1">
    <oc r="T471">
      <f>SUMIFS(T$5:T$452,$F$5:$F$452,$F471)</f>
    </oc>
    <nc r="T471"/>
  </rcc>
  <rcc rId="5231" sId="1">
    <oc r="U471">
      <f>SUMIFS(U$5:U$452,$F$5:$F$452,$F471)</f>
    </oc>
    <nc r="U471"/>
  </rcc>
  <rcc rId="5232" sId="1">
    <oc r="V471">
      <f>SUMIFS(V$5:V$452,$F$5:$F$452,$F471)</f>
    </oc>
    <nc r="V471"/>
  </rcc>
  <rcc rId="5233" sId="1">
    <oc r="W471">
      <f>SUMIFS(W$5:W$452,$F$5:$F$452,$F471)</f>
    </oc>
    <nc r="W471"/>
  </rcc>
  <rcc rId="5234" sId="1">
    <oc r="X471">
      <f>SUMIFS(X$5:X$452,$F$5:$F$452,$F471)</f>
    </oc>
    <nc r="X471"/>
  </rcc>
  <rcc rId="5235" sId="1">
    <oc r="Y471">
      <f>SUMIFS(Y$5:Y$452,$F$5:$F$452,$F471)</f>
    </oc>
    <nc r="Y471"/>
  </rcc>
  <rcc rId="5236" sId="1">
    <oc r="Z471">
      <f>SUMIFS(Z$5:Z$452,$F$5:$F$452,$F471)</f>
    </oc>
    <nc r="Z471"/>
  </rcc>
  <rcc rId="5237" sId="1">
    <oc r="AA471">
      <f>SUMIFS(AA$5:AA$452,$F$5:$F$452,$F471)</f>
    </oc>
    <nc r="AA471"/>
  </rcc>
  <rcc rId="5238" sId="1">
    <oc r="AB471">
      <f>SUMIFS(AB$5:AB$452,$F$5:$F$452,$F471)</f>
    </oc>
    <nc r="AB471"/>
  </rcc>
  <rcc rId="5239" sId="1">
    <oc r="AC471">
      <f>SUMIFS(AC$5:AC$452,$F$5:$F$452,$F471)</f>
    </oc>
    <nc r="AC471"/>
  </rcc>
  <rcc rId="5240" sId="1">
    <oc r="AD471">
      <f>SUMIFS(AD$5:AD$452,$F$5:$F$452,$F471)</f>
    </oc>
    <nc r="AD471"/>
  </rcc>
  <rcc rId="5241" sId="1">
    <oc r="AE471">
      <f>SUMIFS(AE$5:AE$452,$F$5:$F$452,$F471)</f>
    </oc>
    <nc r="AE471"/>
  </rcc>
  <rcc rId="5242" sId="1">
    <oc r="AF471">
      <f>SUMIFS(AF$5:AF$452,$F$5:$F$452,$F471)</f>
    </oc>
    <nc r="AF471"/>
  </rcc>
  <rcc rId="5243" sId="1">
    <oc r="AG471">
      <f>SUMIFS(AG$5:AG$452,$F$5:$F$452,$F471)</f>
    </oc>
    <nc r="AG471"/>
  </rcc>
  <rcc rId="5244" sId="1">
    <oc r="AJ471">
      <f>SUMIFS(AJ$5:AJ$452,$F$5:$F$452,$F471)</f>
    </oc>
    <nc r="AJ471"/>
  </rcc>
  <rcc rId="5245" sId="1">
    <oc r="AK471">
      <f>SUMIFS(AK$5:AK$452,$F$5:$F$452,$F471)</f>
    </oc>
    <nc r="AK471"/>
  </rcc>
  <rcc rId="5246" sId="1">
    <oc r="D472">
      <f>COUNTIFS(F$5:F$452,$F472)</f>
    </oc>
    <nc r="D472"/>
  </rcc>
  <rcc rId="5247" sId="1">
    <oc r="E472" t="inlineStr">
      <is>
        <t>TOTAL</t>
      </is>
    </oc>
    <nc r="E472"/>
  </rcc>
  <rcc rId="5248" sId="1">
    <oc r="F472" t="inlineStr">
      <is>
        <t>CP1 less /2017</t>
      </is>
    </oc>
    <nc r="F472"/>
  </rcc>
  <rcc rId="5249" sId="1">
    <oc r="S472">
      <f>SUMIFS(S$5:S$452,$F$5:$F$452,$F472)</f>
    </oc>
    <nc r="S472"/>
  </rcc>
  <rcc rId="5250" sId="1">
    <oc r="T472">
      <f>SUMIFS(T$5:T$452,$F$5:$F$452,$F472)</f>
    </oc>
    <nc r="T472"/>
  </rcc>
  <rcc rId="5251" sId="1">
    <oc r="U472">
      <f>SUMIFS(U$5:U$452,$F$5:$F$452,$F472)</f>
    </oc>
    <nc r="U472"/>
  </rcc>
  <rcc rId="5252" sId="1">
    <oc r="V472">
      <f>SUMIFS(V$5:V$452,$F$5:$F$452,$F472)</f>
    </oc>
    <nc r="V472"/>
  </rcc>
  <rcc rId="5253" sId="1">
    <oc r="W472">
      <f>SUMIFS(W$5:W$452,$F$5:$F$452,$F472)</f>
    </oc>
    <nc r="W472"/>
  </rcc>
  <rcc rId="5254" sId="1">
    <oc r="X472">
      <f>SUMIFS(X$5:X$452,$F$5:$F$452,$F472)</f>
    </oc>
    <nc r="X472"/>
  </rcc>
  <rcc rId="5255" sId="1">
    <oc r="Y472">
      <f>SUMIFS(Y$5:Y$452,$F$5:$F$452,$F472)</f>
    </oc>
    <nc r="Y472"/>
  </rcc>
  <rcc rId="5256" sId="1">
    <oc r="Z472">
      <f>SUMIFS(Z$5:Z$452,$F$5:$F$452,$F472)</f>
    </oc>
    <nc r="Z472"/>
  </rcc>
  <rcc rId="5257" sId="1">
    <oc r="AA472">
      <f>SUMIFS(AA$5:AA$452,$F$5:$F$452,$F472)</f>
    </oc>
    <nc r="AA472"/>
  </rcc>
  <rcc rId="5258" sId="1">
    <oc r="AB472">
      <f>SUMIFS(AB$5:AB$452,$F$5:$F$452,$F472)</f>
    </oc>
    <nc r="AB472"/>
  </rcc>
  <rcc rId="5259" sId="1">
    <oc r="AC472">
      <f>SUMIFS(AC$5:AC$452,$F$5:$F$452,$F472)</f>
    </oc>
    <nc r="AC472"/>
  </rcc>
  <rcc rId="5260" sId="1">
    <oc r="AD472">
      <f>SUMIFS(AD$5:AD$452,$F$5:$F$452,$F472)</f>
    </oc>
    <nc r="AD472"/>
  </rcc>
  <rcc rId="5261" sId="1">
    <oc r="AE472">
      <f>SUMIFS(AE$5:AE$452,$F$5:$F$452,$F472)</f>
    </oc>
    <nc r="AE472"/>
  </rcc>
  <rcc rId="5262" sId="1">
    <oc r="AF472">
      <f>SUMIFS(AF$5:AF$452,$F$5:$F$452,$F472)</f>
    </oc>
    <nc r="AF472"/>
  </rcc>
  <rcc rId="5263" sId="1">
    <oc r="AG472">
      <f>SUMIFS(AG$5:AG$452,$F$5:$F$452,$F472)</f>
    </oc>
    <nc r="AG472"/>
  </rcc>
  <rcc rId="5264" sId="1">
    <oc r="AJ472">
      <f>SUMIFS(AJ$5:AJ$452,$F$5:$F$452,$F472)</f>
    </oc>
    <nc r="AJ472"/>
  </rcc>
  <rcc rId="5265" sId="1">
    <oc r="AK472">
      <f>SUMIFS(AK$5:AK$452,$F$5:$F$452,$F472)</f>
    </oc>
    <nc r="AK472"/>
  </rcc>
  <rcc rId="5266" sId="1">
    <oc r="D473">
      <f>COUNTIFS(F$5:F$452,$F473)</f>
    </oc>
    <nc r="D473"/>
  </rcc>
  <rcc rId="5267" sId="1">
    <oc r="E473" t="inlineStr">
      <is>
        <t>TOTAL</t>
      </is>
    </oc>
    <nc r="E473"/>
  </rcc>
  <rcc rId="5268" sId="1">
    <oc r="F473" t="inlineStr">
      <is>
        <t>CP1 more /2017</t>
      </is>
    </oc>
    <nc r="F473"/>
  </rcc>
  <rcc rId="5269" sId="1">
    <oc r="S473">
      <f>SUMIFS(S$5:S$452,$F$5:$F$452,$F473)</f>
    </oc>
    <nc r="S473"/>
  </rcc>
  <rcc rId="5270" sId="1">
    <oc r="T473">
      <f>SUMIFS(T$5:T$452,$F$5:$F$452,$F473)</f>
    </oc>
    <nc r="T473"/>
  </rcc>
  <rcc rId="5271" sId="1">
    <oc r="U473">
      <f>SUMIFS(U$5:U$452,$F$5:$F$452,$F473)</f>
    </oc>
    <nc r="U473"/>
  </rcc>
  <rcc rId="5272" sId="1">
    <oc r="V473">
      <f>SUMIFS(V$5:V$452,$F$5:$F$452,$F473)</f>
    </oc>
    <nc r="V473"/>
  </rcc>
  <rcc rId="5273" sId="1">
    <oc r="W473">
      <f>SUMIFS(W$5:W$452,$F$5:$F$452,$F473)</f>
    </oc>
    <nc r="W473"/>
  </rcc>
  <rcc rId="5274" sId="1">
    <oc r="X473">
      <f>SUMIFS(X$5:X$452,$F$5:$F$452,$F473)</f>
    </oc>
    <nc r="X473"/>
  </rcc>
  <rcc rId="5275" sId="1">
    <oc r="Y473">
      <f>SUMIFS(Y$5:Y$452,$F$5:$F$452,$F473)</f>
    </oc>
    <nc r="Y473"/>
  </rcc>
  <rcc rId="5276" sId="1">
    <oc r="Z473">
      <f>SUMIFS(Z$5:Z$452,$F$5:$F$452,$F473)</f>
    </oc>
    <nc r="Z473"/>
  </rcc>
  <rcc rId="5277" sId="1">
    <oc r="AA473">
      <f>SUMIFS(AA$5:AA$452,$F$5:$F$452,$F473)</f>
    </oc>
    <nc r="AA473"/>
  </rcc>
  <rcc rId="5278" sId="1">
    <oc r="AB473">
      <f>SUMIFS(AB$5:AB$452,$F$5:$F$452,$F473)</f>
    </oc>
    <nc r="AB473"/>
  </rcc>
  <rcc rId="5279" sId="1">
    <oc r="AC473">
      <f>SUMIFS(AC$5:AC$452,$F$5:$F$452,$F473)</f>
    </oc>
    <nc r="AC473"/>
  </rcc>
  <rcc rId="5280" sId="1">
    <oc r="AD473">
      <f>SUMIFS(AD$5:AD$452,$F$5:$F$452,$F473)</f>
    </oc>
    <nc r="AD473"/>
  </rcc>
  <rcc rId="5281" sId="1">
    <oc r="AE473">
      <f>SUMIFS(AE$5:AE$452,$F$5:$F$452,$F473)</f>
    </oc>
    <nc r="AE473"/>
  </rcc>
  <rcc rId="5282" sId="1">
    <oc r="AF473">
      <f>SUMIFS(AF$5:AF$452,$F$5:$F$452,$F473)</f>
    </oc>
    <nc r="AF473"/>
  </rcc>
  <rcc rId="5283" sId="1">
    <oc r="AG473">
      <f>SUMIFS(AG$5:AG$452,$F$5:$F$452,$F473)</f>
    </oc>
    <nc r="AG473"/>
  </rcc>
  <rcc rId="5284" sId="1">
    <oc r="AJ473">
      <f>SUMIFS(AJ$5:AJ$452,$F$5:$F$452,$F473)</f>
    </oc>
    <nc r="AJ473"/>
  </rcc>
  <rcc rId="5285" sId="1">
    <oc r="AK473">
      <f>SUMIFS(AK$5:AK$452,$F$5:$F$452,$F473)</f>
    </oc>
    <nc r="AK473"/>
  </rcc>
  <rcc rId="5286" sId="1">
    <oc r="D474">
      <f>COUNTIFS(F$5:F$452,$F474)</f>
    </oc>
    <nc r="D474"/>
  </rcc>
  <rcc rId="5287" sId="1">
    <oc r="E474" t="inlineStr">
      <is>
        <t>TOTAL</t>
      </is>
    </oc>
    <nc r="E474"/>
  </rcc>
  <rcc rId="5288" sId="1">
    <oc r="F474" t="inlineStr">
      <is>
        <t>CP8 less /2018</t>
      </is>
    </oc>
    <nc r="F474"/>
  </rcc>
  <rcc rId="5289" sId="1">
    <oc r="S474">
      <f>SUMIFS(S$5:S$452,$F$5:$F$452,$F474)</f>
    </oc>
    <nc r="S474"/>
  </rcc>
  <rcc rId="5290" sId="1">
    <oc r="T474">
      <f>SUMIFS(T$5:T$452,$F$5:$F$452,$F474)</f>
    </oc>
    <nc r="T474"/>
  </rcc>
  <rcc rId="5291" sId="1">
    <oc r="U474">
      <f>SUMIFS(U$5:U$452,$F$5:$F$452,$F474)</f>
    </oc>
    <nc r="U474"/>
  </rcc>
  <rcc rId="5292" sId="1">
    <oc r="V474">
      <f>SUMIFS(V$5:V$452,$F$5:$F$452,$F474)</f>
    </oc>
    <nc r="V474"/>
  </rcc>
  <rcc rId="5293" sId="1">
    <oc r="W474">
      <f>SUMIFS(W$5:W$452,$F$5:$F$452,$F474)</f>
    </oc>
    <nc r="W474"/>
  </rcc>
  <rcc rId="5294" sId="1">
    <oc r="X474">
      <f>SUMIFS(X$5:X$452,$F$5:$F$452,$F474)</f>
    </oc>
    <nc r="X474"/>
  </rcc>
  <rcc rId="5295" sId="1">
    <oc r="Y474">
      <f>SUMIFS(Y$5:Y$452,$F$5:$F$452,$F474)</f>
    </oc>
    <nc r="Y474"/>
  </rcc>
  <rcc rId="5296" sId="1">
    <oc r="Z474">
      <f>SUMIFS(Z$5:Z$452,$F$5:$F$452,$F474)</f>
    </oc>
    <nc r="Z474"/>
  </rcc>
  <rcc rId="5297" sId="1">
    <oc r="AA474">
      <f>SUMIFS(AA$5:AA$452,$F$5:$F$452,$F474)</f>
    </oc>
    <nc r="AA474"/>
  </rcc>
  <rcc rId="5298" sId="1">
    <oc r="AB474">
      <f>SUMIFS(AB$5:AB$452,$F$5:$F$452,$F474)</f>
    </oc>
    <nc r="AB474"/>
  </rcc>
  <rcc rId="5299" sId="1">
    <oc r="AC474">
      <f>SUMIFS(AC$5:AC$452,$F$5:$F$452,$F474)</f>
    </oc>
    <nc r="AC474"/>
  </rcc>
  <rcc rId="5300" sId="1">
    <oc r="AD474">
      <f>SUMIFS(AD$5:AD$452,$F$5:$F$452,$F474)</f>
    </oc>
    <nc r="AD474"/>
  </rcc>
  <rcc rId="5301" sId="1">
    <oc r="AE474">
      <f>SUMIFS(AE$5:AE$452,$F$5:$F$452,$F474)</f>
    </oc>
    <nc r="AE474"/>
  </rcc>
  <rcc rId="5302" sId="1">
    <oc r="AF474">
      <f>SUMIFS(AF$5:AF$452,$F$5:$F$452,$F474)</f>
    </oc>
    <nc r="AF474"/>
  </rcc>
  <rcc rId="5303" sId="1">
    <oc r="AG474">
      <f>SUMIFS(AG$5:AG$452,$F$5:$F$452,$F474)</f>
    </oc>
    <nc r="AG474"/>
  </rcc>
  <rcc rId="5304" sId="1">
    <oc r="AJ474">
      <f>SUMIFS(AJ$5:AJ$452,$F$5:$F$452,$F474)</f>
    </oc>
    <nc r="AJ474"/>
  </rcc>
  <rcc rId="5305" sId="1">
    <oc r="AK474">
      <f>SUMIFS(AK$5:AK$452,$F$5:$F$452,$F474)</f>
    </oc>
    <nc r="AK474"/>
  </rcc>
  <rcc rId="5306" sId="1">
    <oc r="D475">
      <f>COUNTIFS(F$5:F$452,$F475)</f>
    </oc>
    <nc r="D475"/>
  </rcc>
  <rcc rId="5307" sId="1">
    <oc r="E475" t="inlineStr">
      <is>
        <t>TOTAL</t>
      </is>
    </oc>
    <nc r="E475"/>
  </rcc>
  <rcc rId="5308" sId="1">
    <oc r="F475" t="inlineStr">
      <is>
        <t>CP10 less /2018</t>
      </is>
    </oc>
    <nc r="F475"/>
  </rcc>
  <rcc rId="5309" sId="1">
    <oc r="S475">
      <f>SUMIFS(S$5:S$452,$F$5:$F$452,$F475)</f>
    </oc>
    <nc r="S475"/>
  </rcc>
  <rcc rId="5310" sId="1">
    <oc r="T475">
      <f>SUMIFS(T$5:T$452,$F$5:$F$452,$F475)</f>
    </oc>
    <nc r="T475"/>
  </rcc>
  <rcc rId="5311" sId="1">
    <oc r="U475">
      <f>SUMIFS(U$5:U$452,$F$5:$F$452,$F475)</f>
    </oc>
    <nc r="U475"/>
  </rcc>
  <rcc rId="5312" sId="1">
    <oc r="V475">
      <f>SUMIFS(V$5:V$452,$F$5:$F$452,$F475)</f>
    </oc>
    <nc r="V475"/>
  </rcc>
  <rcc rId="5313" sId="1">
    <oc r="W475">
      <f>SUMIFS(W$5:W$452,$F$5:$F$452,$F475)</f>
    </oc>
    <nc r="W475"/>
  </rcc>
  <rcc rId="5314" sId="1">
    <oc r="X475">
      <f>SUMIFS(X$5:X$452,$F$5:$F$452,$F475)</f>
    </oc>
    <nc r="X475"/>
  </rcc>
  <rcc rId="5315" sId="1">
    <oc r="Y475">
      <f>SUMIFS(Y$5:Y$452,$F$5:$F$452,$F475)</f>
    </oc>
    <nc r="Y475"/>
  </rcc>
  <rcc rId="5316" sId="1">
    <oc r="Z475">
      <f>SUMIFS(Z$5:Z$452,$F$5:$F$452,$F475)</f>
    </oc>
    <nc r="Z475"/>
  </rcc>
  <rcc rId="5317" sId="1">
    <oc r="AA475">
      <f>SUMIFS(AA$5:AA$452,$F$5:$F$452,$F475)</f>
    </oc>
    <nc r="AA475"/>
  </rcc>
  <rcc rId="5318" sId="1">
    <oc r="AB475">
      <f>SUMIFS(AB$5:AB$452,$F$5:$F$452,$F475)</f>
    </oc>
    <nc r="AB475"/>
  </rcc>
  <rcc rId="5319" sId="1">
    <oc r="AC475">
      <f>SUMIFS(AC$5:AC$452,$F$5:$F$452,$F475)</f>
    </oc>
    <nc r="AC475"/>
  </rcc>
  <rcc rId="5320" sId="1">
    <oc r="AD475">
      <f>SUMIFS(AD$5:AD$452,$F$5:$F$452,$F475)</f>
    </oc>
    <nc r="AD475"/>
  </rcc>
  <rcc rId="5321" sId="1">
    <oc r="AE475">
      <f>SUMIFS(AE$5:AE$452,$F$5:$F$452,$F475)</f>
    </oc>
    <nc r="AE475"/>
  </rcc>
  <rcc rId="5322" sId="1">
    <oc r="AF475">
      <f>SUMIFS(AF$5:AF$452,$F$5:$F$452,$F475)</f>
    </oc>
    <nc r="AF475"/>
  </rcc>
  <rcc rId="5323" sId="1">
    <oc r="AG475">
      <f>SUMIFS(AG$5:AG$452,$F$5:$F$452,$F475)</f>
    </oc>
    <nc r="AG475"/>
  </rcc>
  <rcc rId="5324" sId="1">
    <oc r="AJ475">
      <f>SUMIFS(AJ$5:AJ$452,$F$5:$F$452,$F475)</f>
    </oc>
    <nc r="AJ475"/>
  </rcc>
  <rcc rId="5325" sId="1">
    <oc r="AK475">
      <f>SUMIFS(AK$5:AK$452,$F$5:$F$452,$F475)</f>
    </oc>
    <nc r="AK475"/>
  </rcc>
  <rcc rId="5326" sId="1">
    <oc r="D476">
      <f>COUNTIFS(F$5:F$452,$F476)</f>
    </oc>
    <nc r="D476"/>
  </rcc>
  <rcc rId="5327" sId="1">
    <oc r="E476" t="inlineStr">
      <is>
        <t>TOTAL</t>
      </is>
    </oc>
    <nc r="E476"/>
  </rcc>
  <rcc rId="5328" sId="1">
    <oc r="F476" t="inlineStr">
      <is>
        <t>CP10 more/2018</t>
      </is>
    </oc>
    <nc r="F476"/>
  </rcc>
  <rcc rId="5329" sId="1">
    <oc r="S476">
      <f>SUMIFS(S$5:S$452,$F$5:$F$452,$F476)</f>
    </oc>
    <nc r="S476"/>
  </rcc>
  <rcc rId="5330" sId="1">
    <oc r="T476">
      <f>SUMIFS(T$5:T$452,$F$5:$F$452,$F476)</f>
    </oc>
    <nc r="T476"/>
  </rcc>
  <rcc rId="5331" sId="1">
    <oc r="U476">
      <f>SUMIFS(U$5:U$452,$F$5:$F$452,$F476)</f>
    </oc>
    <nc r="U476"/>
  </rcc>
  <rcc rId="5332" sId="1">
    <oc r="V476">
      <f>SUMIFS(V$5:V$452,$F$5:$F$452,$F476)</f>
    </oc>
    <nc r="V476"/>
  </rcc>
  <rcc rId="5333" sId="1">
    <oc r="W476">
      <f>SUMIFS(W$5:W$452,$F$5:$F$452,$F476)</f>
    </oc>
    <nc r="W476"/>
  </rcc>
  <rcc rId="5334" sId="1">
    <oc r="X476">
      <f>SUMIFS(X$5:X$452,$F$5:$F$452,$F476)</f>
    </oc>
    <nc r="X476"/>
  </rcc>
  <rcc rId="5335" sId="1">
    <oc r="Y476">
      <f>SUMIFS(Y$5:Y$452,$F$5:$F$452,$F476)</f>
    </oc>
    <nc r="Y476"/>
  </rcc>
  <rcc rId="5336" sId="1">
    <oc r="Z476">
      <f>SUMIFS(Z$5:Z$452,$F$5:$F$452,$F476)</f>
    </oc>
    <nc r="Z476"/>
  </rcc>
  <rcc rId="5337" sId="1">
    <oc r="AA476">
      <f>SUMIFS(AA$5:AA$452,$F$5:$F$452,$F476)</f>
    </oc>
    <nc r="AA476"/>
  </rcc>
  <rcc rId="5338" sId="1">
    <oc r="AB476">
      <f>SUMIFS(AB$5:AB$452,$F$5:$F$452,$F476)</f>
    </oc>
    <nc r="AB476"/>
  </rcc>
  <rcc rId="5339" sId="1">
    <oc r="AC476">
      <f>SUMIFS(AC$5:AC$452,$F$5:$F$452,$F476)</f>
    </oc>
    <nc r="AC476"/>
  </rcc>
  <rcc rId="5340" sId="1">
    <oc r="AD476">
      <f>SUMIFS(AD$5:AD$452,$F$5:$F$452,$F476)</f>
    </oc>
    <nc r="AD476"/>
  </rcc>
  <rcc rId="5341" sId="1">
    <oc r="AE476">
      <f>SUMIFS(AE$5:AE$452,$F$5:$F$452,$F476)</f>
    </oc>
    <nc r="AE476"/>
  </rcc>
  <rcc rId="5342" sId="1">
    <oc r="AF476">
      <f>SUMIFS(AF$5:AF$452,$F$5:$F$452,$F476)</f>
    </oc>
    <nc r="AF476"/>
  </rcc>
  <rcc rId="5343" sId="1">
    <oc r="AG476">
      <f>SUMIFS(AG$5:AG$452,$F$5:$F$452,$F476)</f>
    </oc>
    <nc r="AG476"/>
  </rcc>
  <rcc rId="5344" sId="1">
    <oc r="AJ476">
      <f>SUMIFS(AJ$5:AJ$452,$F$5:$F$452,$F476)</f>
    </oc>
    <nc r="AJ476"/>
  </rcc>
  <rcc rId="5345" sId="1">
    <oc r="AK476">
      <f>SUMIFS(AK$5:AK$452,$F$5:$F$452,$F476)</f>
    </oc>
    <nc r="AK476"/>
  </rcc>
  <rcc rId="5346" sId="1">
    <oc r="D477">
      <f>COUNTIFS(F$5:F$452,$F477)</f>
    </oc>
    <nc r="D477"/>
  </rcc>
  <rcc rId="5347" sId="1">
    <oc r="E477" t="inlineStr">
      <is>
        <t>TOTAL</t>
      </is>
    </oc>
    <nc r="E477"/>
  </rcc>
  <rcc rId="5348" sId="1">
    <oc r="F477" t="inlineStr">
      <is>
        <t>CP 5/2017 (MySMIS: POCA/130/2/2)</t>
      </is>
    </oc>
    <nc r="F477"/>
  </rcc>
  <rcc rId="5349" sId="1">
    <oc r="S477">
      <f>SUMIFS(S$5:S$452,$F$5:$F$452,$F477)</f>
    </oc>
    <nc r="S477"/>
  </rcc>
  <rcc rId="5350" sId="1">
    <oc r="T477">
      <f>SUMIFS(T$5:T$452,$F$5:$F$452,$F477)</f>
    </oc>
    <nc r="T477"/>
  </rcc>
  <rcc rId="5351" sId="1">
    <oc r="U477">
      <f>SUMIFS(U$5:U$452,$F$5:$F$452,$F477)</f>
    </oc>
    <nc r="U477"/>
  </rcc>
  <rcc rId="5352" sId="1">
    <oc r="V477">
      <f>SUMIFS(V$5:V$452,$F$5:$F$452,$F477)</f>
    </oc>
    <nc r="V477"/>
  </rcc>
  <rcc rId="5353" sId="1">
    <oc r="W477">
      <f>SUMIFS(W$5:W$452,$F$5:$F$452,$F477)</f>
    </oc>
    <nc r="W477"/>
  </rcc>
  <rcc rId="5354" sId="1">
    <oc r="X477">
      <f>SUMIFS(X$5:X$452,$F$5:$F$452,$F477)</f>
    </oc>
    <nc r="X477"/>
  </rcc>
  <rcc rId="5355" sId="1">
    <oc r="Y477">
      <f>SUMIFS(Y$5:Y$452,$F$5:$F$452,$F477)</f>
    </oc>
    <nc r="Y477"/>
  </rcc>
  <rcc rId="5356" sId="1">
    <oc r="Z477">
      <f>SUMIFS(Z$5:Z$452,$F$5:$F$452,$F477)</f>
    </oc>
    <nc r="Z477"/>
  </rcc>
  <rcc rId="5357" sId="1">
    <oc r="AA477">
      <f>SUMIFS(AA$5:AA$452,$F$5:$F$452,$F477)</f>
    </oc>
    <nc r="AA477"/>
  </rcc>
  <rcc rId="5358" sId="1">
    <oc r="AB477">
      <f>SUMIFS(AB$5:AB$452,$F$5:$F$452,$F477)</f>
    </oc>
    <nc r="AB477"/>
  </rcc>
  <rcc rId="5359" sId="1">
    <oc r="AC477">
      <f>SUMIFS(AC$5:AC$452,$F$5:$F$452,$F477)</f>
    </oc>
    <nc r="AC477"/>
  </rcc>
  <rcc rId="5360" sId="1">
    <oc r="AD477">
      <f>SUMIFS(AD$5:AD$452,$F$5:$F$452,$F477)</f>
    </oc>
    <nc r="AD477"/>
  </rcc>
  <rcc rId="5361" sId="1">
    <oc r="AE477">
      <f>SUMIFS(AE$5:AE$452,$F$5:$F$452,$F477)</f>
    </oc>
    <nc r="AE477"/>
  </rcc>
  <rcc rId="5362" sId="1">
    <oc r="AF477">
      <f>SUMIFS(AF$5:AF$452,$F$5:$F$452,$F477)</f>
    </oc>
    <nc r="AF477"/>
  </rcc>
  <rcc rId="5363" sId="1">
    <oc r="AG477">
      <f>SUMIFS(AG$5:AG$452,$F$5:$F$452,$F477)</f>
    </oc>
    <nc r="AG477"/>
  </rcc>
  <rcc rId="5364" sId="1">
    <oc r="AJ477">
      <f>SUMIFS(AJ$5:AJ$452,$F$5:$F$452,$F477)</f>
    </oc>
    <nc r="AJ477"/>
  </rcc>
  <rcc rId="5365" sId="1">
    <oc r="AK477">
      <f>SUMIFS(AK$5:AK$452,$F$5:$F$452,$F477)</f>
    </oc>
    <nc r="AK477"/>
  </rcc>
  <rcc rId="5366" sId="1">
    <oc r="D478">
      <f>COUNTIFS(F$5:F$452,$F478)</f>
    </oc>
    <nc r="D478"/>
  </rcc>
  <rcc rId="5367" sId="1">
    <oc r="E478" t="inlineStr">
      <is>
        <t>TOTAL</t>
      </is>
    </oc>
    <nc r="E478"/>
  </rcc>
  <rcc rId="5368" sId="1">
    <oc r="F478" t="inlineStr">
      <is>
        <t>CP3/2017 (MySMIS: POCA/113/2/3)</t>
      </is>
    </oc>
    <nc r="F478"/>
  </rcc>
  <rcc rId="5369" sId="1">
    <oc r="S478">
      <f>SUMIFS(S$5:S$452,$F$5:$F$452,$F478)</f>
    </oc>
    <nc r="S478"/>
  </rcc>
  <rcc rId="5370" sId="1">
    <oc r="T478">
      <f>SUMIFS(T$5:T$452,$F$5:$F$452,$F478)</f>
    </oc>
    <nc r="T478"/>
  </rcc>
  <rcc rId="5371" sId="1">
    <oc r="U478">
      <f>SUMIFS(U$5:U$452,$F$5:$F$452,$F478)</f>
    </oc>
    <nc r="U478"/>
  </rcc>
  <rcc rId="5372" sId="1">
    <oc r="V478">
      <f>SUMIFS(V$5:V$452,$F$5:$F$452,$F478)</f>
    </oc>
    <nc r="V478"/>
  </rcc>
  <rcc rId="5373" sId="1">
    <oc r="W478">
      <f>SUMIFS(W$5:W$452,$F$5:$F$452,$F478)</f>
    </oc>
    <nc r="W478"/>
  </rcc>
  <rcc rId="5374" sId="1">
    <oc r="X478">
      <f>SUMIFS(X$5:X$452,$F$5:$F$452,$F478)</f>
    </oc>
    <nc r="X478"/>
  </rcc>
  <rcc rId="5375" sId="1">
    <oc r="Y478">
      <f>SUMIFS(Y$5:Y$452,$F$5:$F$452,$F478)</f>
    </oc>
    <nc r="Y478"/>
  </rcc>
  <rcc rId="5376" sId="1">
    <oc r="Z478">
      <f>SUMIFS(Z$5:Z$452,$F$5:$F$452,$F478)</f>
    </oc>
    <nc r="Z478"/>
  </rcc>
  <rcc rId="5377" sId="1">
    <oc r="AA478">
      <f>SUMIFS(AA$5:AA$452,$F$5:$F$452,$F478)</f>
    </oc>
    <nc r="AA478"/>
  </rcc>
  <rcc rId="5378" sId="1">
    <oc r="AB478">
      <f>SUMIFS(AB$5:AB$452,$F$5:$F$452,$F478)</f>
    </oc>
    <nc r="AB478"/>
  </rcc>
  <rcc rId="5379" sId="1">
    <oc r="AC478">
      <f>SUMIFS(AC$5:AC$452,$F$5:$F$452,$F478)</f>
    </oc>
    <nc r="AC478"/>
  </rcc>
  <rcc rId="5380" sId="1">
    <oc r="AD478">
      <f>SUMIFS(AD$5:AD$452,$F$5:$F$452,$F478)</f>
    </oc>
    <nc r="AD478"/>
  </rcc>
  <rcc rId="5381" sId="1">
    <oc r="AE478">
      <f>SUMIFS(AE$5:AE$452,$F$5:$F$452,$F478)</f>
    </oc>
    <nc r="AE478"/>
  </rcc>
  <rcc rId="5382" sId="1">
    <oc r="AF478">
      <f>SUMIFS(AF$5:AF$452,$F$5:$F$452,$F478)</f>
    </oc>
    <nc r="AF478"/>
  </rcc>
  <rcc rId="5383" sId="1">
    <oc r="AG478">
      <f>SUMIFS(AG$5:AG$452,$F$5:$F$452,$F478)</f>
    </oc>
    <nc r="AG478"/>
  </rcc>
  <rcc rId="5384" sId="1">
    <oc r="AJ478">
      <f>SUMIFS(AJ$5:AJ$452,$F$5:$F$452,$F478)</f>
    </oc>
    <nc r="AJ478"/>
  </rcc>
  <rcc rId="5385" sId="1">
    <oc r="AK478">
      <f>SUMIFS(AK$5:AK$452,$F$5:$F$452,$F478)</f>
    </oc>
    <nc r="AK478"/>
  </rcc>
  <rcc rId="5386" sId="1">
    <oc r="D479">
      <f>COUNTIFS(F$5:F$452,$F479)</f>
    </oc>
    <nc r="D479"/>
  </rcc>
  <rcc rId="5387" sId="1">
    <oc r="E479" t="inlineStr">
      <is>
        <t>TOTAL</t>
      </is>
    </oc>
    <nc r="E479"/>
  </rcc>
  <rcc rId="5388" sId="1">
    <oc r="F479" t="inlineStr">
      <is>
        <t>CP 11/2018</t>
      </is>
    </oc>
    <nc r="F479"/>
  </rcc>
  <rcc rId="5389" sId="1">
    <oc r="S479">
      <f>SUMIFS(S$5:S$452,$F$5:$F$452,$F479)</f>
    </oc>
    <nc r="S479"/>
  </rcc>
  <rcc rId="5390" sId="1">
    <oc r="T479">
      <f>SUMIFS(T$5:T$452,$F$5:$F$452,$F479)</f>
    </oc>
    <nc r="T479"/>
  </rcc>
  <rcc rId="5391" sId="1">
    <oc r="U479">
      <f>SUMIFS(U$5:U$452,$F$5:$F$452,$F479)</f>
    </oc>
    <nc r="U479"/>
  </rcc>
  <rcc rId="5392" sId="1">
    <oc r="V479">
      <f>SUMIFS(V$5:V$452,$F$5:$F$452,$F479)</f>
    </oc>
    <nc r="V479"/>
  </rcc>
  <rcc rId="5393" sId="1">
    <oc r="W479">
      <f>SUMIFS(W$5:W$452,$F$5:$F$452,$F479)</f>
    </oc>
    <nc r="W479"/>
  </rcc>
  <rcc rId="5394" sId="1">
    <oc r="X479">
      <f>SUMIFS(X$5:X$452,$F$5:$F$452,$F479)</f>
    </oc>
    <nc r="X479"/>
  </rcc>
  <rcc rId="5395" sId="1">
    <oc r="Y479">
      <f>SUMIFS(Y$5:Y$452,$F$5:$F$452,$F479)</f>
    </oc>
    <nc r="Y479"/>
  </rcc>
  <rcc rId="5396" sId="1">
    <oc r="Z479">
      <f>SUMIFS(Z$5:Z$452,$F$5:$F$452,$F479)</f>
    </oc>
    <nc r="Z479"/>
  </rcc>
  <rcc rId="5397" sId="1">
    <oc r="AA479">
      <f>SUMIFS(AA$5:AA$452,$F$5:$F$452,$F479)</f>
    </oc>
    <nc r="AA479"/>
  </rcc>
  <rcc rId="5398" sId="1">
    <oc r="AB479">
      <f>SUMIFS(AB$5:AB$452,$F$5:$F$452,$F479)</f>
    </oc>
    <nc r="AB479"/>
  </rcc>
  <rcc rId="5399" sId="1">
    <oc r="AC479">
      <f>SUMIFS(AC$5:AC$452,$F$5:$F$452,$F479)</f>
    </oc>
    <nc r="AC479"/>
  </rcc>
  <rcc rId="5400" sId="1">
    <oc r="AD479">
      <f>SUMIFS(AD$5:AD$452,$F$5:$F$452,$F479)</f>
    </oc>
    <nc r="AD479"/>
  </rcc>
  <rcc rId="5401" sId="1">
    <oc r="AE479">
      <f>SUMIFS(AE$5:AE$452,$F$5:$F$452,$F479)</f>
    </oc>
    <nc r="AE479"/>
  </rcc>
  <rcc rId="5402" sId="1">
    <oc r="AF479">
      <f>SUMIFS(AF$5:AF$452,$F$5:$F$452,$F479)</f>
    </oc>
    <nc r="AF479"/>
  </rcc>
  <rcc rId="5403" sId="1">
    <oc r="AG479">
      <f>SUMIFS(AG$5:AG$452,$F$5:$F$452,$F479)</f>
    </oc>
    <nc r="AG479"/>
  </rcc>
  <rcc rId="5404" sId="1">
    <oc r="AJ479">
      <f>SUMIFS(AJ$5:AJ$452,$F$5:$F$452,$F479)</f>
    </oc>
    <nc r="AJ479"/>
  </rcc>
  <rcc rId="5405" sId="1">
    <oc r="AK479">
      <f>SUMIFS(AK$5:AK$452,$F$5:$F$452,$F479)</f>
    </oc>
    <nc r="AK479"/>
  </rcc>
  <rcc rId="5406" sId="1">
    <oc r="D480">
      <f>COUNTIFS(F$5:F$452,$F480)</f>
    </oc>
    <nc r="D480"/>
  </rcc>
  <rcc rId="5407" sId="1">
    <oc r="E480" t="inlineStr">
      <is>
        <t>TOTAL</t>
      </is>
    </oc>
    <nc r="E480"/>
  </rcc>
  <rcc rId="5408" sId="1">
    <oc r="F480" t="inlineStr">
      <is>
        <t>CP 12 less/2018</t>
      </is>
    </oc>
    <nc r="F480"/>
  </rcc>
  <rcc rId="5409" sId="1">
    <oc r="S480">
      <f>SUMIFS(S$5:S$452,$F$5:$F$452,$F480)</f>
    </oc>
    <nc r="S480"/>
  </rcc>
  <rcc rId="5410" sId="1">
    <oc r="T480">
      <f>SUMIFS(T$5:T$452,$F$5:$F$452,$F480)</f>
    </oc>
    <nc r="T480"/>
  </rcc>
  <rcc rId="5411" sId="1">
    <oc r="U480">
      <f>SUMIFS(U$5:U$452,$F$5:$F$452,$F480)</f>
    </oc>
    <nc r="U480"/>
  </rcc>
  <rcc rId="5412" sId="1">
    <oc r="V480">
      <f>SUMIFS(V$5:V$452,$F$5:$F$452,$F480)</f>
    </oc>
    <nc r="V480"/>
  </rcc>
  <rcc rId="5413" sId="1">
    <oc r="W480">
      <f>SUMIFS(W$5:W$452,$F$5:$F$452,$F480)</f>
    </oc>
    <nc r="W480"/>
  </rcc>
  <rcc rId="5414" sId="1">
    <oc r="X480">
      <f>SUMIFS(X$5:X$452,$F$5:$F$452,$F480)</f>
    </oc>
    <nc r="X480"/>
  </rcc>
  <rcc rId="5415" sId="1">
    <oc r="Y480">
      <f>SUMIFS(Y$5:Y$452,$F$5:$F$452,$F480)</f>
    </oc>
    <nc r="Y480"/>
  </rcc>
  <rcc rId="5416" sId="1">
    <oc r="Z480">
      <f>SUMIFS(Z$5:Z$452,$F$5:$F$452,$F480)</f>
    </oc>
    <nc r="Z480"/>
  </rcc>
  <rcc rId="5417" sId="1">
    <oc r="AA480">
      <f>SUMIFS(AA$5:AA$452,$F$5:$F$452,$F480)</f>
    </oc>
    <nc r="AA480"/>
  </rcc>
  <rcc rId="5418" sId="1">
    <oc r="AB480">
      <f>SUMIFS(AB$5:AB$452,$F$5:$F$452,$F480)</f>
    </oc>
    <nc r="AB480"/>
  </rcc>
  <rcc rId="5419" sId="1">
    <oc r="AC480">
      <f>SUMIFS(AC$5:AC$452,$F$5:$F$452,$F480)</f>
    </oc>
    <nc r="AC480"/>
  </rcc>
  <rcc rId="5420" sId="1">
    <oc r="AD480">
      <f>SUMIFS(AD$5:AD$452,$F$5:$F$452,$F480)</f>
    </oc>
    <nc r="AD480"/>
  </rcc>
  <rcc rId="5421" sId="1">
    <oc r="AE480">
      <f>SUMIFS(AE$5:AE$452,$F$5:$F$452,$F480)</f>
    </oc>
    <nc r="AE480"/>
  </rcc>
  <rcc rId="5422" sId="1">
    <oc r="AF480">
      <f>SUMIFS(AF$5:AF$452,$F$5:$F$452,$F480)</f>
    </oc>
    <nc r="AF480"/>
  </rcc>
  <rcc rId="5423" sId="1">
    <oc r="AG480">
      <f>SUMIFS(AG$5:AG$452,$F$5:$F$452,$F480)</f>
    </oc>
    <nc r="AG480"/>
  </rcc>
  <rcc rId="5424" sId="1">
    <oc r="AJ480">
      <f>SUMIFS(AJ$5:AJ$452,$F$5:$F$452,$F480)</f>
    </oc>
    <nc r="AJ480"/>
  </rcc>
  <rcc rId="5425" sId="1">
    <oc r="AK480">
      <f>SUMIFS(AK$5:AK$452,$F$5:$F$452,$F480)</f>
    </oc>
    <nc r="AK480"/>
  </rcc>
  <rcc rId="5426" sId="1">
    <oc r="D481">
      <f>COUNTIFS(F$5:F$452,$F481)</f>
    </oc>
    <nc r="D481"/>
  </rcc>
  <rcc rId="5427" sId="1">
    <oc r="E481" t="inlineStr">
      <is>
        <t>TOTAL</t>
      </is>
    </oc>
    <nc r="E481"/>
  </rcc>
  <rcc rId="5428" sId="1">
    <oc r="F481" t="inlineStr">
      <is>
        <t>CP 12 more/2018</t>
      </is>
    </oc>
    <nc r="F481"/>
  </rcc>
  <rcc rId="5429" sId="1">
    <oc r="S481">
      <f>SUMIFS(S$5:S$452,$F$5:$F$452,$F481)</f>
    </oc>
    <nc r="S481"/>
  </rcc>
  <rcc rId="5430" sId="1">
    <oc r="T481">
      <f>SUMIFS(T$5:T$452,$F$5:$F$452,$F481)</f>
    </oc>
    <nc r="T481"/>
  </rcc>
  <rcc rId="5431" sId="1">
    <oc r="U481">
      <f>SUMIFS(U$5:U$452,$F$5:$F$452,$F481)</f>
    </oc>
    <nc r="U481"/>
  </rcc>
  <rcc rId="5432" sId="1">
    <oc r="V481">
      <f>SUMIFS(V$5:V$452,$F$5:$F$452,$F481)</f>
    </oc>
    <nc r="V481"/>
  </rcc>
  <rcc rId="5433" sId="1">
    <oc r="W481">
      <f>SUMIFS(W$5:W$452,$F$5:$F$452,$F481)</f>
    </oc>
    <nc r="W481"/>
  </rcc>
  <rcc rId="5434" sId="1">
    <oc r="X481">
      <f>SUMIFS(X$5:X$452,$F$5:$F$452,$F481)</f>
    </oc>
    <nc r="X481"/>
  </rcc>
  <rcc rId="5435" sId="1">
    <oc r="Y481">
      <f>SUMIFS(Y$5:Y$452,$F$5:$F$452,$F481)</f>
    </oc>
    <nc r="Y481"/>
  </rcc>
  <rcc rId="5436" sId="1">
    <oc r="Z481">
      <f>SUMIFS(Z$5:Z$452,$F$5:$F$452,$F481)</f>
    </oc>
    <nc r="Z481"/>
  </rcc>
  <rcc rId="5437" sId="1">
    <oc r="AA481">
      <f>SUMIFS(AA$5:AA$452,$F$5:$F$452,$F481)</f>
    </oc>
    <nc r="AA481"/>
  </rcc>
  <rcc rId="5438" sId="1">
    <oc r="AB481">
      <f>SUMIFS(AB$5:AB$452,$F$5:$F$452,$F481)</f>
    </oc>
    <nc r="AB481"/>
  </rcc>
  <rcc rId="5439" sId="1">
    <oc r="AC481">
      <f>SUMIFS(AC$5:AC$452,$F$5:$F$452,$F481)</f>
    </oc>
    <nc r="AC481"/>
  </rcc>
  <rcc rId="5440" sId="1">
    <oc r="AD481">
      <f>SUMIFS(AD$5:AD$452,$F$5:$F$452,$F481)</f>
    </oc>
    <nc r="AD481"/>
  </rcc>
  <rcc rId="5441" sId="1">
    <oc r="AE481">
      <f>SUMIFS(AE$5:AE$452,$F$5:$F$452,$F481)</f>
    </oc>
    <nc r="AE481"/>
  </rcc>
  <rcc rId="5442" sId="1">
    <oc r="AF481">
      <f>SUMIFS(AF$5:AF$452,$F$5:$F$452,$F481)</f>
    </oc>
    <nc r="AF481"/>
  </rcc>
  <rcc rId="5443" sId="1">
    <oc r="AG481">
      <f>SUMIFS(AG$5:AG$452,$F$5:$F$452,$F481)</f>
    </oc>
    <nc r="AG481"/>
  </rcc>
  <rcc rId="5444" sId="1">
    <oc r="AJ481">
      <f>SUMIFS(AJ$5:AJ$452,$F$5:$F$452,$F481)</f>
    </oc>
    <nc r="AJ481"/>
  </rcc>
  <rcc rId="5445" sId="1">
    <oc r="AK481">
      <f>SUMIFS(AK$5:AK$452,$F$5:$F$452,$F481)</f>
    </oc>
    <nc r="AK481"/>
  </rcc>
  <rcc rId="5446" sId="1">
    <oc r="D482">
      <f>COUNTIFS(F$5:F$452,$F482)</f>
    </oc>
    <nc r="D482"/>
  </rcc>
  <rcc rId="5447" sId="1">
    <oc r="E482" t="inlineStr">
      <is>
        <t xml:space="preserve">TOTAL </t>
      </is>
    </oc>
    <nc r="E482"/>
  </rcc>
  <rcc rId="5448" sId="1">
    <oc r="F482" t="inlineStr">
      <is>
        <t>IP9/2017 (MySMIS:
POCA/131/2/3)</t>
      </is>
    </oc>
    <nc r="F482"/>
  </rcc>
  <rcc rId="5449" sId="1">
    <oc r="S482">
      <f>SUMIFS(S$5:S$452,$F$5:$F$452,$F482)</f>
    </oc>
    <nc r="S482"/>
  </rcc>
  <rcc rId="5450" sId="1">
    <oc r="T482">
      <f>SUMIFS(T$5:T$452,$F$5:$F$452,$F482)</f>
    </oc>
    <nc r="T482"/>
  </rcc>
  <rcc rId="5451" sId="1">
    <oc r="U482">
      <f>SUMIFS(U$5:U$452,$F$5:$F$452,$F482)</f>
    </oc>
    <nc r="U482"/>
  </rcc>
  <rcc rId="5452" sId="1">
    <oc r="V482">
      <f>SUMIFS(V$5:V$452,$F$5:$F$452,$F482)</f>
    </oc>
    <nc r="V482"/>
  </rcc>
  <rcc rId="5453" sId="1">
    <oc r="W482">
      <f>SUMIFS(W$5:W$452,$F$5:$F$452,$F482)</f>
    </oc>
    <nc r="W482"/>
  </rcc>
  <rcc rId="5454" sId="1">
    <oc r="X482">
      <f>SUMIFS(X$5:X$452,$F$5:$F$452,$F482)</f>
    </oc>
    <nc r="X482"/>
  </rcc>
  <rcc rId="5455" sId="1">
    <oc r="Y482">
      <f>SUMIFS(Y$5:Y$452,$F$5:$F$452,$F482)</f>
    </oc>
    <nc r="Y482"/>
  </rcc>
  <rcc rId="5456" sId="1">
    <oc r="Z482">
      <f>SUMIFS(Z$5:Z$452,$F$5:$F$452,$F482)</f>
    </oc>
    <nc r="Z482"/>
  </rcc>
  <rcc rId="5457" sId="1">
    <oc r="AA482">
      <f>SUMIFS(AA$5:AA$452,$F$5:$F$452,$F482)</f>
    </oc>
    <nc r="AA482"/>
  </rcc>
  <rcc rId="5458" sId="1">
    <oc r="AB482">
      <f>SUMIFS(AB$5:AB$452,$F$5:$F$452,$F482)</f>
    </oc>
    <nc r="AB482"/>
  </rcc>
  <rcc rId="5459" sId="1">
    <oc r="AC482">
      <f>SUMIFS(AC$5:AC$452,$F$5:$F$452,$F482)</f>
    </oc>
    <nc r="AC482"/>
  </rcc>
  <rcc rId="5460" sId="1">
    <oc r="AD482">
      <f>SUMIFS(AD$5:AD$452,$F$5:$F$452,$F482)</f>
    </oc>
    <nc r="AD482"/>
  </rcc>
  <rcc rId="5461" sId="1">
    <oc r="AE482">
      <f>SUMIFS(AE$5:AE$452,$F$5:$F$452,$F482)</f>
    </oc>
    <nc r="AE482"/>
  </rcc>
  <rcc rId="5462" sId="1">
    <oc r="AF482">
      <f>SUMIFS(AF$5:AF$452,$F$5:$F$452,$F482)</f>
    </oc>
    <nc r="AF482"/>
  </rcc>
  <rcc rId="5463" sId="1">
    <oc r="AG482">
      <f>SUMIFS(AG$5:AG$452,$F$5:$F$452,$F482)</f>
    </oc>
    <nc r="AG482"/>
  </rcc>
  <rcc rId="5464" sId="1">
    <oc r="AJ482">
      <f>SUMIFS(AJ$5:AJ$452,$F$5:$F$452,$F482)</f>
    </oc>
    <nc r="AJ482"/>
  </rcc>
  <rcc rId="5465" sId="1">
    <oc r="AK482">
      <f>SUMIFS(AK$5:AK$452,$F$5:$F$452,$F482)</f>
    </oc>
    <nc r="AK482"/>
  </rcc>
  <rcc rId="5466" sId="1">
    <oc r="D483">
      <f>SUM(D466:D482)</f>
    </oc>
    <nc r="D483"/>
  </rcc>
  <rcc rId="5467" sId="1">
    <oc r="E483" t="inlineStr">
      <is>
        <t>TOTAL AXA 2</t>
      </is>
    </oc>
    <nc r="E483"/>
  </rcc>
  <rcc rId="5468" sId="1">
    <oc r="S483">
      <f>SUM(S466:S482)</f>
    </oc>
    <nc r="S483"/>
  </rcc>
  <rcc rId="5469" sId="1">
    <oc r="T483">
      <f>SUM(T466:T482)</f>
    </oc>
    <nc r="T483"/>
  </rcc>
  <rcc rId="5470" sId="1">
    <oc r="U483">
      <f>SUM(U466:U482)</f>
    </oc>
    <nc r="U483"/>
  </rcc>
  <rcc rId="5471" sId="1">
    <oc r="V483">
      <f>SUM(V466:V482)</f>
    </oc>
    <nc r="V483"/>
  </rcc>
  <rcc rId="5472" sId="1">
    <oc r="W483">
      <f>SUM(W466:W482)</f>
    </oc>
    <nc r="W483"/>
  </rcc>
  <rcc rId="5473" sId="1">
    <oc r="X483">
      <f>SUM(X466:X482)</f>
    </oc>
    <nc r="X483"/>
  </rcc>
  <rcc rId="5474" sId="1">
    <oc r="Y483">
      <f>SUM(Y466:Y482)</f>
    </oc>
    <nc r="Y483"/>
  </rcc>
  <rcc rId="5475" sId="1">
    <oc r="Z483">
      <f>SUM(Z466:Z482)</f>
    </oc>
    <nc r="Z483"/>
  </rcc>
  <rcc rId="5476" sId="1">
    <oc r="AA483">
      <f>SUM(AA466:AA482)</f>
    </oc>
    <nc r="AA483"/>
  </rcc>
  <rcc rId="5477" sId="1">
    <oc r="AB483">
      <f>SUM(AB466:AB482)</f>
    </oc>
    <nc r="AB483"/>
  </rcc>
  <rcc rId="5478" sId="1">
    <oc r="AC483">
      <f>SUM(AC466:AC482)</f>
    </oc>
    <nc r="AC483"/>
  </rcc>
  <rcc rId="5479" sId="1">
    <oc r="AD483">
      <f>SUM(AD466:AD482)</f>
    </oc>
    <nc r="AD483"/>
  </rcc>
  <rcc rId="5480" sId="1">
    <oc r="AE483">
      <f>SUM(AE466:AE482)</f>
    </oc>
    <nc r="AE483"/>
  </rcc>
  <rcc rId="5481" sId="1">
    <oc r="AF483">
      <f>SUM(AF466:AF482)</f>
    </oc>
    <nc r="AF483"/>
  </rcc>
  <rcc rId="5482" sId="1">
    <oc r="AG483">
      <f>SUM(AG466:AG482)</f>
    </oc>
    <nc r="AG483"/>
  </rcc>
  <rcc rId="5483" sId="1">
    <oc r="AJ483">
      <f>SUM(AJ466:AJ482)</f>
    </oc>
    <nc r="AJ483"/>
  </rcc>
  <rcc rId="5484" sId="1">
    <oc r="AK483">
      <f>SUM(AK466:AK482)</f>
    </oc>
    <nc r="AK483"/>
  </rcc>
  <rcc rId="5485" sId="1">
    <oc r="D484">
      <f>COUNT(C303:C305)</f>
    </oc>
    <nc r="D484"/>
  </rcc>
  <rcc rId="5486" sId="1">
    <oc r="E484" t="inlineStr">
      <is>
        <t>TOTAL AXA 3</t>
      </is>
    </oc>
    <nc r="E484"/>
  </rcc>
  <rcc rId="5487" sId="1">
    <oc r="F484" t="inlineStr">
      <is>
        <t>AT 1/2016</t>
      </is>
    </oc>
    <nc r="F484"/>
  </rcc>
  <rcc rId="5488" sId="1">
    <oc r="S484">
      <f>SUMIFS(S$5:S$452,$F$5:$F$452,$F484)</f>
    </oc>
    <nc r="S484"/>
  </rcc>
  <rcc rId="5489" sId="1">
    <oc r="T484">
      <f>SUMIFS(T$5:T$452,$F$5:$F$452,$F484)</f>
    </oc>
    <nc r="T484"/>
  </rcc>
  <rcc rId="5490" sId="1">
    <oc r="U484">
      <f>SUMIFS(U$5:U$452,$F$5:$F$452,$F484)</f>
    </oc>
    <nc r="U484"/>
  </rcc>
  <rcc rId="5491" sId="1">
    <oc r="V484">
      <f>SUMIFS(V$5:V$452,$F$5:$F$452,$F484)</f>
    </oc>
    <nc r="V484"/>
  </rcc>
  <rcc rId="5492" sId="1">
    <oc r="W484">
      <f>SUMIFS(W$5:W$452,$F$5:$F$452,$F484)</f>
    </oc>
    <nc r="W484"/>
  </rcc>
  <rcc rId="5493" sId="1">
    <oc r="X484">
      <f>SUMIFS(X$5:X$452,$F$5:$F$452,$F484)</f>
    </oc>
    <nc r="X484"/>
  </rcc>
  <rcc rId="5494" sId="1">
    <oc r="Y484">
      <f>SUMIFS(Y$257:Y$452,$F$257:$F$452,$F484)</f>
    </oc>
    <nc r="Y484"/>
  </rcc>
  <rcc rId="5495" sId="1">
    <oc r="Z484">
      <f>SUMIFS(Z$257:Z$452,$F$257:$F$452,$F484)</f>
    </oc>
    <nc r="Z484"/>
  </rcc>
  <rcc rId="5496" sId="1">
    <oc r="AA484">
      <f>SUMIFS(AA$257:AA$452,$F$257:$F$452,$F484)</f>
    </oc>
    <nc r="AA484"/>
  </rcc>
  <rcc rId="5497" sId="1">
    <oc r="AB484">
      <f>SUMIFS(AB$5:AB$452,$F$5:$F$452,$F484)</f>
    </oc>
    <nc r="AB484"/>
  </rcc>
  <rcc rId="5498" sId="1">
    <oc r="AC484">
      <f>SUMIFS(AC$5:AC$452,$F$5:$F$452,$F484)</f>
    </oc>
    <nc r="AC484"/>
  </rcc>
  <rcc rId="5499" sId="1">
    <oc r="AD484">
      <f>SUMIFS(AD$5:AD$452,$F$5:$F$452,$F484)</f>
    </oc>
    <nc r="AD484"/>
  </rcc>
  <rcc rId="5500" sId="1">
    <oc r="AE484">
      <f>SUMIFS(AE$5:AE$452,$F$5:$F$452,$F484)</f>
    </oc>
    <nc r="AE484"/>
  </rcc>
  <rcc rId="5501" sId="1">
    <oc r="AF484">
      <f>SUMIFS(AF$5:AF$452,$F$5:$F$452,$F484)</f>
    </oc>
    <nc r="AF484"/>
  </rcc>
  <rcc rId="5502" sId="1">
    <oc r="AG484">
      <f>SUMIFS(AG$5:AG$452,$F$5:$F$452,$F484)</f>
    </oc>
    <nc r="AG484"/>
  </rcc>
  <rcc rId="5503" sId="1">
    <oc r="AJ484">
      <f>SUMIFS(AJ$5:AJ$452,$F$5:$F$452,$F484)</f>
    </oc>
    <nc r="AJ484"/>
  </rcc>
  <rcc rId="5504" sId="1">
    <oc r="AK484">
      <f>SUMIFS(AK$5:AK$452,$F$5:$F$452,$F484)</f>
    </oc>
    <nc r="AK484"/>
  </rcc>
  <rcc rId="5505" sId="1">
    <oc r="D485">
      <f>D484+D483+D465</f>
    </oc>
    <nc r="D485"/>
  </rcc>
  <rcc rId="5506" sId="1">
    <oc r="E485" t="inlineStr">
      <is>
        <t>TOTAL</t>
      </is>
    </oc>
    <nc r="E485"/>
  </rcc>
  <rcc rId="5507" sId="1">
    <oc r="S485">
      <f>S465+S483+S484</f>
    </oc>
    <nc r="S485"/>
  </rcc>
  <rcc rId="5508" sId="1">
    <oc r="T485">
      <f>T465+T483+T484</f>
    </oc>
    <nc r="T485"/>
  </rcc>
  <rcc rId="5509" sId="1">
    <oc r="U485">
      <f>U465+U483+U484</f>
    </oc>
    <nc r="U485"/>
  </rcc>
  <rcc rId="5510" sId="1">
    <oc r="V485">
      <f>V465+V483+V484</f>
    </oc>
    <nc r="V485"/>
  </rcc>
  <rcc rId="5511" sId="1">
    <oc r="W485">
      <f>W465+W483+W484</f>
    </oc>
    <nc r="W485"/>
  </rcc>
  <rcc rId="5512" sId="1">
    <oc r="X485">
      <f>X465+X483+X484</f>
    </oc>
    <nc r="X485"/>
  </rcc>
  <rcc rId="5513" sId="1">
    <oc r="Y485">
      <f>Y465+Y483+Y484</f>
    </oc>
    <nc r="Y485"/>
  </rcc>
  <rcc rId="5514" sId="1">
    <oc r="Z485">
      <f>Z465+Z483+Z484</f>
    </oc>
    <nc r="Z485"/>
  </rcc>
  <rcc rId="5515" sId="1">
    <oc r="AA485">
      <f>AA465+AA483+AA484</f>
    </oc>
    <nc r="AA485"/>
  </rcc>
  <rcc rId="5516" sId="1">
    <oc r="AB485">
      <f>AB465+AB483+AB484</f>
    </oc>
    <nc r="AB485"/>
  </rcc>
  <rcc rId="5517" sId="1">
    <oc r="AC485">
      <f>AC465+AC483+AC484</f>
    </oc>
    <nc r="AC485"/>
  </rcc>
  <rcc rId="5518" sId="1">
    <oc r="AD485">
      <f>AD465+AD483+AD484</f>
    </oc>
    <nc r="AD485"/>
  </rcc>
  <rcc rId="5519" sId="1">
    <oc r="AE485">
      <f>AE465+AE483+AE484</f>
    </oc>
    <nc r="AE485"/>
  </rcc>
  <rcc rId="5520" sId="1">
    <oc r="AF485">
      <f>AF465+AF483+AF484</f>
    </oc>
    <nc r="AF485"/>
  </rcc>
  <rcc rId="5521" sId="1">
    <oc r="AG485">
      <f>AG465+AG483+AG484</f>
    </oc>
    <nc r="AG485"/>
  </rcc>
  <rcc rId="5522" sId="1">
    <oc r="AH485">
      <f>AH465+AH483+AH484</f>
    </oc>
    <nc r="AH485"/>
  </rcc>
  <rcc rId="5523" sId="1">
    <oc r="AI485">
      <f>AI465+AI483+AI484</f>
    </oc>
    <nc r="AI485"/>
  </rcc>
  <rcc rId="5524" sId="1">
    <oc r="AJ485">
      <f>AJ465+AJ483+AJ484</f>
    </oc>
    <nc r="AJ485"/>
  </rcc>
  <rcc rId="5525" sId="1">
    <oc r="AK485">
      <f>AK465+AK483+AK484</f>
    </oc>
    <nc r="AK485"/>
  </rcc>
  <rfmt sheetId="1" sqref="A453:A485" start="0" length="0">
    <dxf>
      <border>
        <left/>
      </border>
    </dxf>
  </rfmt>
  <rfmt sheetId="1" sqref="A453:XFD453" start="0" length="0">
    <dxf>
      <border>
        <top/>
      </border>
    </dxf>
  </rfmt>
  <rfmt sheetId="1" sqref="XFD453:XFD485" start="0" length="0">
    <dxf>
      <border>
        <right/>
      </border>
    </dxf>
  </rfmt>
  <rfmt sheetId="1" sqref="A485:XFD485" start="0" length="0">
    <dxf>
      <border>
        <bottom/>
      </border>
    </dxf>
  </rfmt>
  <rfmt sheetId="1" sqref="A453:XFD485">
    <dxf>
      <border>
        <left/>
        <right/>
        <top/>
        <bottom/>
        <vertical/>
        <horizontal/>
      </border>
    </dxf>
  </rfmt>
  <rrc rId="5526" sId="1" ref="A37:XFD37" action="deleteRow">
    <undo index="65535" exp="area" ref3D="1" dr="$H$1:$N$1048576" dn="Z_65B035E3_87FA_46C5_996E_864F2C8D0EBC_.wvu.Cols" sId="1"/>
    <undo index="65535" exp="area" ref3D="1" dr="$A$1:$AM$37" dn="_FilterDatabase" sId="1"/>
    <rfmt sheetId="1" xfDxf="1" sqref="A37:XFD37" start="0" length="0"/>
    <rfmt sheetId="1" sqref="A3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G37" t="inlineStr">
        <is>
          <t>TOTAL BIHOR</t>
        </is>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H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I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37">
        <f>SUM(S34:S36)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37">
        <f>SUM(T34:T36)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37">
        <f>SUM(U34:U36)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37">
        <f>SUM(V34:V36)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37">
        <f>SUM(W34:W36)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37">
        <f>SUM(X34:X36)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37">
        <f>SUM(Y34:Y36)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37">
        <f>SUM(Z34:Z36)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37">
        <f>SUM(AA34:AA36)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37">
        <f>SUM(AB34:AB36)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37">
        <f>SUM(AC34:AC36)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37">
        <f>SUM(AD34:AD36)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37">
        <f>SUM(AE34:AE36)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37">
        <f>SUM(AF34:AF36)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37">
        <f>SUM(AG34:AG36)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37">
        <f>SUM(AH34:AH36)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I37">
        <f>SUM(AI34:AI36)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37">
        <f>SUM(AJ34:AJ36)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37">
        <f>SUM(AK34:AK36)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L37" start="0" length="0">
      <dxf>
        <font>
          <sz val="12"/>
          <color theme="1"/>
          <name val="Calibri"/>
          <family val="2"/>
          <charset val="238"/>
          <scheme val="minor"/>
        </font>
      </dxf>
    </rfmt>
  </rrc>
  <rrc rId="5527" sId="1" ref="A37:XFD37" action="deleteRow">
    <undo index="65535" exp="area" ref3D="1" dr="$H$1:$N$1048576" dn="Z_65B035E3_87FA_46C5_996E_864F2C8D0EBC_.wvu.Cols" sId="1"/>
    <rfmt sheetId="1" xfDxf="1" sqref="A37:XFD37" start="0" length="0"/>
    <rfmt sheetId="1" sqref="A3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7" start="0" length="0">
      <dxf>
        <font>
          <b/>
          <sz val="12"/>
          <color auto="1"/>
          <name val="Calibri"/>
          <family val="2"/>
          <charset val="238"/>
          <scheme val="minor"/>
        </font>
        <numFmt numFmtId="166" formatCode="#,##0.00_ ;\-#,##0.00\ "/>
        <alignment horizontal="right" vertical="center" wrapText="1"/>
        <border outline="0">
          <right style="thin">
            <color indexed="64"/>
          </right>
          <top style="thin">
            <color indexed="64"/>
          </top>
          <bottom style="thin">
            <color indexed="64"/>
          </bottom>
        </border>
      </dxf>
    </rfmt>
    <rfmt sheetId="1" sqref="C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G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H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I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b/>
          <sz val="12"/>
          <color auto="1"/>
          <name val="Calibri"/>
          <family val="2"/>
          <charset val="238"/>
          <scheme val="minor"/>
        </font>
        <alignment horizontal="center" vertical="center" wrapText="1"/>
      </dxf>
    </rfmt>
    <rfmt sheetId="1" sqref="K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U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V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dxf>
    </rfmt>
    <rfmt sheetId="1" sqref="W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dxf>
    </rfmt>
    <rfmt sheetId="1" sqref="Y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dxf>
    </rfmt>
    <rfmt sheetId="1" sqref="Z37" start="0" length="0">
      <dxf>
        <font>
          <b/>
          <sz val="12"/>
          <color auto="1"/>
          <name val="Calibri"/>
          <family val="2"/>
          <charset val="238"/>
          <scheme val="minor"/>
        </font>
        <numFmt numFmtId="166" formatCode="#,##0.00_ ;\-#,##0.00\ "/>
        <alignment horizontal="right" vertical="center" wrapText="1"/>
      </dxf>
    </rfmt>
    <rfmt sheetId="1" sqref="AA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dxf>
    </rfmt>
    <rfmt sheetId="1" sqref="AB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D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E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G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I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J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K37"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L37" start="0" length="0">
      <dxf>
        <font>
          <sz val="12"/>
          <color theme="1"/>
          <name val="Calibri"/>
          <family val="2"/>
          <charset val="238"/>
          <scheme val="minor"/>
        </font>
      </dxf>
    </rfmt>
  </rrc>
  <rrc rId="5528" sId="1" ref="A33:XFD33" action="deleteRow">
    <undo index="65535" exp="area" ref3D="1" dr="$H$1:$N$1048576" dn="Z_65B035E3_87FA_46C5_996E_864F2C8D0EBC_.wvu.Cols" sId="1"/>
    <rfmt sheetId="1" xfDxf="1" sqref="A33:XFD33" start="0" length="0"/>
    <rfmt sheetId="1" sqref="A3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3"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33"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33"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3"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G33" t="inlineStr">
        <is>
          <t>TOTAL BACĂU</t>
        </is>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H33"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I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33">
        <f>SUM(S27:S32)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33">
        <f>SUM(T27:T32)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33">
        <f>SUM(U27:U32)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33">
        <f>SUM(V27:V32)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33">
        <f>SUM(W27:W32)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33">
        <f>SUM(X27:X32)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33">
        <f>SUM(Y27:Y32)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33">
        <f>SUM(Z27:Z32)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33">
        <f>SUM(AA27:AA32)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33">
        <f>SUM(AB27:AB32)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33">
        <f>SUM(AC27:AC32)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33">
        <f>SUM(AD27:AD32)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33">
        <f>SUM(AE27:AE32)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33">
        <f>SUM(AF27:AF32)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33">
        <f>SUM(AG27:AG32)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33">
        <f>SUM(AH27:AH32)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I33">
        <f>SUM(AI27:AI32)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33">
        <f>SUM(AJ27:AJ32)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33">
        <f>SUM(AK27:AK32)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L33" start="0" length="0">
      <dxf>
        <font>
          <sz val="12"/>
          <color theme="1"/>
          <name val="Calibri"/>
          <family val="2"/>
          <charset val="238"/>
          <scheme val="minor"/>
        </font>
      </dxf>
    </rfmt>
  </rrc>
  <rrc rId="5529" sId="1" ref="A27:XFD27" action="deleteRow">
    <undo index="65535" exp="area" ref3D="1" dr="$H$1:$N$1048576" dn="Z_65B035E3_87FA_46C5_996E_864F2C8D0EBC_.wvu.Cols" sId="1"/>
    <rfmt sheetId="1" xfDxf="1" sqref="A27:XFD27" start="0" length="0"/>
    <rfmt sheetId="1" sqref="A2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C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D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E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cc rId="0" sId="1" dxf="1">
      <nc r="G27" t="inlineStr">
        <is>
          <t>TOTAL ARGES</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7">
        <f>SUM(S22:S26)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27">
        <f>SUM(T22:T26)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27">
        <f>SUM(U22:U26)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27">
        <f>SUM(V22:V26)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27">
        <f>SUM(W22:W26)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27">
        <f>SUM(X22:X26)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27">
        <f>SUM(Y22:Y26)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27">
        <f>SUM(Z22:Z26)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27">
        <f>SUM(AA22:AA26)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27">
        <f>SUM(AB22:AB26)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27">
        <f>SUM(AC22:AC26)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27">
        <f>SUM(AD22:AD26)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27">
        <f>SUM(AE22:AE26)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27">
        <f>SUM(AF22:AF26)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27">
        <f>SUM(AG22:AG26)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27">
        <f>SUM(AH22:AH26)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I27">
        <f>SUM(AI22:AI26)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27">
        <f>SUM(AJ22:AJ26)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27">
        <f>SUM(AK22:AK26)</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L27" start="0" length="0">
      <dxf>
        <font>
          <sz val="12"/>
          <color theme="1"/>
          <name val="Calibri"/>
          <family val="2"/>
          <charset val="238"/>
          <scheme val="minor"/>
        </font>
      </dxf>
    </rfmt>
    <rfmt sheetId="1" sqref="AQ27" start="0" length="0">
      <dxf>
        <numFmt numFmtId="166" formatCode="#,##0.00_ ;\-#,##0.00\ "/>
      </dxf>
    </rfmt>
  </rrc>
  <rrc rId="5530" sId="1" ref="A21:XFD21" action="deleteRow">
    <undo index="65535" exp="area" ref3D="1" dr="$H$1:$N$1048576" dn="Z_65B035E3_87FA_46C5_996E_864F2C8D0EBC_.wvu.Cols" sId="1"/>
    <rfmt sheetId="1" xfDxf="1" sqref="A21:XFD21" start="0" length="0"/>
    <rfmt sheetId="1" sqref="A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21" t="inlineStr">
        <is>
          <t>TOTAL ARAD</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1">
        <f>SUM(S17:S20)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21">
        <f>SUM(T17:T20)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21">
        <f>SUM(U17:U20)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21">
        <f>SUM(V17:V20)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21">
        <f>SUM(W17:W20)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21">
        <f>SUM(X17:X20)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21">
        <f>SUM(Y17:Y20)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21">
        <f>SUM(Z17:Z20)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21">
        <f>SUM(AA17:AA20)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21">
        <f>SUM(AB17:AB20)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21">
        <f>SUM(AC17:AC20)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21">
        <f>SUM(AD17:AD20)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21">
        <f>SUM(AE17:AE20)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21">
        <f>SUM(AF17:AF20)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21">
        <f>SUM(AG17:AG20)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21">
        <f>SUM(AH17:AH20)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I21">
        <f>SUM(AI17:AI20)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21">
        <f>SUM(AJ17:AJ20)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21">
        <f>SUM(AK17:AK20)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L21" start="0" length="0">
      <dxf>
        <font>
          <sz val="12"/>
          <color theme="1"/>
          <name val="Calibri"/>
          <family val="2"/>
          <charset val="238"/>
          <scheme val="minor"/>
        </font>
      </dxf>
    </rfmt>
  </rrc>
  <rrc rId="5531" sId="1" ref="A16:XFD16" action="deleteRow">
    <undo index="65535" exp="area" ref3D="1" dr="$H$1:$N$1048576" dn="Z_65B035E3_87FA_46C5_996E_864F2C8D0EBC_.wvu.Cols" sId="1"/>
    <rfmt sheetId="1" xfDxf="1" sqref="A16:XFD16" start="0" length="0"/>
    <rfmt sheetId="1" sqref="A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6" t="inlineStr">
        <is>
          <t>TOTAL ALBA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6">
        <f>SUM(S5:S15)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16">
        <f>SUM(T5:T15)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16">
        <f>SUM(U5:U15)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16">
        <f>SUM(V5:V15)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16">
        <f>SUM(W5:W15)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16">
        <f>SUM(X5:X15)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16">
        <f>SUM(Y5:Y15)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16">
        <f>SUM(Z5:Z15)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16">
        <f>SUM(AA5:AA15)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16">
        <f>SUM(AB5:AB15)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16">
        <f>SUM(AC5:AC15)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16">
        <f>SUM(AD5:AD15)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16">
        <f>SUM(AE5:AE15)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16">
        <f>SUM(AF5:AF15)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16">
        <f>SUM(AG5:AG15)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16">
        <f>SUM(AH5:AH10)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I16">
        <f>SUM(AI5:AI10)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16">
        <f>SUM(AJ5:AJ15)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16">
        <f>SUM(AK5:AK15)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L16" start="0" length="0">
      <dxf>
        <font>
          <sz val="12"/>
          <color theme="1"/>
          <name val="Calibri"/>
          <family val="2"/>
          <charset val="238"/>
          <scheme val="minor"/>
        </font>
      </dxf>
    </rfmt>
  </rrc>
  <rrc rId="5532" sId="1" ref="A79:XFD79" action="deleteRow">
    <undo index="65535" exp="area" dr="AK73:AK79" r="AK80" sId="1"/>
    <undo index="65535" exp="area" dr="AJ73:AJ79" r="AJ80" sId="1"/>
    <undo index="65535" exp="area" dr="AI73:AI79" r="AI80" sId="1"/>
    <undo index="65535" exp="area" dr="AH73:AH79" r="AH80" sId="1"/>
    <undo index="65535" exp="area" dr="AG73:AG79" r="AG80" sId="1"/>
    <undo index="65535" exp="area" dr="AF73:AF79" r="AF80" sId="1"/>
    <undo index="65535" exp="area" dr="AE73:AE79" r="AE80" sId="1"/>
    <undo index="65535" exp="area" dr="AD73:AD79" r="AD80" sId="1"/>
    <undo index="65535" exp="area" dr="AC73:AC79" r="AC80" sId="1"/>
    <undo index="65535" exp="area" dr="AB73:AB79" r="AB80" sId="1"/>
    <undo index="65535" exp="area" dr="AA73:AA79" r="AA80" sId="1"/>
    <undo index="65535" exp="area" dr="Z73:Z79" r="Z80" sId="1"/>
    <undo index="65535" exp="area" dr="Y73:Y79" r="Y80" sId="1"/>
    <undo index="65535" exp="area" dr="X73:X79" r="X80" sId="1"/>
    <undo index="65535" exp="area" dr="W73:W79" r="W80" sId="1"/>
    <undo index="65535" exp="area" dr="V73:V79" r="V80" sId="1"/>
    <undo index="65535" exp="area" dr="U73:U79" r="U80" sId="1"/>
    <undo index="65535" exp="area" dr="T73:T79" r="T80" sId="1"/>
    <undo index="65535" exp="area" dr="S73:S79" r="S80" sId="1"/>
    <undo index="65535" exp="area" ref3D="1" dr="$H$1:$N$1048576" dn="Z_65B035E3_87FA_46C5_996E_864F2C8D0EBC_.wvu.Cols" sId="1"/>
    <rfmt sheetId="1" xfDxf="1" sqref="A79:XFD79" start="0" length="0"/>
    <rfmt sheetId="1" sqref="A7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9"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79"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D79"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7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79" start="0" length="0">
      <dxf>
        <font>
          <sz val="12"/>
          <color theme="1"/>
          <name val="Calibri"/>
          <family val="2"/>
          <charset val="238"/>
          <scheme val="minor"/>
        </font>
        <alignment vertical="center" wrapText="1"/>
        <border outline="0">
          <right style="thin">
            <color indexed="64"/>
          </right>
          <top style="thin">
            <color indexed="64"/>
          </top>
          <bottom style="thin">
            <color indexed="64"/>
          </bottom>
        </border>
      </dxf>
    </rfmt>
    <rfmt sheetId="1" sqref="G79" start="0" length="0">
      <dxf>
        <font>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79"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I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7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7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79" start="0" length="0">
      <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7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U79" start="0" length="0">
      <dxf>
        <font>
          <sz val="12"/>
          <color auto="1"/>
          <name val="Calibri"/>
          <family val="2"/>
          <charset val="238"/>
          <scheme val="minor"/>
        </font>
        <numFmt numFmtId="2" formatCode="0.00"/>
        <alignment horizontal="right" vertical="center" wrapText="1"/>
        <border outline="0">
          <left style="thin">
            <color indexed="64"/>
          </left>
          <right style="thin">
            <color indexed="64"/>
          </right>
          <top style="thin">
            <color indexed="64"/>
          </top>
          <bottom style="thin">
            <color indexed="64"/>
          </bottom>
        </border>
      </dxf>
    </rfmt>
    <rfmt sheetId="1" s="1" sqref="V7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79" start="0" length="0">
      <dxf>
        <font>
          <sz val="12"/>
          <color auto="1"/>
          <name val="Calibri"/>
          <family val="2"/>
          <charset val="238"/>
          <scheme val="minor"/>
        </font>
        <numFmt numFmtId="4" formatCode="#,##0.00"/>
        <alignment horizontal="center" vertical="center"/>
        <border outline="0">
          <left style="thin">
            <color indexed="64"/>
          </left>
          <right style="thin">
            <color indexed="64"/>
          </right>
          <top style="thin">
            <color indexed="64"/>
          </top>
          <bottom style="thin">
            <color indexed="64"/>
          </bottom>
        </border>
      </dxf>
    </rfmt>
    <rfmt sheetId="1" sqref="X79" start="0" length="0">
      <dxf>
        <font>
          <sz val="12"/>
          <color auto="1"/>
          <name val="Calibri"/>
          <family val="2"/>
          <charset val="238"/>
          <scheme val="minor"/>
        </font>
        <numFmt numFmtId="2" formatCode="0.00"/>
        <alignment horizontal="right" vertical="center" wrapText="1"/>
        <border outline="0">
          <left style="thin">
            <color indexed="64"/>
          </left>
          <right style="thin">
            <color indexed="64"/>
          </right>
          <top style="thin">
            <color indexed="64"/>
          </top>
          <bottom style="thin">
            <color indexed="64"/>
          </bottom>
        </border>
      </dxf>
    </rfmt>
    <rfmt sheetId="1" sqref="Y7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Z7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7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7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79" start="0" length="0">
      <dxf>
        <font>
          <sz val="12"/>
          <color auto="1"/>
          <name val="Calibri"/>
          <family val="2"/>
          <charset val="238"/>
          <scheme val="minor"/>
        </font>
        <numFmt numFmtId="2" formatCode="0.00"/>
        <alignment horizontal="right" vertical="center" wrapText="1"/>
        <border outline="0">
          <left style="thin">
            <color indexed="64"/>
          </left>
          <right style="thin">
            <color indexed="64"/>
          </right>
          <top style="thin">
            <color indexed="64"/>
          </top>
          <bottom style="thin">
            <color indexed="64"/>
          </bottom>
        </border>
      </dxf>
    </rfmt>
    <rfmt sheetId="1" sqref="AD79" start="0" length="0">
      <dxf>
        <font>
          <sz val="12"/>
          <color auto="1"/>
          <name val="Calibri"/>
          <family val="2"/>
          <charset val="238"/>
          <scheme val="minor"/>
        </font>
        <numFmt numFmtId="2" formatCode="0.00"/>
        <alignment horizontal="right" vertical="center" wrapText="1"/>
        <border outline="0">
          <left style="thin">
            <color indexed="64"/>
          </left>
          <right style="thin">
            <color indexed="64"/>
          </right>
          <top style="thin">
            <color indexed="64"/>
          </top>
          <bottom style="thin">
            <color indexed="64"/>
          </bottom>
        </border>
      </dxf>
    </rfmt>
    <rfmt sheetId="1" s="1" sqref="AE7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7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G7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7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7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79" start="0" length="0">
      <dxf>
        <font>
          <sz val="12"/>
          <color theme="1"/>
          <name val="Calibri"/>
          <family val="2"/>
          <charset val="238"/>
          <scheme val="minor"/>
        </font>
      </dxf>
    </rfmt>
  </rrc>
  <rrc rId="5533" sId="1" ref="A79:XFD79" action="deleteRow">
    <undo index="65535" exp="area" ref3D="1" dr="$H$1:$N$1048576" dn="Z_65B035E3_87FA_46C5_996E_864F2C8D0EBC_.wvu.Cols" sId="1"/>
    <rfmt sheetId="1" xfDxf="1" sqref="A79:XFD79" start="0" length="0"/>
    <rfmt sheetId="1" sqref="A7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C7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D7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E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cc rId="0" sId="1" dxf="1">
      <nc r="G79" t="inlineStr">
        <is>
          <t>TOTAL CĂLĂRAȘI</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7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I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79">
        <f>SUM(S73:S78)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T79">
        <f>SUM(T73:T78)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U79">
        <f>SUM(U73:U78)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V79">
        <f>SUM(V73:V78)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W79">
        <f>SUM(W73:W78)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X79">
        <f>SUM(X73:X78)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Y79">
        <f>SUM(Y73:Y78)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Z79">
        <f>SUM(Z73:Z78)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A79">
        <f>SUM(AA73:AA78)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B79">
        <f>SUM(AB73:AB78)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C79">
        <f>SUM(AC73:AC78)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D79">
        <f>SUM(AD73:AD78)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E79">
        <f>SUM(AE73:AE78)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F79">
        <f>SUM(AF73:AF78)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G79">
        <f>SUM(AG73:AG78)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H79">
        <f>SUM(AH73:AH78)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I79">
        <f>SUM(AI73:AI78)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J79">
        <f>SUM(AJ73:AJ78)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K79">
        <f>SUM(AK73:AK78)</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fmt sheetId="1" sqref="AL79" start="0" length="0">
      <dxf>
        <font>
          <sz val="12"/>
          <color theme="1"/>
          <name val="Calibri"/>
          <family val="2"/>
          <charset val="238"/>
          <scheme val="minor"/>
        </font>
      </dxf>
    </rfmt>
  </rrc>
  <rrc rId="5534" sId="1" ref="A72:XFD72" action="deleteRow">
    <undo index="65535" exp="area" ref3D="1" dr="$H$1:$N$1048576" dn="Z_65B035E3_87FA_46C5_996E_864F2C8D0EBC_.wvu.Cols" sId="1"/>
    <rfmt sheetId="1" xfDxf="1" sqref="A72:XFD72" start="0" length="0"/>
    <rfmt sheetId="1" sqref="A7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72" t="inlineStr">
        <is>
          <t>TOTAL BUZĂU</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7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72">
        <f>SUM(S66:S71)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72">
        <f>SUM(T66:T71)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72">
        <f>SUM(U66:U71)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72">
        <f>SUM(V66:V71)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72">
        <f>SUM(W66:W71)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72">
        <f>SUM(X66:X71)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72">
        <f>SUM(Y66:Y71)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72">
        <f>SUM(Z66:Z71)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72">
        <f>SUM(AA66:AA71)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72">
        <f>SUM(AB66:AB71)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72">
        <f>SUM(AC66:AC71)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72">
        <f>SUM(AD66:AD71)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72">
        <f>SUM(AE66:AE71)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72">
        <f>SUM(AF66:AF71)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72">
        <f>SUM(AG66:AG71)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72">
        <f>SUM(AH66:AH71)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72">
        <f>SUM(AI66:AI71)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72">
        <f>SUM(AJ66:AJ71)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72">
        <f>SUM(AK66:AK71)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72" start="0" length="0">
      <dxf>
        <font>
          <sz val="12"/>
          <color theme="1"/>
          <name val="Calibri"/>
          <family val="2"/>
          <charset val="238"/>
          <scheme val="minor"/>
        </font>
      </dxf>
    </rfmt>
  </rrc>
  <rrc rId="5535" sId="1" ref="A65:XFD65" action="deleteRow">
    <undo index="65535" exp="area" ref3D="1" dr="$H$1:$N$1048576" dn="Z_65B035E3_87FA_46C5_996E_864F2C8D0EBC_.wvu.Cols" sId="1"/>
    <rfmt sheetId="1" xfDxf="1" sqref="A65:XFD65" start="0" length="0"/>
    <rfmt sheetId="1" sqref="A6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65" t="inlineStr">
        <is>
          <t>TOTAL BUCUREȘTI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65">
        <f>SUM(S54:S64)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65">
        <f>SUM(T54:T64)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65">
        <f>SUM(U54:U64)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65">
        <f>SUM(V54:V64)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65">
        <f>SUM(W54:W64)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65">
        <f>SUM(X54:X64)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65">
        <f>SUM(Y54:Y64)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65">
        <f>SUM(Z54:Z64)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65">
        <f>SUM(AA54:AA64)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65">
        <f>SUM(AB54:AB64)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65">
        <f>SUM(AC54:AC64)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65">
        <f>SUM(AD54:AD64)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65">
        <f>SUM(AE54:AE64)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65">
        <f>SUM(AF54:AF64)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65">
        <f>SUM(AG54:AG64)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65">
        <f>SUM(AH54:AH64)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65">
        <f>SUM(AI54:AI64)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65">
        <f>SUM(AJ54:AJ64)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65">
        <f>SUM(AK54:AK64)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65" start="0" length="0">
      <dxf>
        <font>
          <sz val="12"/>
          <color theme="1"/>
          <name val="Calibri"/>
          <family val="2"/>
          <charset val="238"/>
          <scheme val="minor"/>
        </font>
      </dxf>
    </rfmt>
  </rrc>
  <rrc rId="5536" sId="1" ref="A53:XFD53" action="deleteRow">
    <undo index="65535" exp="area" ref3D="1" dr="$H$1:$N$1048576" dn="Z_65B035E3_87FA_46C5_996E_864F2C8D0EBC_.wvu.Cols" sId="1"/>
    <rfmt sheetId="1" xfDxf="1" sqref="A53:XFD53" start="0" length="0"/>
    <rfmt sheetId="1" sqref="A5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C5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D5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E5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F5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G53" t="inlineStr">
        <is>
          <t>TOTAL BRAȘOV</t>
        </is>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H5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3">
        <f>SUM(S46:S52)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53">
        <f>SUM(T46:T52)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53">
        <f>SUM(U46:U52)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53">
        <f>SUM(V46:V52)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53">
        <f>SUM(W46:W52)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53">
        <f>SUM(X46:X52)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53">
        <f>SUM(Y46:Y52)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53">
        <f>SUM(Z46:Z52)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53">
        <f>SUM(AA46:AA52)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53">
        <f>SUM(AB46:AB52)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53">
        <f>SUM(AC46:AC52)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53">
        <f>SUM(AD46:AD52)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53">
        <f>SUM(AE46:AE52)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53">
        <f>SUM(AF46:AF52)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53">
        <f>SUM(AG46:AG52)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53">
        <f>SUM(AH46:AH52)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53">
        <f>SUM(AI46:AI52)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53">
        <f>SUM(AJ46:AJ52)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53">
        <f>SUM(AK46:AK52)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53" start="0" length="0">
      <dxf>
        <font>
          <sz val="12"/>
          <color theme="1"/>
          <name val="Calibri"/>
          <family val="2"/>
          <charset val="238"/>
          <scheme val="minor"/>
        </font>
      </dxf>
    </rfmt>
  </rrc>
  <rrc rId="5537" sId="1" ref="A45:XFD45" action="deleteRow">
    <undo index="65535" exp="area" ref3D="1" dr="$H$1:$N$1048576" dn="Z_65B035E3_87FA_46C5_996E_864F2C8D0EBC_.wvu.Cols" sId="1"/>
    <rfmt sheetId="1" xfDxf="1" sqref="A45:XFD45" start="0" length="0"/>
    <rfmt sheetId="1" sqref="A4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45" t="inlineStr">
        <is>
          <t>TOTAL BRĂILA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45">
        <f>SUM(S41:S44)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45">
        <f>SUM(T41:T44)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45">
        <f>SUM(U41:U44)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45">
        <f>SUM(V41:V44)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45">
        <f>SUM(W41:W44)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45">
        <f>SUM(X41:X44)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45">
        <f>SUM(Y41:Y44)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45">
        <f>SUM(Z41:Z44)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45">
        <f>SUM(AA41:AA44)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45">
        <f>SUM(AB41:AB44)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45">
        <f>SUM(AC41:AC44)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45">
        <f>SUM(AD41:AD44)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45">
        <f>SUM(AE41:AE44)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45">
        <f>SUM(AF41:AF44)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45">
        <f>SUM(AG41:AG44)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4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45">
        <f>SUM(AI41:AI44)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45">
        <f>SUM(AJ41:AJ44)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45">
        <f>SUM(AK41:AK44)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45" start="0" length="0">
      <dxf>
        <font>
          <sz val="12"/>
          <color theme="1"/>
          <name val="Calibri"/>
          <family val="2"/>
          <charset val="238"/>
          <scheme val="minor"/>
        </font>
      </dxf>
    </rfmt>
  </rrc>
  <rrc rId="5538" sId="1" ref="A40:XFD40" action="deleteRow">
    <undo index="65535" exp="area" ref3D="1" dr="$H$1:$N$1048576" dn="Z_65B035E3_87FA_46C5_996E_864F2C8D0EBC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4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G40" t="inlineStr">
        <is>
          <t>TOTAL BOTOȘANI</t>
        </is>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H4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40">
        <f>SUM(S36:S39)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40">
        <f>SUM(T37:T39)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40">
        <f>SUM(U37:U39)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40">
        <f>SUM(V37:V39)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40">
        <f>SUM(W37:W39)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40">
        <f>SUM(X37:X39)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40">
        <f>SUM(Y37:Y39)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40">
        <f>SUM(Z37:Z39)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40">
        <f>SUM(AA37:AA39)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40">
        <f>SUM(AB37:AB39)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40">
        <f>SUM(AC37:AC39)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40">
        <f>SUM(AD37:AD39)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40">
        <f>SUM(AE37:AE39)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40">
        <f>SUM(AF37:AF39)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40">
        <f>SUM(AG37:AG39)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40">
        <f>SUM(AH37:AH39)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I40">
        <f>SUM(AI37:AI39)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40">
        <f>SUM(AJ37:AJ39)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40">
        <f>SUM(AK37:AK39)</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L40" start="0" length="0">
      <dxf>
        <font>
          <sz val="12"/>
          <color theme="1"/>
          <name val="Calibri"/>
          <family val="2"/>
          <charset val="238"/>
          <scheme val="minor"/>
        </font>
      </dxf>
    </rfmt>
  </rrc>
  <rrc rId="5539" sId="1" ref="A35:XFD35" action="deleteRow">
    <undo index="65535" exp="area" ref3D="1" dr="$H$1:$N$1048576" dn="Z_65B035E3_87FA_46C5_996E_864F2C8D0EBC_.wvu.Cols" sId="1"/>
    <rfmt sheetId="1" xfDxf="1" sqref="A35:XFD35" start="0" length="0"/>
    <rfmt sheetId="1" sqref="A3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3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3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35" t="inlineStr">
        <is>
          <t>TOTAL BISTRIȚA NĂSĂUD</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3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35">
        <f>SUM(S33:S34)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35">
        <f>SUM(T33:T34)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35">
        <f>SUM(U33:U34)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35">
        <f>SUM(V33:V34)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35">
        <f>SUM(W33:W34)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35">
        <f>SUM(X33:X34)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35">
        <f>SUM(Y33:Y34)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35">
        <f>SUM(Z33:Z34)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35">
        <f>SUM(AA33:AA34)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35">
        <f>SUM(AB33:AB34)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35">
        <f>SUM(AC33:AC34)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35">
        <f>SUM(AD33:AD34)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35">
        <f>SUM(AE33:AE34)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35">
        <f>SUM(AF33:AF34)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35">
        <f>SUM(AG33:AG34)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35">
        <f>SUM(AH33:AH34)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35">
        <f>SUM(AI33:AI34)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35">
        <f>SUM(AJ33:AJ34)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35">
        <f>SUM(AK33:AK34)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35" start="0" length="0">
      <dxf>
        <font>
          <sz val="12"/>
          <color theme="1"/>
          <name val="Calibri"/>
          <family val="2"/>
          <charset val="238"/>
          <scheme val="minor"/>
        </font>
      </dxf>
    </rfmt>
  </rrc>
  <rrc rId="5540" sId="1" ref="A228:XFD228" action="deleteRow">
    <undo index="65535" exp="area" dr="AK220:AK228" r="AK229" sId="1"/>
    <undo index="65535" exp="area" dr="AJ220:AJ228" r="AJ229" sId="1"/>
    <undo index="65535" exp="area" dr="AI220:AI228" r="AI229" sId="1"/>
    <undo index="65535" exp="area" dr="AH220:AH228" r="AH229" sId="1"/>
    <undo index="65535" exp="area" dr="AG220:AG228" r="AG229" sId="1"/>
    <undo index="65535" exp="area" dr="AF220:AF228" r="AF229" sId="1"/>
    <undo index="65535" exp="area" dr="AE220:AE228" r="AE229" sId="1"/>
    <undo index="65535" exp="area" dr="AD220:AD228" r="AD229" sId="1"/>
    <undo index="65535" exp="area" dr="AC220:AC228" r="AC229" sId="1"/>
    <undo index="65535" exp="area" dr="AB220:AB228" r="AB229" sId="1"/>
    <undo index="65535" exp="area" dr="AA220:AA228" r="AA229" sId="1"/>
    <undo index="65535" exp="area" dr="Z220:Z228" r="Z229" sId="1"/>
    <undo index="65535" exp="area" dr="Y220:Y228" r="Y229" sId="1"/>
    <undo index="65535" exp="area" dr="X220:X228" r="X229" sId="1"/>
    <undo index="65535" exp="area" dr="W220:W228" r="W229" sId="1"/>
    <undo index="65535" exp="area" dr="V220:V228" r="V229" sId="1"/>
    <undo index="65535" exp="area" dr="U220:U228" r="U229" sId="1"/>
    <undo index="65535" exp="area" dr="T220:T228" r="T229" sId="1"/>
    <undo index="65535" exp="area" dr="S220:S228" r="S229" sId="1"/>
    <undo index="65535" exp="area" ref3D="1" dr="$H$1:$N$1048576" dn="Z_65B035E3_87FA_46C5_996E_864F2C8D0EBC_.wvu.Cols" sId="1"/>
    <rfmt sheetId="1" xfDxf="1" sqref="A228:XFD228" start="0" length="0"/>
    <rfmt sheetId="1" sqref="A228"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28"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28"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228"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228"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28"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28"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2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28" start="0" length="0">
      <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2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28"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U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V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W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Y228" start="0" length="0">
      <dxf>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228" start="0" length="0">
      <dxf>
        <numFmt numFmtId="166" formatCode="#,##0.00_ ;\-#,##0.00\ "/>
        <border outline="0">
          <left style="thin">
            <color indexed="64"/>
          </left>
          <right style="thin">
            <color indexed="64"/>
          </right>
          <top style="thin">
            <color indexed="64"/>
          </top>
          <bottom style="thin">
            <color indexed="64"/>
          </bottom>
        </border>
      </dxf>
    </rfmt>
    <rfmt sheetId="1" sqref="AA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B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D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E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G228"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22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28"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2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228" start="0" length="0">
      <dxf>
        <font>
          <sz val="12"/>
          <color theme="1"/>
          <name val="Calibri"/>
          <family val="2"/>
          <charset val="238"/>
          <scheme val="minor"/>
        </font>
      </dxf>
    </rfmt>
  </rrc>
  <rrc rId="5541" sId="1" ref="A228:XFD228" action="deleteRow">
    <undo index="65535" exp="area" ref3D="1" dr="$H$1:$N$1048576" dn="Z_65B035E3_87FA_46C5_996E_864F2C8D0EBC_.wvu.Cols" sId="1"/>
    <rfmt sheetId="1" xfDxf="1" sqref="A228:XFD228" start="0" length="0"/>
    <rfmt sheetId="1" sqref="A22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228" t="inlineStr">
        <is>
          <t>TOTAL VASLUI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28">
        <f>SUM(S220:S227)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228">
        <f>SUM(T220:T227)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228">
        <f>SUM(U220:U227)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228">
        <f>SUM(V220:V227)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228">
        <f>SUM(W220:W227)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228">
        <f>SUM(X220:X227)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228">
        <f>SUM(Y220:Y227)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228">
        <f>SUM(Z220:Z227)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228">
        <f>SUM(AA220:AA227)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228">
        <f>SUM(AB220:AB227)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228">
        <f>SUM(AC220:AC227)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228">
        <f>SUM(AD220:AD227)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228">
        <f>SUM(AE220:AE227)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228">
        <f>SUM(AF220:AF227)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228">
        <f>SUM(AG220:AG227)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228">
        <f>SUM(AH220:AH227)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228">
        <f>SUM(AI220:AI227)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228">
        <f>SUM(AJ220:AJ227)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228">
        <f>SUM(AK220:AK227)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228" start="0" length="0">
      <dxf>
        <font>
          <sz val="12"/>
          <color theme="1"/>
          <name val="Calibri"/>
          <family val="2"/>
          <charset val="238"/>
          <scheme val="minor"/>
        </font>
      </dxf>
    </rfmt>
  </rrc>
  <rrc rId="5542" sId="1" ref="A218:XFD218" action="deleteRow">
    <undo index="65535" exp="area" ref3D="1" dr="$H$1:$N$1048576" dn="Z_65B035E3_87FA_46C5_996E_864F2C8D0EBC_.wvu.Cols" sId="1"/>
    <rfmt sheetId="1" xfDxf="1" sqref="A218:XFD218" start="0" length="0"/>
    <rfmt sheetId="1" sqref="A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218" t="inlineStr">
        <is>
          <t>TOTAL VÂLCEA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21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18">
        <f>SUM(S214:S217)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218">
        <f>SUM(T214:T217)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218">
        <f>SUM(U214:U217)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218">
        <f>SUM(V214:V217)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218">
        <f>SUM(W214:W217)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218">
        <f>SUM(X214:X217)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218">
        <f>SUM(Y214:Y217)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218">
        <f>SUM(Z214:Z217)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218">
        <f>SUM(AA214:AA217)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218">
        <f>SUM(AB214:AB217)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218">
        <f>SUM(AC214:AC217)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218">
        <f>SUM(AD214:AD217)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218">
        <f>SUM(AE214:AE217)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218">
        <f>SUM(AF214:AF217)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218">
        <f>SUM(AG214:AG217)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21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218">
        <f>SUM(AI214:AI217)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218">
        <f>SUM(AJ214:AJ217)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218">
        <f>SUM(AK214:AK217)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218" start="0" length="0">
      <dxf>
        <font>
          <sz val="12"/>
          <color theme="1"/>
          <name val="Calibri"/>
          <family val="2"/>
          <charset val="238"/>
          <scheme val="minor"/>
        </font>
      </dxf>
    </rfmt>
  </rrc>
  <rrc rId="5543" sId="1" ref="A218:XFD218" action="deleteRow">
    <undo index="65535" exp="area" ref3D="1" dr="$H$1:$N$1048576" dn="Z_65B035E3_87FA_46C5_996E_864F2C8D0EBC_.wvu.Cols" sId="1"/>
    <rfmt sheetId="1" xfDxf="1" sqref="A218:XFD218" start="0" length="0"/>
    <rfmt sheetId="1" sqref="A21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18"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21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1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18" t="inlineStr">
        <is>
          <t>VASLUI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2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21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2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2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1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21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218">
        <f>AC218+AD218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2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2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218">
        <f>S218+V218+Y218+AB218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2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18">
        <f>AE218+AF218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1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218" start="0" length="0">
      <dxf>
        <font>
          <sz val="12"/>
          <color theme="1"/>
          <name val="Calibri"/>
          <family val="2"/>
          <charset val="238"/>
          <scheme val="minor"/>
        </font>
      </dxf>
    </rfmt>
  </rrc>
  <rrc rId="5544" sId="1" ref="A212:XFD212" action="deleteRow">
    <undo index="65535" exp="area" ref3D="1" dr="$H$1:$N$1048576" dn="Z_65B035E3_87FA_46C5_996E_864F2C8D0EBC_.wvu.Cols" sId="1"/>
    <rfmt sheetId="1" xfDxf="1" sqref="A212:XFD212" start="0" length="0"/>
    <rfmt sheetId="1" sqref="A21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212" t="inlineStr">
        <is>
          <t>TOTAL TULCEA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12">
        <f>SUM(S209:S211)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212">
        <f>SUM(T209:T211)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212">
        <f>SUM(U209:U211)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212">
        <f>SUM(V209:V211)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212">
        <f>SUM(W209:W211)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212">
        <f>SUM(X209:X211)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212">
        <f>SUM(Y209:Y211)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212">
        <f>SUM(Z209:Z211)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212">
        <f>SUM(AA209:AA211)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212">
        <f>SUM(AB209:AB211)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212">
        <f>SUM(AC209:AC211)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212">
        <f>SUM(AD209:AD211)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212">
        <f>SUM(AE209:AE211)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212">
        <f>SUM(AF209:AF211)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212">
        <f>SUM(AG209:AG211)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21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212">
        <f>SUM(AI209:AI211)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212">
        <f>SUM(AJ209:AJ211)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212">
        <f>SUM(AK209:AK211)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212" start="0" length="0">
      <dxf>
        <font>
          <sz val="12"/>
          <color theme="1"/>
          <name val="Calibri"/>
          <family val="2"/>
          <charset val="238"/>
          <scheme val="minor"/>
        </font>
      </dxf>
    </rfmt>
  </rrc>
  <rrc rId="5545" sId="1" ref="A212:XFD212" action="deleteRow">
    <undo index="65535" exp="area" ref3D="1" dr="$H$1:$N$1048576" dn="Z_65B035E3_87FA_46C5_996E_864F2C8D0EBC_.wvu.Cols" sId="1"/>
    <rfmt sheetId="1" xfDxf="1" sqref="A212:XFD212" start="0" length="0"/>
    <rfmt sheetId="1" sqref="A212"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12"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2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1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12" t="inlineStr">
        <is>
          <t>VÂLCEA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21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2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2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21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2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2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1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21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21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2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2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21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2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1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21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212" start="0" length="0">
      <dxf>
        <font>
          <sz val="12"/>
          <color theme="1"/>
          <name val="Calibri"/>
          <family val="2"/>
          <charset val="238"/>
          <scheme val="minor"/>
        </font>
      </dxf>
    </rfmt>
  </rrc>
  <rrc rId="5546" sId="1" ref="A208:XFD208" action="deleteRow">
    <undo index="65535" exp="area" ref3D="1" dr="$H$1:$N$1048576" dn="Z_65B035E3_87FA_46C5_996E_864F2C8D0EBC_.wvu.Cols" sId="1"/>
    <rfmt sheetId="1" xfDxf="1" sqref="A208:XFD208" start="0" length="0"/>
    <rfmt sheetId="1" sqref="A20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208" t="inlineStr">
        <is>
          <t>TOTAL TIMIȘ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0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08">
        <f>SUM(S204:S207)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208">
        <f>SUM(T204:T207)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208">
        <f>SUM(U204:U207)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208">
        <f>SUM(V204:V207)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208">
        <f>SUM(W204:W207)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208">
        <f>SUM(X204:X207)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208">
        <f>SUM(Y204:Y207)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208">
        <f>SUM(Z204:Z207)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208">
        <f>SUM(AA204:AA207)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208">
        <f>SUM(AB204:AB207)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208">
        <f>SUM(AC204:AC207)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208">
        <f>SUM(AD204:AD207)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208">
        <f>SUM(AE204:AE207)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208">
        <f>SUM(AF204:AF207)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208">
        <f>SUM(AG204:AG207)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208">
        <f>SUM(AH204:AH207)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208">
        <f>SUM(AI204:AI207)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208">
        <f>SUM(AJ204:AJ207)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208">
        <f>SUM(AK204:AK207)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208" start="0" length="0">
      <dxf>
        <font>
          <sz val="12"/>
          <color theme="1"/>
          <name val="Calibri"/>
          <family val="2"/>
          <charset val="238"/>
          <scheme val="minor"/>
        </font>
      </dxf>
    </rfmt>
  </rrc>
  <rrc rId="5547" sId="1" ref="A203:XFD203" action="deleteRow">
    <undo index="65535" exp="area" ref3D="1" dr="$H$1:$N$1048576" dn="Z_65B035E3_87FA_46C5_996E_864F2C8D0EBC_.wvu.Cols" sId="1"/>
    <rfmt sheetId="1" xfDxf="1" sqref="A203:XFD203" start="0" length="0"/>
    <rfmt sheetId="1" sqref="A20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203" t="inlineStr">
        <is>
          <t>TOTAL TELEORMAN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03">
        <f>SUM(S199:S202)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203">
        <f>SUM(T199:T202)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203">
        <f>SUM(U199:U202)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203">
        <f>SUM(V199:V202)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203">
        <f>SUM(W199:W202)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203">
        <f>SUM(X199:X202)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203">
        <f>SUM(Y199:Y202)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203">
        <f>SUM(Z199:Z202)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203">
        <f>SUM(AA199:AA202)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203">
        <f>SUM(AB199:AB202)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203">
        <f>SUM(AC199:AC202)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203">
        <f>SUM(AD199:AD202)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203">
        <f>SUM(AE199:AE202)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203">
        <f>SUM(AF199:AF202)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203">
        <f>SUM(AG199:AG202)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203">
        <f>SUM(AH199:AH202)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203">
        <f>SUM(AI199:AI202)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203">
        <f>SUM(AJ199:AJ202)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203">
        <f>SUM(AK199:AK202)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203" start="0" length="0">
      <dxf>
        <font>
          <sz val="12"/>
          <color theme="1"/>
          <name val="Calibri"/>
          <family val="2"/>
          <charset val="238"/>
          <scheme val="minor"/>
        </font>
      </dxf>
    </rfmt>
  </rrc>
  <rrc rId="5548" sId="1" ref="A198:XFD198" action="deleteRow">
    <undo index="65535" exp="area" ref3D="1" dr="$H$1:$N$1048576" dn="Z_65B035E3_87FA_46C5_996E_864F2C8D0EBC_.wvu.Cols" sId="1"/>
    <rfmt sheetId="1" xfDxf="1" sqref="A198:XFD198" start="0" length="0"/>
    <rfmt sheetId="1" sqref="A19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98" t="inlineStr">
        <is>
          <t>TOTAL SUCEAVA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98">
        <f>SUM(S196:S197)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98">
        <f>SUM(T196:T197)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98">
        <f>SUM(U196:U196)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98">
        <f>SUM(V196:V197)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98">
        <f>SUM(W196:W197)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98">
        <f>SUM(X196:X196)</f>
      </nc>
      <n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98">
        <f>SUM(Y196:Y197)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98">
        <f>SUM(Z196:Z197)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98">
        <f>SUM(AA196:AA196)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98">
        <f>SUM(AB196:AB196)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98">
        <f>SUM(AC196:AC196)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98">
        <f>SUM(AD196:AD196)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98">
        <f>SUM(AE196:AE196)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98">
        <f>SUM(AF196:AF196)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98">
        <f>SUM(AG196:AG196)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9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98">
        <f>SUM(AI196:AI196)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98">
        <f>SUM(AJ196:AJ196)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98">
        <f>SUM(AK196:AK196)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98" start="0" length="0">
      <dxf>
        <font>
          <sz val="12"/>
          <color theme="1"/>
          <name val="Calibri"/>
          <family val="2"/>
          <charset val="238"/>
          <scheme val="minor"/>
        </font>
      </dxf>
    </rfmt>
  </rrc>
  <rrc rId="5549" sId="1" ref="A195:XFD195" action="deleteRow">
    <undo index="65535" exp="area" ref3D="1" dr="$H$1:$N$1048576" dn="Z_65B035E3_87FA_46C5_996E_864F2C8D0EBC_.wvu.Cols" sId="1"/>
    <rfmt sheetId="1" xfDxf="1" sqref="A195:XFD195" start="0" length="0"/>
    <rfmt sheetId="1" sqref="A19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95" t="inlineStr">
        <is>
          <t>TOTAL SIBIU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95">
        <f>SUM(S190:S194)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95">
        <f>SUM(T190:T194)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95">
        <f>SUM(U190:U194)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95">
        <f>SUM(V190:V194)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95">
        <f>SUM(W190:W194)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95">
        <f>SUM(X190:X194)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95">
        <f>SUM(Y190:Y194)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95">
        <f>SUM(Z190:Z194)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95">
        <f>SUM(AA190:AA194)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95">
        <f>SUM(AB190:AB194)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95">
        <f>SUM(AC190:AC194)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95">
        <f>SUM(AD190:AD194)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95">
        <f>SUM(AE190:AE194)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95">
        <f>SUM(AF190:AF194)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95">
        <f>SUM(AG190:AG194)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95">
        <f>SUM(AH190:AH194)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95">
        <f>SUM(AI190:AI194)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95">
        <f>SUM(AJ190:AJ194)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95">
        <f>SUM(AK190:AK194)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95" start="0" length="0">
      <dxf>
        <font>
          <sz val="12"/>
          <color theme="1"/>
          <name val="Calibri"/>
          <family val="2"/>
          <charset val="238"/>
          <scheme val="minor"/>
        </font>
      </dxf>
    </rfmt>
  </rrc>
  <rrc rId="5550" sId="1" ref="A189:XFD189" action="deleteRow">
    <undo index="65535" exp="area" ref3D="1" dr="$H$1:$N$1048576" dn="Z_65B035E3_87FA_46C5_996E_864F2C8D0EBC_.wvu.Cols" sId="1"/>
    <rfmt sheetId="1" xfDxf="1" sqref="A189:XFD189" start="0" length="0"/>
    <rfmt sheetId="1" sqref="A18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89" t="inlineStr">
        <is>
          <t>TOTAL SATU MARE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89">
        <f>SUM(S187:S188)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89">
        <f>SUM(T187:T188)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89">
        <f>SUM(U187:U188)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89">
        <f>SUM(V187:V188)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89">
        <f>SUM(W187:W188)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89">
        <f>SUM(X187:X188)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89">
        <f>SUM(Y187:Y188)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89">
        <f>SUM(Z187:Z188)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89">
        <f>SUM(AA187:AA188)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89">
        <f>SUM(AB187:AB188)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89">
        <f>SUM(AC187:AC188)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89">
        <f>SUM(AD187:AD188)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89">
        <f>SUM(AE187:AE188)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89">
        <f>SUM(AF187:AF188)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89">
        <f>SUM(AG187:AG188)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8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89">
        <f>SUM(AI187:AI188)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89">
        <f>SUM(AJ187:AJ188)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89">
        <f>SUM(AK187:AK188)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89" start="0" length="0">
      <dxf>
        <font>
          <sz val="12"/>
          <color theme="1"/>
          <name val="Calibri"/>
          <family val="2"/>
          <charset val="238"/>
          <scheme val="minor"/>
        </font>
      </dxf>
    </rfmt>
  </rrc>
  <rrc rId="5551" sId="1" ref="A186:XFD186" action="deleteRow">
    <undo index="65535" exp="area" ref3D="1" dr="$H$1:$N$1048576" dn="Z_65B035E3_87FA_46C5_996E_864F2C8D0EBC_.wvu.Cols" sId="1"/>
    <rfmt sheetId="1" xfDxf="1" sqref="A186:XFD186" start="0" length="0"/>
    <rfmt sheetId="1" sqref="A18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86" t="inlineStr">
        <is>
          <t>TOTAL SĂLAJ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86">
        <f>SUM(S180:S185)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86">
        <f>SUM(T180:T185)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86">
        <f>SUM(U180:U185)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86">
        <f>SUM(V180:V185)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86">
        <f>SUM(W180:W185)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86">
        <f>SUM(X180:X185)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86">
        <f>SUM(Y180:Y185)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86">
        <f>SUM(Z180:Z185)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86">
        <f>SUM(AA180:AA185)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86">
        <f>SUM(AB180:AB185)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86">
        <f>SUM(AC180:AC185)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86">
        <f>SUM(AD180:AD185)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86">
        <f>SUM(AE180:AE185)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86">
        <f>SUM(AF180:AF185)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86">
        <f>SUM(AG180:AG185)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86">
        <f>SUM(AH180:AH185)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86">
        <f>SUM(AI180:AI185)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86">
        <f>SUM(AJ180:AJ185)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86">
        <f>SUM(AK180:AK185)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86" start="0" length="0">
      <dxf>
        <font>
          <sz val="12"/>
          <color theme="1"/>
          <name val="Calibri"/>
          <family val="2"/>
          <charset val="238"/>
          <scheme val="minor"/>
        </font>
      </dxf>
    </rfmt>
  </rrc>
  <rrc rId="5552" sId="1" ref="A179:XFD179" action="deleteRow">
    <undo index="65535" exp="area" ref3D="1" dr="$H$1:$N$1048576" dn="Z_65B035E3_87FA_46C5_996E_864F2C8D0EBC_.wvu.Cols" sId="1"/>
    <rfmt sheetId="1" xfDxf="1" sqref="A179:XFD179" start="0" length="0"/>
    <rfmt sheetId="1" sqref="A17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79" t="inlineStr">
        <is>
          <t>TOTAL PRAHOVA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7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79">
        <f>SUM(S173:S178)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79">
        <f>SUM(T173:T178)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79">
        <f>SUM(U173:U178)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79">
        <f>SUM(V173:V178)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79">
        <f>SUM(W173:W178)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79">
        <f>SUM(X173:X178)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79">
        <f>SUM(Y173:Y178)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79">
        <f>SUM(Z173:Z178)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79">
        <f>SUM(AA173:AA178)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79">
        <f>SUM(AB173:AB178)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79">
        <f>SUM(AC173:AC178)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79">
        <f>SUM(AD173:AD178)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79">
        <f>SUM(AE173:AE178)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79">
        <f>SUM(AF173:AF178)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79">
        <f>SUM(AG173:AG178)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79">
        <f>SUM(AH173:AH178)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79">
        <f>SUM(AI173:AI178)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79">
        <f>SUM(AJ173:AJ178)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79">
        <f>SUM(AK173:AK178)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79" start="0" length="0">
      <dxf>
        <font>
          <sz val="12"/>
          <color theme="1"/>
          <name val="Calibri"/>
          <family val="2"/>
          <charset val="238"/>
          <scheme val="minor"/>
        </font>
      </dxf>
    </rfmt>
  </rrc>
  <rrc rId="5553" sId="1" ref="A172:XFD172" action="deleteRow">
    <undo index="65535" exp="area" ref3D="1" dr="$H$1:$N$1048576" dn="Z_65B035E3_87FA_46C5_996E_864F2C8D0EBC_.wvu.Cols" sId="1"/>
    <rfmt sheetId="1" xfDxf="1" sqref="A172:XFD172" start="0" length="0"/>
    <rfmt sheetId="1" sqref="A17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72" t="inlineStr">
        <is>
          <t>TOTAL OLT</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72">
        <f>SUM(S169:S171)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72">
        <f>SUM(T169:T171)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72">
        <f>SUM(U169:U171)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72">
        <f>SUM(V169:V171)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72">
        <f>SUM(W169:W171)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72">
        <f>SUM(X169:X171)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72">
        <f>SUM(Y169:Y171)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72">
        <f>SUM(Z169:Z171)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72">
        <f>SUM(AA169:AA171)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72">
        <f>SUM(AB169:AB171)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72">
        <f>SUM(AC169:AC171)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72">
        <f>SUM(AD169:AD171)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72">
        <f>SUM(AE169:AE171)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72">
        <f>SUM(AF169:AF171)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72">
        <f>SUM(AG169:AG171)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7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72">
        <f>SUM(AI169:AI171)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72">
        <f>SUM(AJ169:AJ171)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72">
        <f>SUM(AK169:AK171)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72" start="0" length="0">
      <dxf>
        <font>
          <sz val="12"/>
          <color theme="1"/>
          <name val="Calibri"/>
          <family val="2"/>
          <charset val="238"/>
          <scheme val="minor"/>
        </font>
      </dxf>
    </rfmt>
  </rrc>
  <rrc rId="5554" sId="1" ref="A168:XFD168" action="deleteRow">
    <undo index="65535" exp="area" ref3D="1" dr="$H$1:$N$1048576" dn="Z_65B035E3_87FA_46C5_996E_864F2C8D0EBC_.wvu.Cols" sId="1"/>
    <rfmt sheetId="1" xfDxf="1" sqref="A168:XFD168" start="0" length="0"/>
    <rfmt sheetId="1" sqref="A16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68" t="inlineStr">
        <is>
          <t>TOTAL NEAMȚ</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68">
        <f>SUM(S165:S167)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68">
        <f>SUM(T165:T167)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68">
        <f>SUM(U165:U167)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68">
        <f>SUM(V165:V167)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68">
        <f>SUM(W165:W167)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68">
        <f>SUM(X165:X167)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68">
        <f>SUM(Y165:Y167)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68">
        <f>SUM(Z165:Z167)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68">
        <f>SUM(AA165:AA167)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68">
        <f>SUM(AB165:AB167)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68">
        <f>SUM(AC165:AC167)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68">
        <f>SUM(AD165:AD167)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68">
        <f>SUM(AE165:AE167)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68">
        <f>SUM(AF165:AF167)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68">
        <f>SUM(AG165:AG167)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68">
        <f>SUM(AH165:AH167)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68">
        <f>SUM(AI165:AI167)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68">
        <f>SUM(AJ165:AJ167)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68">
        <f>SUM(AK165:AK167)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68" start="0" length="0">
      <dxf>
        <font>
          <sz val="12"/>
          <color theme="1"/>
          <name val="Calibri"/>
          <family val="2"/>
          <charset val="238"/>
          <scheme val="minor"/>
        </font>
      </dxf>
    </rfmt>
  </rrc>
  <rrc rId="5555" sId="1" ref="A164:XFD164" action="deleteRow">
    <undo index="65535" exp="area" ref3D="1" dr="$H$1:$N$1048576" dn="Z_65B035E3_87FA_46C5_996E_864F2C8D0EBC_.wvu.Cols" sId="1"/>
    <rfmt sheetId="1" xfDxf="1" sqref="A164:XFD164" start="0" length="0"/>
    <rfmt sheetId="1" sqref="A16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64" t="inlineStr">
        <is>
          <t>TOTAL 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64">
        <f>SUM(S159:S163)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64">
        <f>SUM(T159:T163)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64">
        <f>SUM(U159:U163)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64">
        <f>SUM(V159:V163)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64">
        <f>SUM(W159:W163)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64">
        <f>SUM(X159:X163)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64">
        <f>SUM(Y159:Y163)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64">
        <f>SUM(Z159:Z163)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64">
        <f>SUM(AA159:AA163)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64">
        <f>SUM(AB159:AB163)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64">
        <f>SUM(AC159:AC163)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64">
        <f>SUM(AD159:AD163)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64">
        <f>SUM(AE159:AE163)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64">
        <f>SUM(AF159:AF163)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64">
        <f>SUM(AG159:AG163)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64">
        <f>SUM(AH159:AH163)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64">
        <f>SUM(AI159:AI163)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64">
        <f>SUM(AJ159:AJ163)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64">
        <f>SUM(AK159:AK163)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64" start="0" length="0">
      <dxf>
        <font>
          <sz val="12"/>
          <color theme="1"/>
          <name val="Calibri"/>
          <family val="2"/>
          <charset val="238"/>
          <scheme val="minor"/>
        </font>
      </dxf>
    </rfmt>
  </rrc>
  <rrc rId="5556" sId="1" ref="A158:XFD158" action="deleteRow">
    <undo index="65535" exp="area" ref3D="1" dr="$H$1:$N$1048576" dn="Z_65B035E3_87FA_46C5_996E_864F2C8D0EBC_.wvu.Cols" sId="1"/>
    <rfmt sheetId="1" xfDxf="1" sqref="A158:XFD158" start="0" length="0"/>
    <rfmt sheetId="1" sqref="A15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58" t="inlineStr">
        <is>
          <t>TOTAL MEHEDINȚI</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5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J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58">
        <f>SUM(S155:S157)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58">
        <f>SUM(T155:T157)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58">
        <f>SUM(U155:U157)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58">
        <f>SUM(V155:V157)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58">
        <f>SUM(W155:W157)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58">
        <f>SUM(X155:X157)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58">
        <f>SUM(Y155:Y157)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58">
        <f>SUM(Z155:Z157)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58">
        <f>SUM(AA155:AA157)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58">
        <f>SUM(AB155:AB157)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58">
        <f>SUM(AC155:AC157)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58">
        <f>SUM(AD155:AD157)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58">
        <f>SUM(AE155:AE157)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58">
        <f>SUM(AF155:AF157)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58">
        <f>SUM(AG155:AG157)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5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58">
        <f>SUM(AI155:AI157)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58">
        <f>SUM(AJ155:AJ157)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58">
        <f>SUM(AK155:AK157)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58" start="0" length="0">
      <dxf>
        <font>
          <sz val="12"/>
          <color theme="1"/>
          <name val="Calibri"/>
          <family val="2"/>
          <charset val="238"/>
          <scheme val="minor"/>
        </font>
      </dxf>
    </rfmt>
  </rrc>
  <rrc rId="5557" sId="1" ref="A154:XFD154" action="deleteRow">
    <undo index="65535" exp="area" ref3D="1" dr="$H$1:$N$1048576" dn="Z_65B035E3_87FA_46C5_996E_864F2C8D0EBC_.wvu.Cols" sId="1"/>
    <rfmt sheetId="1" xfDxf="1" sqref="A154:XFD154" start="0" length="0"/>
    <rfmt sheetId="1" sqref="A1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54" t="inlineStr">
        <is>
          <t>TOTAL MARAMUREȘ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54">
        <f>SUM(S152:S153)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54">
        <f>SUM(T152:T153)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54">
        <f>SUM(U152:U153)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54">
        <f>SUM(V152:V153)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54">
        <f>SUM(W152:W153)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54">
        <f>SUM(X152:X153)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54">
        <f>SUM(Y152:Y153)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54">
        <f>SUM(Z152:Z153)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54">
        <f>SUM(AA152:AA153)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54">
        <f>SUM(AB152:AB153)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54">
        <f>SUM(AC152:AC153)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54">
        <f>SUM(AD152:AD153)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54">
        <f>SUM(AE152:AE153)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54">
        <f>SUM(AF152:AF153)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54">
        <f>SUM(AG152:AG153)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5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54">
        <f>SUM(AI152:AI153)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54">
        <f>SUM(AJ152:AJ153)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54">
        <f>SUM(AK152:AK153)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54" start="0" length="0">
      <dxf>
        <font>
          <sz val="12"/>
          <color theme="1"/>
          <name val="Calibri"/>
          <family val="2"/>
          <charset val="238"/>
          <scheme val="minor"/>
        </font>
      </dxf>
    </rfmt>
  </rrc>
  <rrc rId="5558" sId="1" ref="A151:XFD151" action="deleteRow">
    <undo index="65535" exp="area" ref3D="1" dr="$H$1:$N$1048576" dn="Z_65B035E3_87FA_46C5_996E_864F2C8D0EBC_.wvu.Cols" sId="1"/>
    <rfmt sheetId="1" xfDxf="1" sqref="A151:XFD151" start="0" length="0"/>
    <rfmt sheetId="1" sqref="A15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51" t="inlineStr">
        <is>
          <t>TOTAL ILFOV</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51">
        <f>SUM(S148:S150)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51">
        <f>SUM(T148:T150)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51">
        <f>SUM(U148:U150)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51">
        <f>SUM(V148:V150)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51">
        <f>SUM(W148:W150)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51">
        <f>SUM(X148:X150)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51">
        <f>SUM(Y148:Y150)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51">
        <f>SUM(Z148:Z150)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51">
        <f>SUM(AA148:AA150)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51">
        <f>SUM(AB148:AB150)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51">
        <f>SUM(AC148:AC150)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51">
        <f>SUM(AD148:AD150)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51">
        <f>SUM(AE148:AE150)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51">
        <f>SUM(AF148:AF150)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51">
        <f>SUM(AG148:AG150)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51">
        <f>SUM(AH148:AH150)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51">
        <f>SUM(AI148:AI150)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51">
        <f>SUM(AJ148:AJ150)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51">
        <f>SUM(AK148:AK150)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51" start="0" length="0">
      <dxf>
        <font>
          <sz val="12"/>
          <color theme="1"/>
          <name val="Calibri"/>
          <family val="2"/>
          <charset val="238"/>
          <scheme val="minor"/>
        </font>
      </dxf>
    </rfmt>
  </rrc>
  <rrc rId="5559" sId="1" ref="A147:XFD147" action="deleteRow">
    <undo index="65535" exp="area" ref3D="1" dr="$H$1:$N$1048576" dn="Z_65B035E3_87FA_46C5_996E_864F2C8D0EBC_.wvu.Cols" sId="1"/>
    <rfmt sheetId="1" xfDxf="1" sqref="A147:XFD147" start="0" length="0"/>
    <rfmt sheetId="1" sqref="A14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47" t="inlineStr">
        <is>
          <t>TOTAL IAȘI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47">
        <f>S146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47">
        <f>T146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47">
        <f>U146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47">
        <f>V146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47">
        <f>W146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47">
        <f>X146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47">
        <f>Y146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47">
        <f>Z146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47">
        <f>AA146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47">
        <f>AB146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47">
        <f>AC146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47">
        <f>AD146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47">
        <f>AE146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47">
        <f>AF146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47">
        <f>AG146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47">
        <f>AH146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47">
        <f>AI146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47">
        <f>AJ146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47">
        <f>AK146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47" start="0" length="0">
      <dxf>
        <font>
          <sz val="12"/>
          <color theme="1"/>
          <name val="Calibri"/>
          <family val="2"/>
          <charset val="238"/>
          <scheme val="minor"/>
        </font>
      </dxf>
    </rfmt>
  </rrc>
  <rrc rId="5560" sId="1" ref="A145:XFD145" action="deleteRow">
    <undo index="65535" exp="ref" v="1" dr="AB145" r="AE143" sId="1"/>
    <undo index="65535" exp="area" ref3D="1" dr="$H$1:$N$1048576" dn="Z_65B035E3_87FA_46C5_996E_864F2C8D0EBC_.wvu.Cols" sId="1"/>
    <rfmt sheetId="1" xfDxf="1" sqref="A145:XFD145" start="0" length="0"/>
    <rfmt sheetId="1" sqref="A14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45" t="inlineStr">
        <is>
          <t>TOTAL IALOMIȚA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45">
        <f>SUM(S139:S144)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45">
        <f>SUM(T139:T144)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45">
        <f>SUM(U139:U144)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45">
        <f>SUM(V139:V144)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45">
        <f>SUM(W139:W144)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45">
        <f>SUM(X139:X144)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45">
        <f>SUM(Y139:Y144)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45">
        <f>SUM(Z139:Z144)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45">
        <f>SUM(AA139:AA144)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45">
        <f>SUM(AB139:AB144)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45">
        <f>SUM(AC139:AC144)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45">
        <f>SUM(AD139:AD144)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45">
        <f>SUM(AE139:AE144)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45">
        <f>SUM(AF139:AF144)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45">
        <f>SUM(AG139:AG144)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45">
        <f>SUM(AH139:AH144)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45">
        <f>SUM(AI139:AI144)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45">
        <f>SUM(AJ139:AJ144)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45">
        <f>SUM(AK139:AK144)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45" start="0" length="0">
      <dxf>
        <font>
          <sz val="12"/>
          <color theme="1"/>
          <name val="Calibri"/>
          <family val="2"/>
          <charset val="238"/>
          <scheme val="minor"/>
        </font>
      </dxf>
    </rfmt>
  </rrc>
  <rrc rId="5561" sId="1" ref="A138:XFD138" action="deleteRow">
    <undo index="65535" exp="area" ref3D="1" dr="$H$1:$N$1048576" dn="Z_65B035E3_87FA_46C5_996E_864F2C8D0EBC_.wvu.Cols" sId="1"/>
    <rfmt sheetId="1" xfDxf="1" sqref="A138:XFD138" start="0" length="0"/>
    <rfmt sheetId="1" sqref="A13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38" t="inlineStr">
        <is>
          <t>TOTAL HUNEDOARA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38">
        <f>SUM(S130:S137)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38">
        <f>SUM(T130:T137)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38">
        <f>SUM(U130:U137)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38">
        <f>SUM(V130:V137)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38">
        <f>SUM(W130:W137)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38">
        <f>SUM(X130:X137)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38">
        <f>SUM(Y130:Y137)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38">
        <f>SUM(Z130:Z137)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38">
        <f>SUM(AA130:AA137)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38">
        <f>SUM(AB130:AB137)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38">
        <f>SUM(AC130:AC137)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38">
        <f>SUM(AD130:AD137)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38">
        <f>SUM(AE130:AE137)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38">
        <f>SUM(AF130:AF137)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38">
        <f>SUM(AG130:AG137)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38">
        <f>SUM(AH130:AH137)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38">
        <f>SUM(AI130:AI137)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38">
        <f>SUM(AJ130:AJ137)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38">
        <f>SUM(AK130:AK137)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38" start="0" length="0">
      <dxf>
        <font>
          <sz val="12"/>
          <color theme="1"/>
          <name val="Calibri"/>
          <family val="2"/>
          <charset val="238"/>
          <scheme val="minor"/>
        </font>
      </dxf>
    </rfmt>
  </rrc>
  <rrc rId="5562" sId="1" ref="A129:XFD129" action="deleteRow">
    <undo index="65535" exp="area" ref3D="1" dr="$H$1:$N$1048576" dn="Z_65B035E3_87FA_46C5_996E_864F2C8D0EBC_.wvu.Cols" sId="1"/>
    <rfmt sheetId="1" xfDxf="1" sqref="A129:XFD129" start="0" length="0"/>
    <rfmt sheetId="1" sqref="A12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29" t="inlineStr">
        <is>
          <t>TOTAL HARGHITA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29">
        <f>SUM(S125:S128)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29">
        <f>SUM(T125:T128)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29">
        <f>SUM(U125:U128)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29">
        <f>SUM(V125:V128)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29">
        <f>SUM(W125:W128)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29">
        <f>SUM(X125:X128)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29">
        <f>SUM(Y125:Y128)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29">
        <f>SUM(Z125:Z128)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29">
        <f>SUM(AA125:AA128)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29">
        <f>SUM(AB125:AB128)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29">
        <f>SUM(AC125:AC128)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29">
        <f>SUM(AD125:AD128)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29">
        <f>SUM(AE125:AE128)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29">
        <f>SUM(AF125:AF128)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29">
        <f>SUM(AG125:AG128)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29">
        <f>SUM(AH125:AH128)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29">
        <f>SUM(AI125:AI128)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29">
        <f>SUM(AJ125:AJ128)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29">
        <f>SUM(AK125:AK128)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29" start="0" length="0">
      <dxf>
        <font>
          <sz val="12"/>
          <color theme="1"/>
          <name val="Calibri"/>
          <family val="2"/>
          <charset val="238"/>
          <scheme val="minor"/>
        </font>
      </dxf>
    </rfmt>
  </rrc>
  <rrc rId="5563" sId="1" ref="A124:XFD124" action="deleteRow">
    <undo index="65535" exp="area" ref3D="1" dr="$H$1:$N$1048576" dn="Z_65B035E3_87FA_46C5_996E_864F2C8D0EBC_.wvu.Cols" sId="1"/>
    <rfmt sheetId="1" xfDxf="1" sqref="A124:XFD124" start="0" length="0"/>
    <rfmt sheetId="1" sqref="A12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24" t="inlineStr">
        <is>
          <t>TOTAL GORJ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24">
        <f>SUM(S117:S123)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24">
        <f>SUM(T117:T123)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24">
        <f>SUM(U117:U123)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24">
        <f>SUM(V117:V123)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24">
        <f>SUM(W117:W123)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24">
        <f>SUM(X117:X123)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24">
        <f>SUM(Y117:Y123)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24">
        <f>SUM(Z117:Z123)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24">
        <f>SUM(AA117:AA123)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24">
        <f>SUM(AB117:AB123)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24">
        <f>SUM(AC117:AC123)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24">
        <f>SUM(AD117:AD123)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24">
        <f>SUM(AE117:AE123)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24">
        <f>SUM(AF117:AF123)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24">
        <f>SUM(AG117:AG123)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24">
        <f>SUM(AH117:AH123)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24">
        <f>SUM(AI117:AI123)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24">
        <f>SUM(AJ117:AJ123)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24">
        <f>SUM(AK117:AK123)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24" start="0" length="0">
      <dxf>
        <font>
          <sz val="12"/>
          <color theme="1"/>
          <name val="Calibri"/>
          <family val="2"/>
          <charset val="238"/>
          <scheme val="minor"/>
        </font>
      </dxf>
    </rfmt>
  </rrc>
  <rrc rId="5564" sId="1" ref="A116:XFD116" action="deleteRow">
    <undo index="65535" exp="area" ref3D="1" dr="$H$1:$N$1048576" dn="Z_65B035E3_87FA_46C5_996E_864F2C8D0EBC_.wvu.Cols" sId="1"/>
    <rfmt sheetId="1" xfDxf="1" sqref="A116:XFD116" start="0" length="0"/>
    <rfmt sheetId="1" sqref="A11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16" t="inlineStr">
        <is>
          <t>TOTAL GIURGIU</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J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M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16">
        <f>SUM(S112:S115)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16">
        <f>SUM(T112:T115)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16">
        <f>SUM(U112:U115)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16">
        <f>SUM(V112:V115)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16">
        <f>SUM(W112:W115)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16">
        <f>SUM(X112:X115)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16">
        <f>SUM(Y112:Y115)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16">
        <f>SUM(Z112:Z115)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16">
        <f>SUM(AA112:AA115)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16">
        <f>SUM(AB112:AB115)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16">
        <f>SUM(AC112:AC115)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16">
        <f>SUM(AD112:AD115)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16">
        <f>SUM(AE112:AE115)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16">
        <f>SUM(AF112:AF115)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16">
        <f>SUM(AG112:AG115)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16">
        <f>SUM(AH112:AH115)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16">
        <f>SUM(AI112:AI115)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16">
        <f>SUM(AJ112:AJ115)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16">
        <f>SUM(AK112:AK115)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16" start="0" length="0">
      <dxf>
        <font>
          <sz val="12"/>
          <color theme="1"/>
          <name val="Calibri"/>
          <family val="2"/>
          <charset val="238"/>
          <scheme val="minor"/>
        </font>
      </dxf>
    </rfmt>
  </rrc>
  <rrc rId="5565" sId="1" ref="A111:XFD111" action="deleteRow">
    <undo index="65535" exp="area" ref3D="1" dr="$H$1:$N$1048576" dn="Z_65B035E3_87FA_46C5_996E_864F2C8D0EBC_.wvu.Cols" sId="1"/>
    <rfmt sheetId="1" xfDxf="1" sqref="A111:XFD111" start="0" length="0"/>
    <rfmt sheetId="1" sqref="A11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11" t="inlineStr">
        <is>
          <t>TOTAL GALAȚI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J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11">
        <f>SUM(S106:S110)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11">
        <f>SUM(T106:T110)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11">
        <f>SUM(U106:U110)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11">
        <f>SUM(V106:V110)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11">
        <f>SUM(W106:W110)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11">
        <f>SUM(X106:X110)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11">
        <f>SUM(Y106:Y110)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11">
        <f>SUM(Z106:Z110)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11">
        <f>SUM(AA106:AA110)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11">
        <f>SUM(AB106:AB110)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11">
        <f>SUM(AC106:AC110)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11">
        <f>SUM(AD106:AD110)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11">
        <f>SUM(AE106:AE110)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11">
        <f>SUM(AF106:AF110)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11">
        <f>SUM(AG106:AG110)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1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11">
        <f>SUM(AI106:AI110)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11">
        <f>SUM(AJ106:AJ110)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11">
        <f>SUM(AK106:AK110)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11" start="0" length="0">
      <dxf>
        <font>
          <sz val="12"/>
          <color theme="1"/>
          <name val="Calibri"/>
          <family val="2"/>
          <charset val="238"/>
          <scheme val="minor"/>
        </font>
      </dxf>
    </rfmt>
  </rrc>
  <rrc rId="5566" sId="1" ref="A105:XFD105" action="deleteRow">
    <undo index="65535" exp="area" ref3D="1" dr="$H$1:$N$1048576" dn="Z_65B035E3_87FA_46C5_996E_864F2C8D0EBC_.wvu.Cols" sId="1"/>
    <rfmt sheetId="1" xfDxf="1" sqref="A105:XFD105" start="0" length="0"/>
    <rfmt sheetId="1" sqref="A10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05" t="inlineStr">
        <is>
          <t>TOTAL DOLJ</t>
        </is>
      </nc>
      <ndxf>
        <font>
          <b/>
          <sz val="12"/>
          <color auto="1"/>
          <name val="Calibri"/>
          <family val="2"/>
          <charset val="238"/>
          <scheme val="minor"/>
        </font>
        <alignment horizontal="center" vertical="center" wrapText="1"/>
        <border outline="0">
          <top style="thin">
            <color indexed="64"/>
          </top>
          <bottom style="thin">
            <color indexed="64"/>
          </bottom>
        </border>
      </ndxf>
    </rcc>
    <rfmt sheetId="1" sqref="H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05">
        <f>SUM(S96:S104)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05">
        <f>SUM(T96:T104)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05">
        <f>SUM(U96:U104)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05">
        <f>SUM(V96:V104)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05">
        <f>SUM(W96:W104)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05">
        <f>SUM(X96:X104)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05">
        <f>SUM(Y96:Y104)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05">
        <f>SUM(Z96:Z104)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05">
        <f>SUM(AA96:AA104)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05">
        <f>SUM(AB96:AB104)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05">
        <f>SUM(AC96:AC104)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05">
        <f>SUM(AD96:AD104)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05">
        <f>SUM(AE96:AE104)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05">
        <f>SUM(AF96:AF104)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05">
        <f>SUM(AG96:AG104)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05">
        <f>SUM(AH96:AH104)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05">
        <f>SUM(AI96:AI104)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05">
        <f>SUM(AJ96:AJ104)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05">
        <f>SUM(AK96:AK104)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05" start="0" length="0">
      <dxf>
        <font>
          <sz val="12"/>
          <color theme="1"/>
          <name val="Calibri"/>
          <family val="2"/>
          <charset val="238"/>
          <scheme val="minor"/>
        </font>
      </dxf>
    </rfmt>
  </rrc>
  <rrc rId="5567" sId="1" ref="A95:XFD95" action="deleteRow">
    <undo index="65535" exp="area" ref3D="1" dr="$H$1:$N$1048576" dn="Z_65B035E3_87FA_46C5_996E_864F2C8D0EBC_.wvu.Cols" sId="1"/>
    <rfmt sheetId="1" xfDxf="1" sqref="A95:XFD95" start="0" length="0"/>
    <rfmt sheetId="1" sqref="A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95" t="inlineStr">
        <is>
          <t>TOTAL DÂMBOVIȚA</t>
        </is>
      </nc>
      <ndxf>
        <font>
          <b/>
          <sz val="12"/>
          <color auto="1"/>
          <name val="Calibri"/>
          <family val="2"/>
          <charset val="238"/>
          <scheme val="minor"/>
        </font>
        <alignment horizontal="center" vertical="center" wrapText="1"/>
        <border outline="0">
          <top style="thin">
            <color indexed="64"/>
          </top>
          <bottom style="thin">
            <color indexed="64"/>
          </bottom>
        </border>
      </ndxf>
    </rcc>
    <rfmt sheetId="1" sqref="H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95">
        <f>SUM(S93:S94)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95">
        <f>SUM(T93:T94)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95">
        <f>SUM(U93:U94)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95">
        <f>SUM(V93:V94)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95">
        <f>SUM(W93:W94)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95">
        <f>SUM(X93:X94)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95">
        <f>SUM(Y93:Y94)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95">
        <f>SUM(Z93:Z94)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95">
        <f>SUM(AA93:AA94)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95">
        <f>SUM(AB93:AB94)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95">
        <f>SUM(AC93:AC94)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95">
        <f>SUM(AD93:AD94)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95">
        <f>SUM(AE93:AE94)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95">
        <f>SUM(AF93:AF94)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95">
        <f>SUM(AG93:AG94)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9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95">
        <f>SUM(AI93:AI94)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95">
        <f>SUM(AJ93:AJ94)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95">
        <f>SUM(AK93:AK94)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95" start="0" length="0">
      <dxf>
        <font>
          <sz val="12"/>
          <color theme="1"/>
          <name val="Calibri"/>
          <family val="2"/>
          <charset val="238"/>
          <scheme val="minor"/>
        </font>
      </dxf>
    </rfmt>
  </rrc>
  <rrc rId="5568" sId="1" ref="A92:XFD92" action="deleteRow">
    <undo index="65535" exp="area" ref3D="1" dr="$H$1:$N$1048576" dn="Z_65B035E3_87FA_46C5_996E_864F2C8D0EBC_.wvu.Cols" sId="1"/>
    <rfmt sheetId="1" xfDxf="1" sqref="A92:XFD92" start="0" length="0"/>
    <rfmt sheetId="1" sqref="A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92" t="inlineStr">
        <is>
          <t>TOTAL COVASNA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92">
        <f>SUM(S91:S91)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92">
        <f>SUM(T91:T91)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92">
        <f>SUM(U91:U91)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92">
        <f>SUM(V91:V91)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92">
        <f>SUM(W91:W91)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92">
        <f>SUM(X91:X91)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92">
        <f>SUM(Y91:Y91)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92">
        <f>SUM(Z91:Z91)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92">
        <f>SUM(AA91:AA91)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92">
        <f>SUM(AB91:AB91)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92">
        <f>SUM(AC91:AC91)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92">
        <f>SUM(AD91:AD91)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92">
        <f>SUM(AE91:AE91)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92">
        <f>SUM(AF91:AF91)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92">
        <f>SUM(AG91:AG91)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9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92">
        <f>SUM(AI91:AI91)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92">
        <f>SUM(AJ91:AJ91)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92">
        <f>SUM(AK91:AK91)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92" start="0" length="0">
      <dxf>
        <font>
          <sz val="12"/>
          <color theme="1"/>
          <name val="Calibri"/>
          <family val="2"/>
          <charset val="238"/>
          <scheme val="minor"/>
        </font>
      </dxf>
    </rfmt>
  </rrc>
  <rrc rId="5569" sId="1" ref="A90:XFD90" action="deleteRow">
    <undo index="65535" exp="area" ref3D="1" dr="$H$1:$N$1048576" dn="Z_65B035E3_87FA_46C5_996E_864F2C8D0EBC_.wvu.Cols" sId="1"/>
    <rfmt sheetId="1" xfDxf="1" sqref="A90:XFD90" start="0" length="0"/>
    <rfmt sheetId="1" sqref="A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90" t="inlineStr">
        <is>
          <t>TOTAL CONSTANȚA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9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I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90">
        <f>SUM(S85:S89)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90">
        <f>SUM(T85:T89)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90">
        <f>SUM(U85:U89)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90">
        <f>SUM(V85:V89)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90">
        <f>SUM(W85:W89)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90">
        <f>SUM(X85:X89)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90">
        <f>SUM(Y85:Y89)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90">
        <f>SUM(Z85:Z89)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90">
        <f>SUM(AA85:AA89)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90">
        <f>SUM(AB85:AB89)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90">
        <f>SUM(AC85:AC89)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90">
        <f>SUM(AD85:AD89)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90">
        <f>SUM(AE85:AE89)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90">
        <f>SUM(AF85:AF89)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90">
        <f>SUM(AG85:AG89)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90">
        <f>SUM(AH85:AH89)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90">
        <f>SUM(AI85:AI89)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90">
        <f>SUM(AJ85:AJ89)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90">
        <f>SUM(AK85:AK89)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90" start="0" length="0">
      <dxf>
        <font>
          <sz val="12"/>
          <color theme="1"/>
          <name val="Calibri"/>
          <family val="2"/>
          <charset val="238"/>
          <scheme val="minor"/>
        </font>
      </dxf>
    </rfmt>
  </rrc>
  <rrc rId="5570" sId="1" ref="A84:XFD84" action="deleteRow">
    <undo index="65535" exp="area" ref3D="1" dr="$H$1:$N$1048576" dn="Z_65B035E3_87FA_46C5_996E_864F2C8D0EBC_.wvu.Cols" sId="1"/>
    <rfmt sheetId="1" xfDxf="1" sqref="A84:XFD84" start="0" length="0"/>
    <rfmt sheetId="1" sqref="A84" start="0" length="0">
      <dxf>
        <font>
          <b/>
          <sz val="12"/>
          <color auto="1"/>
          <name val="Calibri"/>
          <family val="2"/>
          <charset val="238"/>
          <scheme val="minor"/>
        </font>
        <alignment horizontal="center" vertical="center" wrapText="1"/>
        <border outline="0">
          <left style="medium">
            <color indexed="64"/>
          </left>
          <top style="thin">
            <color indexed="64"/>
          </top>
          <bottom style="thin">
            <color indexed="64"/>
          </bottom>
        </border>
      </dxf>
    </rfmt>
    <rfmt sheetId="1" sqref="B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84" start="0" length="0">
      <dxf>
        <font>
          <b/>
          <sz val="12"/>
          <color auto="1"/>
          <name val="Calibri"/>
          <family val="2"/>
          <charset val="238"/>
          <scheme val="minor"/>
        </font>
        <alignment horizontal="center" vertical="center" wrapText="1"/>
        <border outline="0">
          <top style="thin">
            <color indexed="64"/>
          </top>
          <bottom style="thin">
            <color indexed="64"/>
          </bottom>
        </border>
      </dxf>
    </rfmt>
    <rfmt sheetId="1" sqref="D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84" t="inlineStr">
        <is>
          <t>TOTAL CLUJ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84"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I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84">
        <f>SUM(S77:S83)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84">
        <f>SUM(T77:T83)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84">
        <f>SUM(U77:U83)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84">
        <f>SUM(V77:V83)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84">
        <f>SUM(W77:W83)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84">
        <f>SUM(X77:X83)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84">
        <f>SUM(Y77:Y83)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84">
        <f>SUM(Z77:Z83)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84">
        <f>SUM(AA77:AA83)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84">
        <f>SUM(AB77:AB83)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84">
        <f>SUM(AC77:AC83)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84">
        <f>SUM(AD77:AD83)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84">
        <f>SUM(AE77:AE83)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84">
        <f>SUM(AF77:AF83)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84">
        <f>SUM(AG77:AG83)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84">
        <f>SUM(AH77:AH83)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84">
        <f>SUM(AI77:AI83)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84">
        <f>SUM(AJ77:AJ83)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84">
        <f>SUM(AK77:AK83)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84" start="0" length="0">
      <dxf>
        <font>
          <sz val="12"/>
          <color theme="1"/>
          <name val="Calibri"/>
          <family val="2"/>
          <charset val="238"/>
          <scheme val="minor"/>
        </font>
      </dxf>
    </rfmt>
  </rrc>
  <rrc rId="5571" sId="1" ref="A76:XFD76" action="deleteRow">
    <undo index="65535" exp="area" ref3D="1" dr="$H$1:$N$1048576" dn="Z_65B035E3_87FA_46C5_996E_864F2C8D0EBC_.wvu.Cols" sId="1"/>
    <rfmt sheetId="1" xfDxf="1" sqref="A76:XFD76" start="0" length="0"/>
    <rfmt sheetId="1" sqref="A76" start="0" length="0">
      <dxf>
        <font>
          <b/>
          <sz val="12"/>
          <color auto="1"/>
          <name val="Calibri"/>
          <family val="2"/>
          <charset val="238"/>
          <scheme val="minor"/>
        </font>
        <alignment horizontal="center" vertical="center" wrapText="1"/>
        <border outline="0">
          <left style="medium">
            <color indexed="64"/>
          </left>
          <top style="thin">
            <color indexed="64"/>
          </top>
          <bottom style="thin">
            <color indexed="64"/>
          </bottom>
        </border>
      </dxf>
    </rfmt>
    <rfmt sheetId="1" sqref="B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6"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76" start="0" length="0">
      <dxf>
        <font>
          <b/>
          <sz val="12"/>
          <color auto="1"/>
          <name val="Calibri"/>
          <family val="2"/>
          <charset val="238"/>
          <scheme val="minor"/>
        </font>
        <alignment horizontal="center" vertical="center" wrapText="1"/>
        <border outline="0">
          <left style="thin">
            <color indexed="64"/>
          </left>
          <top style="thin">
            <color indexed="64"/>
          </top>
          <bottom style="thin">
            <color indexed="64"/>
          </bottom>
        </border>
      </dxf>
    </rfmt>
    <rfmt sheetId="1" sqref="F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76" t="inlineStr">
        <is>
          <t>TOTAL CARAȘ SEVERIN</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7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I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76">
        <f>SUM(S73:S75)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76">
        <f>SUM(T73:T75)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76">
        <f>SUM(U73:U74)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76">
        <f>SUM(V73:V75)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76">
        <f>SUM(W73:W75)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76">
        <f>SUM(X73:X74)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76">
        <f>SUM(Y73:Y75)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76">
        <f>SUM(Z73:Z75)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76">
        <f>SUM(AA73:AA74)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76">
        <f>SUM(AB73:AB74)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76">
        <f>SUM(AC73:AC74)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76">
        <f>SUM(AD73:AD74)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76">
        <f>SUM(AE73:AE75)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76">
        <f>SUM(AF73:AF74)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76">
        <f>SUM(AG73:AG75)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7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76">
        <f>SUM(AI73:AI73)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76">
        <f>SUM(AJ73:AJ73)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76">
        <f>SUM(AK73:AK73)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76" start="0" length="0">
      <dxf>
        <font>
          <sz val="12"/>
          <color theme="1"/>
          <name val="Calibri"/>
          <family val="2"/>
          <charset val="238"/>
          <scheme val="minor"/>
        </font>
      </dxf>
    </rfmt>
  </rrc>
  <rfmt sheetId="1" sqref="A1:AL3">
    <dxf>
      <fill>
        <patternFill patternType="solid">
          <bgColor theme="9" tint="0.59999389629810485"/>
        </patternFill>
      </fill>
    </dxf>
  </rfmt>
  <rrc rId="5572" sId="1" ref="AL1:AL1048576" action="deleteCol">
    <undo index="65535" exp="area" ref3D="1" dr="$A$4:$AL$439" dn="Z_F952A18B_3430_4F65_89F2_B7C17998F981_.wvu.FilterData" sId="1"/>
    <undo index="65535" exp="area" ref3D="1" dr="$A$4:$AL$439" dn="Z_F52D90D4_508D_43B6_8295_6D179E5F0FEB_.wvu.FilterData" sId="1"/>
    <undo index="65535" exp="area" ref3D="1" dr="$A$1:$AL$439" dn="Z_EA64E7D7_BA48_4965_B650_778AE412FE0C_.wvu.PrintArea" sId="1"/>
    <undo index="65535" exp="area" ref3D="1" dr="$A$1:$AL$72" dn="Z_CEFAC6F5_4048_4FB5_8E88_A602B5B48691_.wvu.FilterData" sId="1"/>
    <undo index="65535" exp="area" ref3D="1" dr="$A$4:$AL$439" dn="Z_EFE45138_A2B3_46EB_8A69_D9745D73FBF5_.wvu.FilterData" sId="1"/>
    <undo index="65535" exp="area" ref3D="1" dr="$A$4:$AL$439" dn="Z_EF10298D_3F59_43F1_9A86_8C1CCA3B5D93_.wvu.FilterData" sId="1"/>
    <undo index="65535" exp="area" ref3D="1" dr="$A$4:$AL$439" dn="Z_EB0F2E6A_FA33_479E_9A47_8E3494FBB4DE_.wvu.FilterData" sId="1"/>
    <undo index="65535" exp="area" ref3D="1" dr="$A$3:$AL$286" dn="Z_E64C6006_DE37_44CA_8083_01C511E323D9_.wvu.FilterData" sId="1"/>
    <undo index="65535" exp="area" ref3D="1" dr="$A$1:$AL$405" dn="Z_FE50EAC0_52A5_4C33_B973_65E93D03D3EA_.wvu.FilterData" sId="1"/>
    <undo index="65535" exp="area" ref3D="1" dr="$A$4:$AL$439" dn="Z_DB43929D_F4B7_43FF_975F_960476D189E8_.wvu.FilterData" sId="1"/>
    <undo index="65535" exp="area" ref3D="1" dr="$A$4:$AL$439" dn="Z_D802EE0F_98B9_4410_B31B_4ACC0EC9C9BC_.wvu.FilterData" sId="1"/>
    <undo index="65535" exp="area" ref3D="1" dr="$A$1:$AL$439" dn="Z_EEA37434_2D22_478B_B49F_C3E8CD4AC2E1_.wvu.PrintArea" sId="1"/>
    <undo index="65535" exp="area" ref3D="1" dr="$A$4:$AL$439" dn="Z_DD93CA86_AFD6_4C47_828D_70472BFCD288_.wvu.FilterData" sId="1"/>
    <undo index="65535" exp="area" ref3D="1" dr="$A$4:$AL$439" dn="Z_D365E121_F95E_415A_8CA0_9EA7ECCC60F5_.wvu.FilterData" sId="1"/>
    <undo index="65535" exp="area" ref3D="1" dr="$A$1:$AL$286" dn="Z_CC51448C_22F6_4583_82CD_2835AD1A82D7_.wvu.FilterData" sId="1"/>
    <undo index="65535" exp="area" ref3D="1" dr="$A$4:$AL$439" dn="Z_DE09B69C_7EEF_4060_8E06_F7DEC4B96D7E_.wvu.FilterData" sId="1"/>
    <undo index="65535" exp="area" ref3D="1" dr="$A$1:$AL$439" dn="Z_EF10298D_3F59_43F1_9A86_8C1CCA3B5D93_.wvu.PrintArea" sId="1"/>
    <undo index="65535" exp="area" ref3D="1" dr="$A$1:$AL$375" dn="Z_FFC44E67_8559_4D31_893D_BF5BA4229E04_.wvu.FilterData" sId="1"/>
    <undo index="65535" exp="area" ref3D="1" dr="$A$1:$AL$439" dn="Z_EB0F2E6A_FA33_479E_9A47_8E3494FBB4DE_.wvu.PrintArea" sId="1"/>
    <undo index="65535" exp="area" ref3D="1" dr="$A$1:$AL$439" dn="Z_DB51BB9F_5710_40B0_80E7_39B059BFD11D_.wvu.PrintArea" sId="1"/>
    <undo index="65535" exp="area" ref3D="1" dr="$A$1:$AL$439" dn="Z_FE50EAC0_52A5_4C33_B973_65E93D03D3EA_.wvu.PrintArea" sId="1"/>
    <undo index="65535" exp="area" ref3D="1" dr="$A$1:$AL$405" dn="Z_8AA945B4_D724_4D85_9940_66A1F18CFF54_.wvu.FilterData" sId="1"/>
    <undo index="65535" exp="area" ref3D="1" dr="$A$4:$AL$439" dn="Z_87F9ACD0_3200_450C_B310_DAAD5FC85307_.wvu.FilterData" sId="1"/>
    <undo index="65535" exp="area" ref3D="1" dr="$A$4:$AL$439" dn="Z_7D2F4374_D571_49E4_B659_129D2AFDC43C_.wvu.FilterData" sId="1"/>
    <undo index="65535" exp="area" ref3D="1" dr="$A$4:$AL$439" dn="Z_6CE52079_5576_45A5_9A9F_9CA970D849EF_.wvu.FilterData" sId="1"/>
    <undo index="65535" exp="area" ref3D="1" dr="$A$4:$AL$439" dn="Z_C71F80D5_B6C1_4ED9_B18D_D719D69F5A47_.wvu.FilterData" sId="1"/>
    <undo index="65535" exp="area" ref3D="1" dr="$A$4:$AL$439" dn="Z_A87F3E0E_3A8E_4B82_8170_33752259B7DB_.wvu.FilterData" sId="1"/>
    <undo index="65535" exp="area" ref3D="1" dr="$A$1:$AL$439" dn="Z_905D93EA_5662_45AB_8995_A9908B3E5D52_.wvu.PrintArea" sId="1"/>
    <undo index="65535" exp="area" ref3D="1" dr="$A$1:$AL$439" dn="Z_747340EB_2B31_46D2_ACDE_4FA91E2B50F6_.wvu.PrintArea" sId="1"/>
    <undo index="65535" exp="area" ref3D="1" dr="$A$4:$AL$439" dn="Z_831F7439_6937_483F_B601_184FEF5CECFD_.wvu.FilterData" sId="1"/>
    <undo index="65535" exp="area" ref3D="1" dr="$A$1:$AL$405" dn="Z_C408A2F1_296F_4EAD_B15B_336D73846FDD_.wvu.FilterData" sId="1"/>
    <undo index="65535" exp="area" ref3D="1" dr="$A$4:$AL$439" dn="Z_AECBC9F6_D9DE_4043_9C2F_160F7ECDAD3D_.wvu.FilterData" sId="1"/>
    <undo index="65535" exp="area" ref3D="1" dr="$A$1:$AL$439" dn="Z_7C1B4D6D_D666_48DD_AB17_E00791B6F0B6_.wvu.PrintArea" sId="1"/>
    <undo index="65535" exp="area" ref3D="1" dr="$A$4:$AL$439" dn="Z_97F6C5A1_2596_4037_A854_1D6AE8A1071E_.wvu.FilterData" sId="1"/>
    <undo index="65535" exp="area" ref3D="1" dr="$A$4:$AL$439" dn="Z_89F20599_320E_4C2A_9159_8E9F2F24F61C_.wvu.FilterData" sId="1"/>
    <undo index="65535" exp="area" ref3D="1" dr="$A$4:$AL$439" dn="Z_902D3CAF_0577_4A3F_A86A_C01FD8CA4695_.wvu.FilterData" sId="1"/>
    <undo index="65535" exp="area" ref3D="1" dr="$A$4:$AL$439" dn="Z_83085181_C77C_4D05_8C8A_9B8FFC5A1DD7_.wvu.FilterData" sId="1"/>
    <undo index="65535" exp="area" ref3D="1" dr="$A$4:$AL$439" dn="Z_CAB79FAE_AA32_4D62_A794_A6DB6513D801_.wvu.FilterData" sId="1"/>
    <undo index="65535" exp="area" ref3D="1" dr="$A$4:$AL$439" dn="Z_C4E44235_F714_4BCE_B2B0_F4813D3BDF91_.wvu.FilterData" sId="1"/>
    <undo index="65535" exp="area" ref3D="1" dr="$A$1:$AL$439" dn="Z_C408A2F1_296F_4EAD_B15B_336D73846FDD_.wvu.PrintArea" sId="1"/>
    <undo index="65535" exp="area" ref3D="1" dr="$A$1:$AL$439" dn="Z_C3502361_AD2C_4705_878B_D12169ED60B1_.wvu.PrintArea" sId="1"/>
    <undo index="65535" exp="area" ref3D="1" dr="$A$4:$AL$439" dn="Z_C3502361_AD2C_4705_878B_D12169ED60B1_.wvu.FilterData" sId="1"/>
    <undo index="65535" exp="area" ref3D="1" dr="$A$4:$AL$439" dn="Z_9F268523_731B_48FE_86AA_1A6382332A83_.wvu.FilterData" sId="1"/>
    <undo index="65535" exp="area" ref3D="1" dr="$A$1:$AL$439" dn="Z_A5B1481C_EF26_486A_984F_85CDDC2FD94F_.wvu.PrintArea" sId="1"/>
    <undo index="65535" exp="area" ref3D="1" dr="$A$1:$AL$405" dn="Z_9048650B_365B_48D5_8FC2_A911C6E66865_.wvu.FilterData" sId="1"/>
    <undo index="65535" exp="area" ref3D="1" dr="$A$4:$AL$439" dn="Z_91199DA1_59E7_4345_8CB7_A1085C901326_.wvu.FilterData" sId="1"/>
    <undo index="65535" exp="area" ref3D="1" dr="$A$4:$AL$439" dn="Z_BB5C630D_1317_4843_984F_E431986514A4_.wvu.FilterData" sId="1"/>
    <undo index="65535" exp="area" ref3D="1" dr="$A$4:$AL$439" dn="Z_AE58BCBC_9F06_4E6C_A28B_2F5626DD7C1B_.wvu.FilterData" sId="1"/>
    <undo index="65535" exp="area" ref3D="1" dr="$A$4:$AL$439" dn="Z_923E7374_9C36_4380_9E0A_313EA2F408F0_.wvu.FilterData" sId="1"/>
    <undo index="65535" exp="area" ref3D="1" dr="$A$1:$AL$439" dn="Z_84FB199A_D56E_4FDD_AC4A_70CE86CD87BC_.wvu.PrintArea" sId="1"/>
    <undo index="65535" exp="area" ref3D="1" dr="$A$1:$AL$439" dn="Z_A87F3E0E_3A8E_4B82_8170_33752259B7DB_.wvu.PrintArea" sId="1"/>
    <undo index="65535" exp="area" ref3D="1" dr="$A$4:$AL$439" dn="Z_A5EFE636_E984_4BB3_BEFD_877FE7A4960F_.wvu.FilterData" sId="1"/>
    <undo index="65535" exp="area" ref3D="1" dr="$A$3:$AL$286" dn="Z_A3134A53_5204_4FFF_BA84_3528D3179C0C_.wvu.FilterData" sId="1"/>
    <undo index="65535" exp="area" ref3D="1" dr="$A$1:$AL$72" dn="Z_9980B309_0131_4577_BF29_212714399FDF_.wvu.FilterData" sId="1"/>
    <undo index="65535" exp="area" ref3D="1" dr="$A$1:$AL$439" dn="Z_901F9774_8BE7_424D_87C2_1026F3FA2E93_.wvu.PrintArea" sId="1"/>
    <undo index="65535" exp="area" ref3D="1" dr="$A$1:$AL$439" dn="Z_9EA5E3FA_46F1_4729_828C_4A08518018C1_.wvu.PrintArea" sId="1"/>
    <undo index="65535" exp="area" ref3D="1" dr="$A$1:$AL$439" dn="Z_9980B309_0131_4577_BF29_212714399FDF_.wvu.PrintArea" sId="1"/>
    <undo index="65535" exp="area" ref3D="1" dr="$A$1:$AL$405" dn="Z_90D527B8_FE15_48EB_8A8E_6DB0EBF25D81_.wvu.FilterData" sId="1"/>
    <undo index="65535" exp="area" ref3D="1" dr="$A$4:$AL$439" dn="Z_2355B1FA_E7E3_44CD_A529_24812589AA28_.wvu.FilterData" sId="1"/>
    <undo index="65535" exp="area" ref3D="1" dr="$A$1:$AL$439" dn="Z_2C296388_EDB5_4F1F_B0F4_90EC07CCD947_.wvu.PrintArea" sId="1"/>
    <undo index="65535" exp="area" ref3D="1" dr="$A$4:$AL$439" dn="Z_2547C3D7_22F7_4CAF_8E48_C8F3425DB942_.wvu.FilterData" sId="1"/>
    <undo index="65535" exp="area" ref3D="1" dr="$A$4:$AL$439" dn="Z_4FDB167B_D56E_45D4_B120_847D0871AA6B_.wvu.FilterData" sId="1"/>
    <undo index="65535" exp="area" ref3D="1" dr="$A$1:$AL$439" dn="Z_36624B2D_80F9_4F79_AC4A_B3547C36F23F_.wvu.PrintArea" sId="1"/>
    <undo index="65535" exp="area" ref3D="1" dr="$A$4:$AL$439" dn="Z_324E461A_DC75_4814_87BA_41F170D0ED0B_.wvu.FilterData" sId="1"/>
    <undo index="65535" exp="area" ref3D="1" dr="$A$4:$AL$439" dn="Z_377DA8E3_6D61_4CAB_8EDD_2C41FF81A19E_.wvu.FilterData" sId="1"/>
    <undo index="65535" exp="area" ref3D="1" dr="$A$4:$AL$439" dn="Z_2A26C971_CCE6_49C7_89EC_0B2699E5DD98_.wvu.FilterData" sId="1"/>
    <undo index="65535" exp="area" ref3D="1" dr="$A$4:$AL$439" dn="Z_529F67B3_DE0D_4FDC_BFEA_8F16107265EB_.wvu.FilterData" sId="1"/>
    <undo index="65535" exp="area" ref3D="1" dr="$A$4:$AL$439" dn="Z_53ED3D47_B2C0_43A1_9A1E_F030D529F74C_.wvu.FilterData" sId="1"/>
    <undo index="65535" exp="area" ref3D="1" dr="$A$4:$AL$439" dn="Z_3A3E83F9_303A_4CDE_BDDB_A2D752554829_.wvu.FilterData" sId="1"/>
    <undo index="65535" exp="area" ref3D="1" dr="$A$1:$AL$405" dn="Z_471339A8_E0FA_4CA1_8194_04936068CF02_.wvu.FilterData" sId="1"/>
    <undo index="65535" exp="area" ref3D="1" dr="$A$4:$AL$439" dn="Z_417D6CD8_690F_495B_A03E_2A89D52B6CE8_.wvu.FilterData" sId="1"/>
    <undo index="65535" exp="area" ref3D="1" dr="$A$1:$AL$439" dn="Z_3AFE79CE_CE75_447D_8C73_1AE63A224CBA_.wvu.PrintArea" sId="1"/>
    <undo index="65535" exp="area" ref3D="1" dr="$A$1:$AL$405" dn="Z_36624B2D_80F9_4F79_AC4A_B3547C36F23F_.wvu.FilterData" sId="1"/>
    <undo index="65535" exp="area" ref3D="1" dr="$A$4:$AL$439" dn="Z_305BEEB9_C99E_4E52_A4AB_56EA1595A366_.wvu.FilterData" sId="1"/>
    <undo index="65535" exp="area" ref3D="1" dr="$A$4:$AL$439" dn="Z_17F4A6A1_469E_46FB_A3A0_041FC3712E3B_.wvu.FilterData" sId="1"/>
    <undo index="65535" exp="area" ref3D="1" dr="$A$4:$AL$439" dn="Z_0A043D96_6DF8_4E40_9D1E_818A39BAFD81_.wvu.FilterData" sId="1"/>
    <undo index="65535" exp="area" ref3D="1" dr="$A$4:$AL$439" dn="Z_34BB42D3_88F0_437E_91ED_3E3C369B9525_.wvu.FilterData" sId="1"/>
    <undo index="65535" exp="area" ref3D="1" dr="$A$1:$AL$439" dn="Z_5AAA4DFE_88B1_4674_95ED_5FCD7A50BC22_.wvu.PrintArea" sId="1"/>
    <undo index="65535" exp="area" ref3D="1" dr="$A$1:$AL$286" dn="Z_4179C3D9_D1C3_46CD_B643_627525757C5E_.wvu.FilterData" sId="1"/>
    <undo index="65535" exp="area" ref3D="1" dr="$A$1:$AL$375" dn="Z_5E661ABE_E06E_455E_A661_DDD1907219D0_.wvu.FilterData" sId="1"/>
    <undo index="65535" exp="area" ref3D="1" dr="$A$4:$AL$439" dn="Z_5A66C3D0_FC57_4AA7_B0C6_C5E9A7DE2A79_.wvu.FilterData" sId="1"/>
    <undo index="65535" exp="area" ref3D="1" dr="$A$1:$AL$375" dn="Z_4AAB8139_F2B6_43E5_8C9F_E607BD4F44E4_.wvu.FilterData" sId="1"/>
    <undo index="65535" exp="area" ref3D="1" dr="$A$3:$AL$405" dn="Z_250231BB_5F02_4B46_B1CA_B904A9B40BA2_.wvu.FilterData" sId="1"/>
    <undo index="65535" exp="area" ref3D="1" dr="$A$4:$AL$439" dn="Z_2E491347_3C24_4F24_80DE_5DC574AA2438_.wvu.FilterData" sId="1"/>
    <undo index="65535" exp="area" ref3D="1" dr="$A$4:$AL$439" dn="Z_3E7AD119_0031_4735_857B_FBC0C47AB231_.wvu.FilterData" sId="1"/>
    <undo index="65535" exp="area" ref3D="1" dr="$A$4:$AL$439" dn="Z_3E15816F_2EBF_42BD_89BB_84C7827E4C28_.wvu.FilterData" sId="1"/>
    <undo index="65535" exp="area" ref3D="1" dr="$A$4:$AL$439" dn="Z_38C68E87_361F_434A_8BE4_BA2AF4CB3868_.wvu.FilterData" sId="1"/>
    <undo index="65535" exp="area" ref3D="1" dr="$A$4:$AL$439" dn="Z_41AA4E5D_9625_4478_B720_2BD6AE34E699_.wvu.FilterData" sId="1"/>
    <undo index="65535" exp="area" ref3D="1" dr="$A$1:$AL$439" dn="Z_65C35D6D_934F_4431_BA92_90255FC17BA4_.wvu.PrintArea" sId="1"/>
    <undo index="65535" exp="area" ref3D="1" dr="$A$1:$AL$405" dn="Z_65C35D6D_934F_4431_BA92_90255FC17BA4_.wvu.FilterData" sId="1"/>
    <undo index="65535" exp="area" ref3D="1" dr="$A$1:$AL$439" dn="Z_53ED3D47_B2C0_43A1_9A1E_F030D529F74C_.wvu.PrintArea" sId="1"/>
    <undo index="65535" exp="area" ref3D="1" dr="$A$1:$AL$439" dn="Z_65B035E3_87FA_46C5_996E_864F2C8D0EBC_.wvu.PrintArea" sId="1"/>
    <undo index="65535" exp="area" ref3D="1" dr="$A$1:$AL$405" dn="Z_5AAA4DFE_88B1_4674_95ED_5FCD7A50BC22_.wvu.FilterData" sId="1"/>
    <undo index="65535" exp="area" ref3D="1" dr="$A$4:$AL$439" dn="Z_3AFE79CE_CE75_447D_8C73_1AE63A224CBA_.wvu.FilterData" sId="1"/>
    <undo index="65535" exp="area" ref3D="1" dr="$A$1:$AL$439" dn="Z_0781B6C2_B440_4971_9809_BD16245A70FD_.wvu.PrintArea" sId="1"/>
    <undo index="65535" exp="area" ref3D="1" dr="$A$1:$AL$405" dn="Z_0781B6C2_B440_4971_9809_BD16245A70FD_.wvu.FilterData" sId="1"/>
    <undo index="65535" exp="area" ref3D="1" dr="$A$4:$AL$439" dn="Z_0585DD1B_89D4_4278_953B_FA6D57DCCE82_.wvu.FilterData" sId="1"/>
    <undo index="65535" exp="area" ref3D="1" dr="$A$1:$AL$439" dn="Print_Area" sId="1"/>
    <rfmt sheetId="1" xfDxf="1" sqref="AL1:AL1048576" start="0" length="0"/>
    <rcc rId="0" sId="1" dxf="1">
      <nc r="AL1" t="inlineStr">
        <is>
          <t>Data
Raportare</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AL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umFmtId="19">
      <nc r="AL3">
        <v>43630</v>
      </nc>
      <ndxf>
        <font>
          <b/>
          <sz val="12"/>
          <color auto="1"/>
          <name val="Calibri"/>
          <family val="2"/>
          <charset val="238"/>
          <scheme val="minor"/>
        </font>
        <numFmt numFmtId="19" formatCode="dd/mm/yyyy"/>
        <fill>
          <patternFill patternType="solid">
            <bgColor theme="9" tint="0.59999389629810485"/>
          </patternFill>
        </fill>
        <alignment vertical="center" wrapText="1"/>
        <border outline="0">
          <left style="thin">
            <color indexed="64"/>
          </left>
          <right style="thin">
            <color indexed="64"/>
          </right>
          <top style="thin">
            <color indexed="64"/>
          </top>
          <bottom style="thin">
            <color indexed="64"/>
          </bottom>
        </border>
      </ndxf>
    </rcc>
    <rfmt sheetId="1" sqref="AL4"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5" start="0" length="0">
      <dxf>
        <font>
          <sz val="12"/>
          <color theme="1"/>
          <name val="Calibri"/>
          <family val="2"/>
          <charset val="238"/>
          <scheme val="minor"/>
        </font>
      </dxf>
    </rfmt>
    <rfmt sheetId="1" sqref="AL6" start="0" length="0">
      <dxf>
        <font>
          <sz val="12"/>
          <color theme="1"/>
          <name val="Calibri"/>
          <family val="2"/>
          <charset val="238"/>
          <scheme val="minor"/>
        </font>
      </dxf>
    </rfmt>
    <rfmt sheetId="1" sqref="AL7" start="0" length="0">
      <dxf>
        <font>
          <sz val="12"/>
          <color theme="1"/>
          <name val="Calibri"/>
          <family val="2"/>
          <charset val="238"/>
          <scheme val="minor"/>
        </font>
      </dxf>
    </rfmt>
    <rfmt sheetId="1" sqref="AL8" start="0" length="0">
      <dxf>
        <font>
          <sz val="12"/>
          <color theme="1"/>
          <name val="Calibri"/>
          <family val="2"/>
          <charset val="238"/>
          <scheme val="minor"/>
        </font>
      </dxf>
    </rfmt>
    <rfmt sheetId="1" sqref="AL9" start="0" length="0">
      <dxf>
        <font>
          <sz val="12"/>
          <color theme="1"/>
          <name val="Calibri"/>
          <family val="2"/>
          <charset val="238"/>
          <scheme val="minor"/>
        </font>
      </dxf>
    </rfmt>
    <rfmt sheetId="1" sqref="AL10" start="0" length="0">
      <dxf>
        <font>
          <sz val="12"/>
          <color theme="1"/>
          <name val="Calibri"/>
          <family val="2"/>
          <charset val="238"/>
          <scheme val="minor"/>
        </font>
      </dxf>
    </rfmt>
    <rfmt sheetId="1" sqref="AL11" start="0" length="0">
      <dxf>
        <font>
          <sz val="12"/>
          <color theme="1"/>
          <name val="Calibri"/>
          <family val="2"/>
          <charset val="238"/>
          <scheme val="minor"/>
        </font>
      </dxf>
    </rfmt>
    <rfmt sheetId="1" sqref="AL12" start="0" length="0">
      <dxf>
        <font>
          <sz val="12"/>
          <color theme="1"/>
          <name val="Calibri"/>
          <family val="2"/>
          <charset val="238"/>
          <scheme val="minor"/>
        </font>
      </dxf>
    </rfmt>
    <rfmt sheetId="1" sqref="AL13" start="0" length="0">
      <dxf>
        <font>
          <sz val="12"/>
          <color theme="1"/>
          <name val="Calibri"/>
          <family val="2"/>
          <charset val="238"/>
          <scheme val="minor"/>
        </font>
      </dxf>
    </rfmt>
    <rfmt sheetId="1" sqref="AL14" start="0" length="0">
      <dxf>
        <font>
          <sz val="12"/>
          <color theme="1"/>
          <name val="Calibri"/>
          <family val="2"/>
          <charset val="238"/>
          <scheme val="minor"/>
        </font>
      </dxf>
    </rfmt>
    <rfmt sheetId="1" sqref="AL15" start="0" length="0">
      <dxf>
        <font>
          <sz val="12"/>
          <color theme="1"/>
          <name val="Calibri"/>
          <family val="2"/>
          <charset val="238"/>
          <scheme val="minor"/>
        </font>
      </dxf>
    </rfmt>
    <rfmt sheetId="1" sqref="AL16" start="0" length="0">
      <dxf>
        <font>
          <sz val="12"/>
          <color theme="1"/>
          <name val="Calibri"/>
          <family val="2"/>
          <charset val="238"/>
          <scheme val="minor"/>
        </font>
      </dxf>
    </rfmt>
    <rfmt sheetId="1" sqref="AL17" start="0" length="0">
      <dxf>
        <font>
          <sz val="12"/>
          <color theme="1"/>
          <name val="Calibri"/>
          <family val="2"/>
          <charset val="238"/>
          <scheme val="minor"/>
        </font>
      </dxf>
    </rfmt>
    <rfmt sheetId="1" sqref="AL18" start="0" length="0">
      <dxf>
        <font>
          <sz val="12"/>
          <color theme="1"/>
          <name val="Calibri"/>
          <family val="2"/>
          <charset val="238"/>
          <scheme val="minor"/>
        </font>
      </dxf>
    </rfmt>
    <rfmt sheetId="1" sqref="AL19" start="0" length="0">
      <dxf>
        <font>
          <sz val="12"/>
          <color theme="1"/>
          <name val="Calibri"/>
          <family val="2"/>
          <charset val="238"/>
          <scheme val="minor"/>
        </font>
      </dxf>
    </rfmt>
    <rfmt sheetId="1" sqref="AL20" start="0" length="0">
      <dxf>
        <font>
          <sz val="12"/>
          <color theme="1"/>
          <name val="Calibri"/>
          <family val="2"/>
          <charset val="238"/>
          <scheme val="minor"/>
        </font>
      </dxf>
    </rfmt>
    <rfmt sheetId="1" sqref="AL21" start="0" length="0">
      <dxf>
        <font>
          <sz val="12"/>
          <color theme="1"/>
          <name val="Calibri"/>
          <family val="2"/>
          <charset val="238"/>
          <scheme val="minor"/>
        </font>
      </dxf>
    </rfmt>
    <rfmt sheetId="1" sqref="AL22" start="0" length="0">
      <dxf>
        <font>
          <sz val="12"/>
          <color theme="1"/>
          <name val="Calibri"/>
          <family val="2"/>
          <charset val="238"/>
          <scheme val="minor"/>
        </font>
      </dxf>
    </rfmt>
    <rfmt sheetId="1" sqref="AL23" start="0" length="0">
      <dxf>
        <font>
          <sz val="12"/>
          <color theme="1"/>
          <name val="Calibri"/>
          <family val="2"/>
          <charset val="238"/>
          <scheme val="minor"/>
        </font>
      </dxf>
    </rfmt>
    <rfmt sheetId="1" sqref="AL24" start="0" length="0">
      <dxf>
        <font>
          <sz val="12"/>
          <color theme="1"/>
          <name val="Calibri"/>
          <family val="2"/>
          <charset val="238"/>
          <scheme val="minor"/>
        </font>
      </dxf>
    </rfmt>
    <rfmt sheetId="1" sqref="AL25" start="0" length="0">
      <dxf>
        <font>
          <sz val="12"/>
          <color theme="1"/>
          <name val="Calibri"/>
          <family val="2"/>
          <charset val="238"/>
          <scheme val="minor"/>
        </font>
      </dxf>
    </rfmt>
    <rfmt sheetId="1" sqref="AL26" start="0" length="0">
      <dxf>
        <font>
          <sz val="12"/>
          <color theme="1"/>
          <name val="Calibri"/>
          <family val="2"/>
          <charset val="238"/>
          <scheme val="minor"/>
        </font>
      </dxf>
    </rfmt>
    <rfmt sheetId="1" sqref="AL27" start="0" length="0">
      <dxf>
        <font>
          <sz val="12"/>
          <color theme="1"/>
          <name val="Calibri"/>
          <family val="2"/>
          <charset val="238"/>
          <scheme val="minor"/>
        </font>
      </dxf>
    </rfmt>
    <rfmt sheetId="1" sqref="AL28" start="0" length="0">
      <dxf>
        <font>
          <sz val="12"/>
          <color theme="1"/>
          <name val="Calibri"/>
          <family val="2"/>
          <charset val="238"/>
          <scheme val="minor"/>
        </font>
      </dxf>
    </rfmt>
    <rfmt sheetId="1" sqref="AL29" start="0" length="0">
      <dxf>
        <font>
          <sz val="12"/>
          <color theme="1"/>
          <name val="Calibri"/>
          <family val="2"/>
          <charset val="238"/>
          <scheme val="minor"/>
        </font>
      </dxf>
    </rfmt>
    <rfmt sheetId="1" sqref="AL30" start="0" length="0">
      <dxf>
        <font>
          <sz val="12"/>
          <color theme="1"/>
          <name val="Calibri"/>
          <family val="2"/>
          <charset val="238"/>
          <scheme val="minor"/>
        </font>
      </dxf>
    </rfmt>
    <rfmt sheetId="1" sqref="AL31" start="0" length="0">
      <dxf>
        <font>
          <sz val="12"/>
          <color theme="1"/>
          <name val="Calibri"/>
          <family val="2"/>
          <charset val="238"/>
          <scheme val="minor"/>
        </font>
      </dxf>
    </rfmt>
    <rfmt sheetId="1" sqref="AL32" start="0" length="0">
      <dxf>
        <font>
          <sz val="12"/>
          <color theme="1"/>
          <name val="Calibri"/>
          <family val="2"/>
          <charset val="238"/>
          <scheme val="minor"/>
        </font>
      </dxf>
    </rfmt>
    <rfmt sheetId="1" sqref="AL33" start="0" length="0">
      <dxf>
        <font>
          <sz val="12"/>
          <color theme="1"/>
          <name val="Calibri"/>
          <family val="2"/>
          <charset val="238"/>
          <scheme val="minor"/>
        </font>
        <alignment horizontal="left" vertical="center"/>
      </dxf>
    </rfmt>
    <rfmt sheetId="1" sqref="AL34" start="0" length="0">
      <dxf>
        <font>
          <sz val="12"/>
          <color theme="1"/>
          <name val="Calibri"/>
          <family val="2"/>
          <charset val="238"/>
          <scheme val="minor"/>
        </font>
        <alignment horizontal="left" vertical="center"/>
      </dxf>
    </rfmt>
    <rfmt sheetId="1" sqref="AL35" start="0" length="0">
      <dxf>
        <font>
          <sz val="12"/>
          <color theme="1"/>
          <name val="Calibri"/>
          <family val="2"/>
          <charset val="238"/>
          <scheme val="minor"/>
        </font>
      </dxf>
    </rfmt>
    <rfmt sheetId="1" sqref="AL36" start="0" length="0">
      <dxf>
        <font>
          <sz val="12"/>
          <color theme="1"/>
          <name val="Calibri"/>
          <family val="2"/>
          <charset val="238"/>
          <scheme val="minor"/>
        </font>
      </dxf>
    </rfmt>
    <rfmt sheetId="1" sqref="AL37" start="0" length="0">
      <dxf>
        <font>
          <sz val="12"/>
          <color theme="1"/>
          <name val="Calibri"/>
          <family val="2"/>
          <charset val="238"/>
          <scheme val="minor"/>
        </font>
      </dxf>
    </rfmt>
    <rfmt sheetId="1" sqref="AL38" start="0" length="0">
      <dxf>
        <font>
          <sz val="12"/>
          <color theme="1"/>
          <name val="Calibri"/>
          <family val="2"/>
          <charset val="238"/>
          <scheme val="minor"/>
        </font>
      </dxf>
    </rfmt>
    <rfmt sheetId="1" sqref="AL39" start="0" length="0">
      <dxf>
        <font>
          <sz val="12"/>
          <color theme="1"/>
          <name val="Calibri"/>
          <family val="2"/>
          <charset val="238"/>
          <scheme val="minor"/>
        </font>
      </dxf>
    </rfmt>
    <rfmt sheetId="1" sqref="AL40" start="0" length="0">
      <dxf>
        <font>
          <sz val="12"/>
          <color theme="1"/>
          <name val="Calibri"/>
          <family val="2"/>
          <charset val="238"/>
          <scheme val="minor"/>
        </font>
      </dxf>
    </rfmt>
    <rfmt sheetId="1" sqref="AL41" start="0" length="0">
      <dxf>
        <font>
          <sz val="12"/>
          <color theme="1"/>
          <name val="Calibri"/>
          <family val="2"/>
          <charset val="238"/>
          <scheme val="minor"/>
        </font>
      </dxf>
    </rfmt>
    <rfmt sheetId="1" sqref="AL42" start="0" length="0">
      <dxf>
        <font>
          <sz val="12"/>
          <color theme="1"/>
          <name val="Calibri"/>
          <family val="2"/>
          <charset val="238"/>
          <scheme val="minor"/>
        </font>
      </dxf>
    </rfmt>
    <rfmt sheetId="1" sqref="AL43" start="0" length="0">
      <dxf>
        <font>
          <sz val="12"/>
          <color theme="1"/>
          <name val="Calibri"/>
          <family val="2"/>
          <charset val="238"/>
          <scheme val="minor"/>
        </font>
      </dxf>
    </rfmt>
    <rfmt sheetId="1" sqref="AL44" start="0" length="0">
      <dxf>
        <font>
          <sz val="12"/>
          <color theme="1"/>
          <name val="Calibri"/>
          <family val="2"/>
          <charset val="238"/>
          <scheme val="minor"/>
        </font>
      </dxf>
    </rfmt>
    <rfmt sheetId="1" sqref="AL45" start="0" length="0">
      <dxf>
        <font>
          <sz val="12"/>
          <color theme="1"/>
          <name val="Calibri"/>
          <family val="2"/>
          <charset val="238"/>
          <scheme val="minor"/>
        </font>
      </dxf>
    </rfmt>
    <rfmt sheetId="1" sqref="AL46" start="0" length="0">
      <dxf>
        <font>
          <sz val="12"/>
          <color theme="1"/>
          <name val="Calibri"/>
          <family val="2"/>
          <charset val="238"/>
          <scheme val="minor"/>
        </font>
      </dxf>
    </rfmt>
    <rfmt sheetId="1" sqref="AL47" start="0" length="0">
      <dxf>
        <font>
          <sz val="12"/>
          <color theme="1"/>
          <name val="Calibri"/>
          <family val="2"/>
          <charset val="238"/>
          <scheme val="minor"/>
        </font>
      </dxf>
    </rfmt>
    <rfmt sheetId="1" sqref="AL48" start="0" length="0">
      <dxf>
        <font>
          <sz val="12"/>
          <color theme="1"/>
          <name val="Calibri"/>
          <family val="2"/>
          <charset val="238"/>
          <scheme val="minor"/>
        </font>
      </dxf>
    </rfmt>
    <rfmt sheetId="1" sqref="AL49" start="0" length="0">
      <dxf>
        <font>
          <sz val="12"/>
          <color theme="1"/>
          <name val="Calibri"/>
          <family val="2"/>
          <charset val="238"/>
          <scheme val="minor"/>
        </font>
      </dxf>
    </rfmt>
    <rfmt sheetId="1" sqref="AL50" start="0" length="0">
      <dxf>
        <font>
          <sz val="12"/>
          <color theme="1"/>
          <name val="Calibri"/>
          <family val="2"/>
          <charset val="238"/>
          <scheme val="minor"/>
        </font>
      </dxf>
    </rfmt>
    <rfmt sheetId="1" sqref="AL51" start="0" length="0">
      <dxf>
        <font>
          <sz val="12"/>
          <color theme="1"/>
          <name val="Calibri"/>
          <family val="2"/>
          <charset val="238"/>
          <scheme val="minor"/>
        </font>
      </dxf>
    </rfmt>
    <rfmt sheetId="1" sqref="AL52" start="0" length="0">
      <dxf>
        <font>
          <sz val="12"/>
          <color theme="1"/>
          <name val="Calibri"/>
          <family val="2"/>
          <charset val="238"/>
          <scheme val="minor"/>
        </font>
      </dxf>
    </rfmt>
    <rfmt sheetId="1" sqref="AL53" start="0" length="0">
      <dxf>
        <font>
          <sz val="12"/>
          <color theme="1"/>
          <name val="Calibri"/>
          <family val="2"/>
          <charset val="238"/>
          <scheme val="minor"/>
        </font>
      </dxf>
    </rfmt>
    <rfmt sheetId="1" sqref="AL54" start="0" length="0">
      <dxf>
        <font>
          <sz val="12"/>
          <color theme="1"/>
          <name val="Calibri"/>
          <family val="2"/>
          <charset val="238"/>
          <scheme val="minor"/>
        </font>
      </dxf>
    </rfmt>
    <rfmt sheetId="1" sqref="AL55" start="0" length="0">
      <dxf>
        <font>
          <sz val="12"/>
          <color theme="1"/>
          <name val="Calibri"/>
          <family val="2"/>
          <charset val="238"/>
          <scheme val="minor"/>
        </font>
      </dxf>
    </rfmt>
    <rfmt sheetId="1" sqref="AL56" start="0" length="0">
      <dxf>
        <font>
          <sz val="12"/>
          <color theme="1"/>
          <name val="Calibri"/>
          <family val="2"/>
          <charset val="238"/>
          <scheme val="minor"/>
        </font>
      </dxf>
    </rfmt>
    <rfmt sheetId="1" sqref="AL57" start="0" length="0">
      <dxf>
        <font>
          <sz val="12"/>
          <color theme="1"/>
          <name val="Calibri"/>
          <family val="2"/>
          <charset val="238"/>
          <scheme val="minor"/>
        </font>
      </dxf>
    </rfmt>
    <rfmt sheetId="1" sqref="AL58" start="0" length="0">
      <dxf>
        <font>
          <sz val="12"/>
          <color theme="1"/>
          <name val="Calibri"/>
          <family val="2"/>
          <charset val="238"/>
          <scheme val="minor"/>
        </font>
      </dxf>
    </rfmt>
    <rfmt sheetId="1" sqref="AL59" start="0" length="0">
      <dxf>
        <font>
          <sz val="12"/>
          <color theme="1"/>
          <name val="Calibri"/>
          <family val="2"/>
          <charset val="238"/>
          <scheme val="minor"/>
        </font>
      </dxf>
    </rfmt>
    <rfmt sheetId="1" sqref="AL60" start="0" length="0">
      <dxf>
        <font>
          <sz val="12"/>
          <color theme="1"/>
          <name val="Calibri"/>
          <family val="2"/>
          <charset val="238"/>
          <scheme val="minor"/>
        </font>
      </dxf>
    </rfmt>
    <rfmt sheetId="1" sqref="AL61" start="0" length="0">
      <dxf>
        <font>
          <sz val="12"/>
          <color theme="1"/>
          <name val="Calibri"/>
          <family val="2"/>
          <charset val="238"/>
          <scheme val="minor"/>
        </font>
      </dxf>
    </rfmt>
    <rfmt sheetId="1" sqref="AL62" start="0" length="0">
      <dxf>
        <font>
          <sz val="12"/>
          <color theme="1"/>
          <name val="Calibri"/>
          <family val="2"/>
          <charset val="238"/>
          <scheme val="minor"/>
        </font>
      </dxf>
    </rfmt>
    <rfmt sheetId="1" sqref="AL63" start="0" length="0">
      <dxf>
        <font>
          <sz val="12"/>
          <color theme="1"/>
          <name val="Calibri"/>
          <family val="2"/>
          <charset val="238"/>
          <scheme val="minor"/>
        </font>
      </dxf>
    </rfmt>
    <rfmt sheetId="1" sqref="AL64" start="0" length="0">
      <dxf>
        <font>
          <sz val="12"/>
          <color theme="1"/>
          <name val="Calibri"/>
          <family val="2"/>
          <charset val="238"/>
          <scheme val="minor"/>
        </font>
      </dxf>
    </rfmt>
    <rfmt sheetId="1" sqref="AL65" start="0" length="0">
      <dxf>
        <font>
          <sz val="12"/>
          <color theme="1"/>
          <name val="Calibri"/>
          <family val="2"/>
          <charset val="238"/>
          <scheme val="minor"/>
        </font>
      </dxf>
    </rfmt>
    <rfmt sheetId="1" sqref="AL66" start="0" length="0">
      <dxf>
        <font>
          <sz val="12"/>
          <color theme="1"/>
          <name val="Calibri"/>
          <family val="2"/>
          <charset val="238"/>
          <scheme val="minor"/>
        </font>
      </dxf>
    </rfmt>
    <rfmt sheetId="1" sqref="AL67" start="0" length="0">
      <dxf>
        <font>
          <sz val="12"/>
          <color theme="1"/>
          <name val="Calibri"/>
          <family val="2"/>
          <charset val="238"/>
          <scheme val="minor"/>
        </font>
      </dxf>
    </rfmt>
    <rfmt sheetId="1" sqref="AL68" start="0" length="0">
      <dxf>
        <font>
          <sz val="12"/>
          <color theme="1"/>
          <name val="Calibri"/>
          <family val="2"/>
          <charset val="238"/>
          <scheme val="minor"/>
        </font>
      </dxf>
    </rfmt>
    <rfmt sheetId="1" sqref="AL69" start="0" length="0">
      <dxf>
        <font>
          <sz val="12"/>
          <color theme="1"/>
          <name val="Calibri"/>
          <family val="2"/>
          <charset val="238"/>
          <scheme val="minor"/>
        </font>
      </dxf>
    </rfmt>
    <rfmt sheetId="1" sqref="AL70" start="0" length="0">
      <dxf>
        <font>
          <sz val="12"/>
          <color theme="1"/>
          <name val="Calibri"/>
          <family val="2"/>
          <charset val="238"/>
          <scheme val="minor"/>
        </font>
      </dxf>
    </rfmt>
    <rfmt sheetId="1" sqref="AL71" start="0" length="0">
      <dxf>
        <font>
          <sz val="12"/>
          <color theme="1"/>
          <name val="Calibri"/>
          <family val="2"/>
          <charset val="238"/>
          <scheme val="minor"/>
        </font>
      </dxf>
    </rfmt>
    <rfmt sheetId="1" sqref="AL72" start="0" length="0">
      <dxf>
        <font>
          <sz val="12"/>
          <color theme="1"/>
          <name val="Calibri"/>
          <family val="2"/>
          <charset val="238"/>
          <scheme val="minor"/>
        </font>
      </dxf>
    </rfmt>
    <rfmt sheetId="1" sqref="AL73" start="0" length="0">
      <dxf>
        <font>
          <sz val="12"/>
          <color theme="1"/>
          <name val="Calibri"/>
          <family val="2"/>
          <charset val="238"/>
          <scheme val="minor"/>
        </font>
      </dxf>
    </rfmt>
    <rfmt sheetId="1" sqref="AL74" start="0" length="0">
      <dxf>
        <font>
          <sz val="12"/>
          <color theme="1"/>
          <name val="Calibri"/>
          <family val="2"/>
          <charset val="238"/>
          <scheme val="minor"/>
        </font>
      </dxf>
    </rfmt>
    <rfmt sheetId="1" sqref="AL75" start="0" length="0">
      <dxf>
        <font>
          <sz val="12"/>
          <color theme="1"/>
          <name val="Calibri"/>
          <family val="2"/>
          <charset val="238"/>
          <scheme val="minor"/>
        </font>
      </dxf>
    </rfmt>
    <rfmt sheetId="1" sqref="AL76" start="0" length="0">
      <dxf>
        <font>
          <sz val="12"/>
          <color theme="1"/>
          <name val="Calibri"/>
          <family val="2"/>
          <charset val="238"/>
          <scheme val="minor"/>
        </font>
      </dxf>
    </rfmt>
    <rfmt sheetId="1" sqref="AL77" start="0" length="0">
      <dxf>
        <font>
          <sz val="12"/>
          <color theme="1"/>
          <name val="Calibri"/>
          <family val="2"/>
          <charset val="238"/>
          <scheme val="minor"/>
        </font>
      </dxf>
    </rfmt>
    <rfmt sheetId="1" sqref="AL78" start="0" length="0">
      <dxf>
        <font>
          <sz val="12"/>
          <color theme="1"/>
          <name val="Calibri"/>
          <family val="2"/>
          <charset val="238"/>
          <scheme val="minor"/>
        </font>
      </dxf>
    </rfmt>
    <rfmt sheetId="1" sqref="AL79" start="0" length="0">
      <dxf>
        <font>
          <sz val="12"/>
          <color theme="1"/>
          <name val="Calibri"/>
          <family val="2"/>
          <charset val="238"/>
          <scheme val="minor"/>
        </font>
      </dxf>
    </rfmt>
    <rfmt sheetId="1" sqref="AL80" start="0" length="0">
      <dxf>
        <font>
          <sz val="12"/>
          <color theme="1"/>
          <name val="Calibri"/>
          <family val="2"/>
          <charset val="238"/>
          <scheme val="minor"/>
        </font>
      </dxf>
    </rfmt>
    <rfmt sheetId="1" sqref="AL81" start="0" length="0">
      <dxf>
        <font>
          <sz val="12"/>
          <color theme="1"/>
          <name val="Calibri"/>
          <family val="2"/>
          <charset val="238"/>
          <scheme val="minor"/>
        </font>
      </dxf>
    </rfmt>
    <rfmt sheetId="1" sqref="AL82" start="0" length="0">
      <dxf>
        <font>
          <sz val="12"/>
          <color theme="1"/>
          <name val="Calibri"/>
          <family val="2"/>
          <charset val="238"/>
          <scheme val="minor"/>
        </font>
      </dxf>
    </rfmt>
    <rfmt sheetId="1" sqref="AL83" start="0" length="0">
      <dxf>
        <font>
          <sz val="12"/>
          <color theme="1"/>
          <name val="Calibri"/>
          <family val="2"/>
          <charset val="238"/>
          <scheme val="minor"/>
        </font>
      </dxf>
    </rfmt>
    <rfmt sheetId="1" sqref="AL84" start="0" length="0">
      <dxf>
        <font>
          <sz val="12"/>
          <color theme="1"/>
          <name val="Calibri"/>
          <family val="2"/>
          <charset val="238"/>
          <scheme val="minor"/>
        </font>
      </dxf>
    </rfmt>
    <rfmt sheetId="1" sqref="AL85" start="0" length="0">
      <dxf>
        <font>
          <sz val="12"/>
          <color theme="1"/>
          <name val="Calibri"/>
          <family val="2"/>
          <charset val="238"/>
          <scheme val="minor"/>
        </font>
      </dxf>
    </rfmt>
    <rfmt sheetId="1" sqref="AL86" start="0" length="0">
      <dxf>
        <font>
          <sz val="12"/>
          <color theme="1"/>
          <name val="Calibri"/>
          <family val="2"/>
          <charset val="238"/>
          <scheme val="minor"/>
        </font>
      </dxf>
    </rfmt>
    <rfmt sheetId="1" sqref="AL87" start="0" length="0">
      <dxf>
        <font>
          <sz val="12"/>
          <color theme="1"/>
          <name val="Calibri"/>
          <family val="2"/>
          <charset val="238"/>
          <scheme val="minor"/>
        </font>
      </dxf>
    </rfmt>
    <rfmt sheetId="1" sqref="AL88" start="0" length="0">
      <dxf>
        <font>
          <sz val="12"/>
          <color theme="1"/>
          <name val="Calibri"/>
          <family val="2"/>
          <charset val="238"/>
          <scheme val="minor"/>
        </font>
      </dxf>
    </rfmt>
    <rfmt sheetId="1" sqref="AL89" start="0" length="0">
      <dxf>
        <font>
          <sz val="12"/>
          <color theme="1"/>
          <name val="Calibri"/>
          <family val="2"/>
          <charset val="238"/>
          <scheme val="minor"/>
        </font>
        <alignment horizontal="left" vertical="center"/>
      </dxf>
    </rfmt>
    <rfmt sheetId="1" sqref="AL90" start="0" length="0">
      <dxf>
        <font>
          <sz val="12"/>
          <color theme="1"/>
          <name val="Calibri"/>
          <family val="2"/>
          <charset val="238"/>
          <scheme val="minor"/>
        </font>
      </dxf>
    </rfmt>
    <rfmt sheetId="1" sqref="AL91" start="0" length="0">
      <dxf>
        <font>
          <sz val="12"/>
          <color theme="1"/>
          <name val="Calibri"/>
          <family val="2"/>
          <charset val="238"/>
          <scheme val="minor"/>
        </font>
      </dxf>
    </rfmt>
    <rfmt sheetId="1" sqref="AL92" start="0" length="0">
      <dxf>
        <font>
          <sz val="12"/>
          <color theme="1"/>
          <name val="Calibri"/>
          <family val="2"/>
          <charset val="238"/>
          <scheme val="minor"/>
        </font>
      </dxf>
    </rfmt>
    <rfmt sheetId="1" sqref="AL93" start="0" length="0">
      <dxf>
        <font>
          <sz val="12"/>
          <color theme="1"/>
          <name val="Calibri"/>
          <family val="2"/>
          <charset val="238"/>
          <scheme val="minor"/>
        </font>
      </dxf>
    </rfmt>
    <rfmt sheetId="1" sqref="AL94" start="0" length="0">
      <dxf>
        <font>
          <sz val="12"/>
          <color theme="1"/>
          <name val="Calibri"/>
          <family val="2"/>
          <charset val="238"/>
          <scheme val="minor"/>
        </font>
      </dxf>
    </rfmt>
    <rfmt sheetId="1" sqref="AL95" start="0" length="0">
      <dxf>
        <font>
          <sz val="12"/>
          <color theme="1"/>
          <name val="Calibri"/>
          <family val="2"/>
          <charset val="238"/>
          <scheme val="minor"/>
        </font>
      </dxf>
    </rfmt>
    <rfmt sheetId="1" sqref="AL96" start="0" length="0">
      <dxf>
        <font>
          <sz val="12"/>
          <color theme="1"/>
          <name val="Calibri"/>
          <family val="2"/>
          <charset val="238"/>
          <scheme val="minor"/>
        </font>
        <numFmt numFmtId="4" formatCode="#,##0.00"/>
      </dxf>
    </rfmt>
    <rfmt sheetId="1" sqref="AL97" start="0" length="0">
      <dxf>
        <font>
          <sz val="12"/>
          <color theme="1"/>
          <name val="Calibri"/>
          <family val="2"/>
          <charset val="238"/>
          <scheme val="minor"/>
        </font>
        <numFmt numFmtId="4" formatCode="#,##0.00"/>
        <alignment horizontal="center" vertical="center" wrapText="1"/>
      </dxf>
    </rfmt>
    <rfmt sheetId="1" sqref="AL98" start="0" length="0">
      <dxf>
        <font>
          <sz val="12"/>
          <color theme="1"/>
          <name val="Calibri"/>
          <family val="2"/>
          <charset val="238"/>
          <scheme val="minor"/>
        </font>
        <numFmt numFmtId="4" formatCode="#,##0.00"/>
      </dxf>
    </rfmt>
    <rfmt sheetId="1" sqref="AL99" start="0" length="0">
      <dxf>
        <font>
          <sz val="12"/>
          <color theme="1"/>
          <name val="Calibri"/>
          <family val="2"/>
          <charset val="238"/>
          <scheme val="minor"/>
        </font>
        <numFmt numFmtId="4" formatCode="#,##0.00"/>
      </dxf>
    </rfmt>
    <rfmt sheetId="1" sqref="AL100" start="0" length="0">
      <dxf>
        <font>
          <sz val="12"/>
          <color theme="1"/>
          <name val="Calibri"/>
          <family val="2"/>
          <charset val="238"/>
          <scheme val="minor"/>
        </font>
      </dxf>
    </rfmt>
    <rfmt sheetId="1" sqref="AL101" start="0" length="0">
      <dxf>
        <font>
          <sz val="12"/>
          <color theme="1"/>
          <name val="Calibri"/>
          <family val="2"/>
          <charset val="238"/>
          <scheme val="minor"/>
        </font>
      </dxf>
    </rfmt>
    <rfmt sheetId="1" sqref="AL102" start="0" length="0">
      <dxf>
        <font>
          <sz val="12"/>
          <color theme="1"/>
          <name val="Calibri"/>
          <family val="2"/>
          <charset val="238"/>
          <scheme val="minor"/>
        </font>
      </dxf>
    </rfmt>
    <rfmt sheetId="1" sqref="AL103" start="0" length="0">
      <dxf>
        <font>
          <sz val="12"/>
          <color theme="1"/>
          <name val="Calibri"/>
          <family val="2"/>
          <charset val="238"/>
          <scheme val="minor"/>
        </font>
      </dxf>
    </rfmt>
    <rfmt sheetId="1" sqref="AL104" start="0" length="0">
      <dxf>
        <font>
          <sz val="12"/>
          <color theme="1"/>
          <name val="Calibri"/>
          <family val="2"/>
          <charset val="238"/>
          <scheme val="minor"/>
        </font>
      </dxf>
    </rfmt>
    <rfmt sheetId="1" sqref="AL105" start="0" length="0">
      <dxf>
        <font>
          <sz val="12"/>
          <color theme="1"/>
          <name val="Calibri"/>
          <family val="2"/>
          <charset val="238"/>
          <scheme val="minor"/>
        </font>
      </dxf>
    </rfmt>
    <rfmt sheetId="1" sqref="AL106" start="0" length="0">
      <dxf>
        <font>
          <sz val="12"/>
          <color theme="1"/>
          <name val="Calibri"/>
          <family val="2"/>
          <charset val="238"/>
          <scheme val="minor"/>
        </font>
      </dxf>
    </rfmt>
    <rfmt sheetId="1" sqref="AL107" start="0" length="0">
      <dxf>
        <font>
          <sz val="12"/>
          <color theme="1"/>
          <name val="Calibri"/>
          <family val="2"/>
          <charset val="238"/>
          <scheme val="minor"/>
        </font>
      </dxf>
    </rfmt>
    <rfmt sheetId="1" sqref="AL108" start="0" length="0">
      <dxf>
        <font>
          <sz val="12"/>
          <color theme="1"/>
          <name val="Calibri"/>
          <family val="2"/>
          <charset val="238"/>
          <scheme val="minor"/>
        </font>
      </dxf>
    </rfmt>
    <rfmt sheetId="1" sqref="AL109" start="0" length="0">
      <dxf>
        <font>
          <sz val="12"/>
          <color theme="1"/>
          <name val="Calibri"/>
          <family val="2"/>
          <charset val="238"/>
          <scheme val="minor"/>
        </font>
      </dxf>
    </rfmt>
    <rfmt sheetId="1" sqref="AL110" start="0" length="0">
      <dxf>
        <font>
          <sz val="12"/>
          <color theme="1"/>
          <name val="Calibri"/>
          <family val="2"/>
          <charset val="238"/>
          <scheme val="minor"/>
        </font>
      </dxf>
    </rfmt>
    <rfmt sheetId="1" sqref="AL111" start="0" length="0">
      <dxf>
        <font>
          <sz val="12"/>
          <color theme="1"/>
          <name val="Calibri"/>
          <family val="2"/>
          <charset val="238"/>
          <scheme val="minor"/>
        </font>
      </dxf>
    </rfmt>
    <rfmt sheetId="1" sqref="AL112" start="0" length="0">
      <dxf>
        <font>
          <sz val="12"/>
          <color theme="1"/>
          <name val="Calibri"/>
          <family val="2"/>
          <charset val="238"/>
          <scheme val="minor"/>
        </font>
      </dxf>
    </rfmt>
    <rfmt sheetId="1" sqref="AL113" start="0" length="0">
      <dxf>
        <font>
          <sz val="12"/>
          <color theme="1"/>
          <name val="Calibri"/>
          <family val="2"/>
          <charset val="238"/>
          <scheme val="minor"/>
        </font>
      </dxf>
    </rfmt>
    <rfmt sheetId="1" sqref="AL114" start="0" length="0">
      <dxf>
        <font>
          <sz val="12"/>
          <color theme="1"/>
          <name val="Calibri"/>
          <family val="2"/>
          <charset val="238"/>
          <scheme val="minor"/>
        </font>
      </dxf>
    </rfmt>
    <rfmt sheetId="1" sqref="AL115" start="0" length="0">
      <dxf>
        <font>
          <sz val="12"/>
          <color theme="1"/>
          <name val="Calibri"/>
          <family val="2"/>
          <charset val="238"/>
          <scheme val="minor"/>
        </font>
      </dxf>
    </rfmt>
    <rfmt sheetId="1" sqref="AL116" start="0" length="0">
      <dxf>
        <font>
          <sz val="12"/>
          <color theme="1"/>
          <name val="Calibri"/>
          <family val="2"/>
          <charset val="238"/>
          <scheme val="minor"/>
        </font>
      </dxf>
    </rfmt>
    <rfmt sheetId="1" sqref="AL117" start="0" length="0">
      <dxf>
        <font>
          <sz val="12"/>
          <color theme="1"/>
          <name val="Calibri"/>
          <family val="2"/>
          <charset val="238"/>
          <scheme val="minor"/>
        </font>
      </dxf>
    </rfmt>
    <rfmt sheetId="1" sqref="AL118" start="0" length="0">
      <dxf>
        <font>
          <sz val="12"/>
          <color theme="1"/>
          <name val="Calibri"/>
          <family val="2"/>
          <charset val="238"/>
          <scheme val="minor"/>
        </font>
      </dxf>
    </rfmt>
    <rfmt sheetId="1" sqref="AL119" start="0" length="0">
      <dxf>
        <font>
          <sz val="12"/>
          <color theme="1"/>
          <name val="Calibri"/>
          <family val="2"/>
          <charset val="238"/>
          <scheme val="minor"/>
        </font>
      </dxf>
    </rfmt>
    <rfmt sheetId="1" sqref="AL120" start="0" length="0">
      <dxf>
        <font>
          <sz val="12"/>
          <color theme="1"/>
          <name val="Calibri"/>
          <family val="2"/>
          <charset val="238"/>
          <scheme val="minor"/>
        </font>
      </dxf>
    </rfmt>
    <rfmt sheetId="1" sqref="AL121" start="0" length="0">
      <dxf>
        <font>
          <sz val="12"/>
          <color theme="1"/>
          <name val="Calibri"/>
          <family val="2"/>
          <charset val="238"/>
          <scheme val="minor"/>
        </font>
      </dxf>
    </rfmt>
    <rfmt sheetId="1" sqref="AL122"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L123" start="0" length="0">
      <dxf>
        <font>
          <sz val="12"/>
          <color theme="1"/>
          <name val="Calibri"/>
          <family val="2"/>
          <charset val="238"/>
          <scheme val="minor"/>
        </font>
      </dxf>
    </rfmt>
    <rfmt sheetId="1" sqref="AL124" start="0" length="0">
      <dxf>
        <font>
          <sz val="12"/>
          <color theme="1"/>
          <name val="Calibri"/>
          <family val="2"/>
          <charset val="238"/>
          <scheme val="minor"/>
        </font>
      </dxf>
    </rfmt>
    <rfmt sheetId="1" sqref="AL125" start="0" length="0">
      <dxf>
        <font>
          <sz val="12"/>
          <color theme="1"/>
          <name val="Calibri"/>
          <family val="2"/>
          <charset val="238"/>
          <scheme val="minor"/>
        </font>
      </dxf>
    </rfmt>
    <rfmt sheetId="1" sqref="AL126" start="0" length="0">
      <dxf>
        <font>
          <sz val="12"/>
          <color theme="1"/>
          <name val="Calibri"/>
          <family val="2"/>
          <charset val="238"/>
          <scheme val="minor"/>
        </font>
      </dxf>
    </rfmt>
    <rfmt sheetId="1" sqref="AL127" start="0" length="0">
      <dxf>
        <font>
          <sz val="12"/>
          <color theme="1"/>
          <name val="Calibri"/>
          <family val="2"/>
          <charset val="238"/>
          <scheme val="minor"/>
        </font>
      </dxf>
    </rfmt>
    <rfmt sheetId="1" sqref="AL128" start="0" length="0">
      <dxf>
        <font>
          <sz val="12"/>
          <color theme="1"/>
          <name val="Calibri"/>
          <family val="2"/>
          <charset val="238"/>
          <scheme val="minor"/>
        </font>
      </dxf>
    </rfmt>
    <rfmt sheetId="1" sqref="AL129" start="0" length="0">
      <dxf>
        <font>
          <sz val="12"/>
          <color theme="1"/>
          <name val="Calibri"/>
          <family val="2"/>
          <charset val="238"/>
          <scheme val="minor"/>
        </font>
      </dxf>
    </rfmt>
    <rfmt sheetId="1" sqref="AL130" start="0" length="0">
      <dxf>
        <font>
          <sz val="12"/>
          <color theme="1"/>
          <name val="Calibri"/>
          <family val="2"/>
          <charset val="238"/>
          <scheme val="minor"/>
        </font>
      </dxf>
    </rfmt>
    <rfmt sheetId="1" sqref="AL131" start="0" length="0">
      <dxf>
        <font>
          <sz val="12"/>
          <color theme="1"/>
          <name val="Calibri"/>
          <family val="2"/>
          <charset val="238"/>
          <scheme val="minor"/>
        </font>
        <alignment vertical="top" wrapText="1"/>
      </dxf>
    </rfmt>
    <rfmt sheetId="1" sqref="AL132" start="0" length="0">
      <dxf>
        <font>
          <sz val="12"/>
          <color theme="1"/>
          <name val="Calibri"/>
          <family val="2"/>
          <charset val="238"/>
          <scheme val="minor"/>
        </font>
        <alignment vertical="top" wrapText="1"/>
      </dxf>
    </rfmt>
    <rfmt sheetId="1" sqref="AL133" start="0" length="0">
      <dxf>
        <font>
          <sz val="12"/>
          <color theme="1"/>
          <name val="Calibri"/>
          <family val="2"/>
          <charset val="238"/>
          <scheme val="minor"/>
        </font>
        <alignment vertical="top" wrapText="1"/>
      </dxf>
    </rfmt>
    <rfmt sheetId="1" sqref="AL134" start="0" length="0">
      <dxf>
        <font>
          <sz val="12"/>
          <color theme="1"/>
          <name val="Calibri"/>
          <family val="2"/>
          <charset val="238"/>
          <scheme val="minor"/>
        </font>
      </dxf>
    </rfmt>
    <rfmt sheetId="1" sqref="AL135" start="0" length="0">
      <dxf>
        <font>
          <sz val="12"/>
          <color theme="1"/>
          <name val="Calibri"/>
          <family val="2"/>
          <charset val="238"/>
          <scheme val="minor"/>
        </font>
      </dxf>
    </rfmt>
    <rfmt sheetId="1" sqref="AL136" start="0" length="0">
      <dxf>
        <font>
          <sz val="12"/>
          <color theme="1"/>
          <name val="Calibri"/>
          <family val="2"/>
          <charset val="238"/>
          <scheme val="minor"/>
        </font>
      </dxf>
    </rfmt>
    <rfmt sheetId="1" sqref="AL137" start="0" length="0">
      <dxf>
        <font>
          <sz val="12"/>
          <color theme="1"/>
          <name val="Calibri"/>
          <family val="2"/>
          <charset val="238"/>
          <scheme val="minor"/>
        </font>
      </dxf>
    </rfmt>
    <rfmt sheetId="1" sqref="AL138" start="0" length="0">
      <dxf>
        <font>
          <sz val="12"/>
          <color theme="1"/>
          <name val="Calibri"/>
          <family val="2"/>
          <charset val="238"/>
          <scheme val="minor"/>
        </font>
      </dxf>
    </rfmt>
    <rfmt sheetId="1" sqref="AL139" start="0" length="0">
      <dxf>
        <font>
          <sz val="12"/>
          <color theme="1"/>
          <name val="Calibri"/>
          <family val="2"/>
          <charset val="238"/>
          <scheme val="minor"/>
        </font>
      </dxf>
    </rfmt>
    <rfmt sheetId="1" sqref="AL140" start="0" length="0">
      <dxf>
        <font>
          <sz val="12"/>
          <color theme="1"/>
          <name val="Calibri"/>
          <family val="2"/>
          <charset val="238"/>
          <scheme val="minor"/>
        </font>
      </dxf>
    </rfmt>
    <rfmt sheetId="1" sqref="AL141" start="0" length="0">
      <dxf>
        <font>
          <sz val="12"/>
          <color theme="1"/>
          <name val="Calibri"/>
          <family val="2"/>
          <charset val="238"/>
          <scheme val="minor"/>
        </font>
      </dxf>
    </rfmt>
    <rfmt sheetId="1" sqref="AL142" start="0" length="0">
      <dxf>
        <font>
          <sz val="12"/>
          <color theme="1"/>
          <name val="Calibri"/>
          <family val="2"/>
          <charset val="238"/>
          <scheme val="minor"/>
        </font>
      </dxf>
    </rfmt>
    <rfmt sheetId="1" sqref="AL143" start="0" length="0">
      <dxf>
        <font>
          <sz val="12"/>
          <color theme="1"/>
          <name val="Calibri"/>
          <family val="2"/>
          <charset val="238"/>
          <scheme val="minor"/>
        </font>
        <alignment horizontal="left" vertical="center"/>
      </dxf>
    </rfmt>
    <rfmt sheetId="1" sqref="AL144" start="0" length="0">
      <dxf>
        <font>
          <sz val="12"/>
          <color auto="1"/>
          <name val="Calibri"/>
          <family val="2"/>
          <charset val="238"/>
          <scheme val="minor"/>
        </font>
        <alignment horizontal="left" vertical="center"/>
      </dxf>
    </rfmt>
    <rfmt sheetId="1" sqref="AL145" start="0" length="0">
      <dxf>
        <font>
          <sz val="12"/>
          <color theme="1"/>
          <name val="Calibri"/>
          <family val="2"/>
          <charset val="238"/>
          <scheme val="minor"/>
        </font>
      </dxf>
    </rfmt>
    <rfmt sheetId="1" sqref="AL146" start="0" length="0">
      <dxf>
        <font>
          <sz val="12"/>
          <color theme="1"/>
          <name val="Calibri"/>
          <family val="2"/>
          <charset val="238"/>
          <scheme val="minor"/>
        </font>
      </dxf>
    </rfmt>
    <rfmt sheetId="1" sqref="AL147" start="0" length="0">
      <dxf>
        <font>
          <sz val="12"/>
          <color theme="1"/>
          <name val="Calibri"/>
          <family val="2"/>
          <charset val="238"/>
          <scheme val="minor"/>
        </font>
      </dxf>
    </rfmt>
    <rfmt sheetId="1" sqref="AL148" start="0" length="0">
      <dxf>
        <font>
          <sz val="12"/>
          <color theme="1"/>
          <name val="Calibri"/>
          <family val="2"/>
          <charset val="238"/>
          <scheme val="minor"/>
        </font>
      </dxf>
    </rfmt>
    <rfmt sheetId="1" sqref="AL149" start="0" length="0">
      <dxf>
        <font>
          <sz val="12"/>
          <color theme="1"/>
          <name val="Calibri"/>
          <family val="2"/>
          <charset val="238"/>
          <scheme val="minor"/>
        </font>
      </dxf>
    </rfmt>
    <rfmt sheetId="1" sqref="AL150" start="0" length="0">
      <dxf>
        <font>
          <sz val="12"/>
          <color theme="1"/>
          <name val="Calibri"/>
          <family val="2"/>
          <charset val="238"/>
          <scheme val="minor"/>
        </font>
      </dxf>
    </rfmt>
    <rfmt sheetId="1" sqref="AL151" start="0" length="0">
      <dxf>
        <font>
          <sz val="12"/>
          <color theme="1"/>
          <name val="Calibri"/>
          <family val="2"/>
          <charset val="238"/>
          <scheme val="minor"/>
        </font>
      </dxf>
    </rfmt>
    <rfmt sheetId="1" sqref="AL152" start="0" length="0">
      <dxf>
        <font>
          <sz val="12"/>
          <color theme="1"/>
          <name val="Calibri"/>
          <family val="2"/>
          <charset val="238"/>
          <scheme val="minor"/>
        </font>
      </dxf>
    </rfmt>
    <rfmt sheetId="1" sqref="AL153" start="0" length="0">
      <dxf>
        <font>
          <sz val="12"/>
          <color theme="1"/>
          <name val="Calibri"/>
          <family val="2"/>
          <charset val="238"/>
          <scheme val="minor"/>
        </font>
      </dxf>
    </rfmt>
    <rfmt sheetId="1" sqref="AL154" start="0" length="0">
      <dxf>
        <font>
          <sz val="12"/>
          <color theme="1"/>
          <name val="Calibri"/>
          <family val="2"/>
          <charset val="238"/>
          <scheme val="minor"/>
        </font>
      </dxf>
    </rfmt>
    <rfmt sheetId="1" sqref="AL155" start="0" length="0">
      <dxf>
        <font>
          <sz val="12"/>
          <color theme="1"/>
          <name val="Calibri"/>
          <family val="2"/>
          <charset val="238"/>
          <scheme val="minor"/>
        </font>
      </dxf>
    </rfmt>
    <rfmt sheetId="1" sqref="AL156" start="0" length="0">
      <dxf>
        <font>
          <sz val="12"/>
          <color theme="1"/>
          <name val="Calibri"/>
          <family val="2"/>
          <charset val="238"/>
          <scheme val="minor"/>
        </font>
      </dxf>
    </rfmt>
    <rfmt sheetId="1" sqref="AL157" start="0" length="0">
      <dxf>
        <font>
          <sz val="12"/>
          <color theme="1"/>
          <name val="Calibri"/>
          <family val="2"/>
          <charset val="238"/>
          <scheme val="minor"/>
        </font>
      </dxf>
    </rfmt>
    <rfmt sheetId="1" sqref="AL158" start="0" length="0">
      <dxf>
        <font>
          <sz val="12"/>
          <color theme="1"/>
          <name val="Calibri"/>
          <family val="2"/>
          <charset val="238"/>
          <scheme val="minor"/>
        </font>
      </dxf>
    </rfmt>
    <rfmt sheetId="1" sqref="AL159" start="0" length="0">
      <dxf>
        <font>
          <sz val="12"/>
          <color theme="1"/>
          <name val="Calibri"/>
          <family val="2"/>
          <charset val="238"/>
          <scheme val="minor"/>
        </font>
      </dxf>
    </rfmt>
    <rfmt sheetId="1" sqref="AL160" start="0" length="0">
      <dxf>
        <font>
          <sz val="12"/>
          <color theme="1"/>
          <name val="Calibri"/>
          <family val="2"/>
          <charset val="238"/>
          <scheme val="minor"/>
        </font>
      </dxf>
    </rfmt>
    <rfmt sheetId="1" sqref="AL161" start="0" length="0">
      <dxf>
        <font>
          <sz val="12"/>
          <color theme="1"/>
          <name val="Calibri"/>
          <family val="2"/>
          <charset val="238"/>
          <scheme val="minor"/>
        </font>
      </dxf>
    </rfmt>
    <rfmt sheetId="1" sqref="AL162" start="0" length="0">
      <dxf>
        <font>
          <sz val="12"/>
          <color theme="1"/>
          <name val="Calibri"/>
          <family val="2"/>
          <charset val="238"/>
          <scheme val="minor"/>
        </font>
      </dxf>
    </rfmt>
    <rfmt sheetId="1" sqref="AL163" start="0" length="0">
      <dxf>
        <font>
          <sz val="12"/>
          <color theme="1"/>
          <name val="Calibri"/>
          <family val="2"/>
          <charset val="238"/>
          <scheme val="minor"/>
        </font>
      </dxf>
    </rfmt>
    <rfmt sheetId="1" sqref="AL164" start="0" length="0">
      <dxf>
        <font>
          <sz val="12"/>
          <color theme="1"/>
          <name val="Calibri"/>
          <family val="2"/>
          <charset val="238"/>
          <scheme val="minor"/>
        </font>
      </dxf>
    </rfmt>
    <rfmt sheetId="1" sqref="AL165" start="0" length="0">
      <dxf>
        <font>
          <sz val="12"/>
          <color theme="1"/>
          <name val="Calibri"/>
          <family val="2"/>
          <charset val="238"/>
          <scheme val="minor"/>
        </font>
      </dxf>
    </rfmt>
    <rfmt sheetId="1" sqref="AL166" start="0" length="0">
      <dxf>
        <font>
          <sz val="12"/>
          <color theme="1"/>
          <name val="Calibri"/>
          <family val="2"/>
          <charset val="238"/>
          <scheme val="minor"/>
        </font>
      </dxf>
    </rfmt>
    <rfmt sheetId="1" sqref="AL167" start="0" length="0">
      <dxf>
        <font>
          <sz val="12"/>
          <color theme="1"/>
          <name val="Calibri"/>
          <family val="2"/>
          <charset val="238"/>
          <scheme val="minor"/>
        </font>
      </dxf>
    </rfmt>
    <rfmt sheetId="1" sqref="AL168" start="0" length="0">
      <dxf>
        <font>
          <sz val="12"/>
          <color theme="1"/>
          <name val="Calibri"/>
          <family val="2"/>
          <charset val="238"/>
          <scheme val="minor"/>
        </font>
      </dxf>
    </rfmt>
    <rfmt sheetId="1" sqref="AL169" start="0" length="0">
      <dxf>
        <font>
          <sz val="12"/>
          <color theme="1"/>
          <name val="Calibri"/>
          <family val="2"/>
          <charset val="238"/>
          <scheme val="minor"/>
        </font>
      </dxf>
    </rfmt>
    <rfmt sheetId="1" sqref="AL170" start="0" length="0">
      <dxf>
        <font>
          <sz val="12"/>
          <color theme="1"/>
          <name val="Calibri"/>
          <family val="2"/>
          <charset val="238"/>
          <scheme val="minor"/>
        </font>
      </dxf>
    </rfmt>
    <rfmt sheetId="1" sqref="AL171" start="0" length="0">
      <dxf>
        <font>
          <sz val="12"/>
          <color theme="1"/>
          <name val="Calibri"/>
          <family val="2"/>
          <charset val="238"/>
          <scheme val="minor"/>
        </font>
      </dxf>
    </rfmt>
    <rfmt sheetId="1" sqref="AL172" start="0" length="0">
      <dxf>
        <font>
          <sz val="12"/>
          <color theme="1"/>
          <name val="Calibri"/>
          <family val="2"/>
          <charset val="238"/>
          <scheme val="minor"/>
        </font>
      </dxf>
    </rfmt>
    <rfmt sheetId="1" sqref="AL173" start="0" length="0">
      <dxf>
        <font>
          <sz val="12"/>
          <color theme="1"/>
          <name val="Calibri"/>
          <family val="2"/>
          <charset val="238"/>
          <scheme val="minor"/>
        </font>
      </dxf>
    </rfmt>
    <rfmt sheetId="1" sqref="AL174" start="0" length="0">
      <dxf>
        <font>
          <sz val="12"/>
          <color theme="1"/>
          <name val="Calibri"/>
          <family val="2"/>
          <charset val="238"/>
          <scheme val="minor"/>
        </font>
      </dxf>
    </rfmt>
    <rfmt sheetId="1" sqref="AL175" start="0" length="0">
      <dxf>
        <font>
          <sz val="12"/>
          <color theme="1"/>
          <name val="Calibri"/>
          <family val="2"/>
          <charset val="238"/>
          <scheme val="minor"/>
        </font>
      </dxf>
    </rfmt>
    <rfmt sheetId="1" sqref="AL176" start="0" length="0">
      <dxf>
        <font>
          <sz val="12"/>
          <color theme="1"/>
          <name val="Calibri"/>
          <family val="2"/>
          <charset val="238"/>
          <scheme val="minor"/>
        </font>
      </dxf>
    </rfmt>
    <rfmt sheetId="1" sqref="AL177" start="0" length="0">
      <dxf>
        <font>
          <sz val="12"/>
          <color theme="1"/>
          <name val="Calibri"/>
          <family val="2"/>
          <charset val="238"/>
          <scheme val="minor"/>
        </font>
      </dxf>
    </rfmt>
    <rfmt sheetId="1" sqref="AL178" start="0" length="0">
      <dxf>
        <font>
          <sz val="12"/>
          <color theme="1"/>
          <name val="Calibri"/>
          <family val="2"/>
          <charset val="238"/>
          <scheme val="minor"/>
        </font>
      </dxf>
    </rfmt>
    <rfmt sheetId="1" sqref="AL179" start="0" length="0">
      <dxf>
        <font>
          <sz val="12"/>
          <color theme="1"/>
          <name val="Calibri"/>
          <family val="2"/>
          <charset val="238"/>
          <scheme val="minor"/>
        </font>
      </dxf>
    </rfmt>
    <rfmt sheetId="1" sqref="AL180" start="0" length="0">
      <dxf>
        <font>
          <sz val="12"/>
          <color theme="1"/>
          <name val="Calibri"/>
          <family val="2"/>
          <charset val="238"/>
          <scheme val="minor"/>
        </font>
      </dxf>
    </rfmt>
    <rfmt sheetId="1" sqref="AL181" start="0" length="0">
      <dxf>
        <font>
          <sz val="12"/>
          <color theme="1"/>
          <name val="Calibri"/>
          <family val="2"/>
          <charset val="238"/>
          <scheme val="minor"/>
        </font>
      </dxf>
    </rfmt>
    <rfmt sheetId="1" sqref="AL182" start="0" length="0">
      <dxf>
        <font>
          <sz val="12"/>
          <color theme="1"/>
          <name val="Calibri"/>
          <family val="2"/>
          <charset val="238"/>
          <scheme val="minor"/>
        </font>
      </dxf>
    </rfmt>
    <rfmt sheetId="1" sqref="AL183" start="0" length="0">
      <dxf>
        <font>
          <sz val="12"/>
          <color theme="1"/>
          <name val="Calibri"/>
          <family val="2"/>
          <charset val="238"/>
          <scheme val="minor"/>
        </font>
      </dxf>
    </rfmt>
    <rfmt sheetId="1" sqref="AL184" start="0" length="0">
      <dxf>
        <font>
          <sz val="12"/>
          <color theme="1"/>
          <name val="Calibri"/>
          <family val="2"/>
          <charset val="238"/>
          <scheme val="minor"/>
        </font>
      </dxf>
    </rfmt>
    <rfmt sheetId="1" sqref="AL185" start="0" length="0">
      <dxf>
        <font>
          <sz val="12"/>
          <color theme="1"/>
          <name val="Calibri"/>
          <family val="2"/>
          <charset val="238"/>
          <scheme val="minor"/>
        </font>
      </dxf>
    </rfmt>
    <rfmt sheetId="1" sqref="AL186" start="0" length="0">
      <dxf>
        <font>
          <sz val="12"/>
          <color theme="1"/>
          <name val="Calibri"/>
          <family val="2"/>
          <charset val="238"/>
          <scheme val="minor"/>
        </font>
      </dxf>
    </rfmt>
    <rfmt sheetId="1" sqref="AL187" start="0" length="0">
      <dxf>
        <font>
          <sz val="12"/>
          <color theme="1"/>
          <name val="Calibri"/>
          <family val="2"/>
          <charset val="238"/>
          <scheme val="minor"/>
        </font>
      </dxf>
    </rfmt>
    <rfmt sheetId="1" sqref="AL188" start="0" length="0">
      <dxf>
        <font>
          <sz val="12"/>
          <color theme="1"/>
          <name val="Calibri"/>
          <family val="2"/>
          <charset val="238"/>
          <scheme val="minor"/>
        </font>
      </dxf>
    </rfmt>
    <rfmt sheetId="1" sqref="AL189" start="0" length="0">
      <dxf>
        <font>
          <sz val="12"/>
          <color theme="1"/>
          <name val="Calibri"/>
          <family val="2"/>
          <charset val="238"/>
          <scheme val="minor"/>
        </font>
      </dxf>
    </rfmt>
    <rfmt sheetId="1" sqref="AL190" start="0" length="0">
      <dxf>
        <font>
          <sz val="12"/>
          <color theme="1"/>
          <name val="Calibri"/>
          <family val="2"/>
          <charset val="238"/>
          <scheme val="minor"/>
        </font>
      </dxf>
    </rfmt>
    <rfmt sheetId="1" sqref="AL191" start="0" length="0">
      <dxf>
        <font>
          <sz val="12"/>
          <color theme="1"/>
          <name val="Calibri"/>
          <family val="2"/>
          <charset val="238"/>
          <scheme val="minor"/>
        </font>
      </dxf>
    </rfmt>
    <rfmt sheetId="1" sqref="AL192" start="0" length="0">
      <dxf>
        <font>
          <sz val="12"/>
          <color theme="1"/>
          <name val="Calibri"/>
          <family val="2"/>
          <charset val="238"/>
          <scheme val="minor"/>
        </font>
      </dxf>
    </rfmt>
    <rfmt sheetId="1" sqref="AL193" start="0" length="0">
      <dxf>
        <font>
          <sz val="12"/>
          <color theme="1"/>
          <name val="Calibri"/>
          <family val="2"/>
          <charset val="238"/>
          <scheme val="minor"/>
        </font>
      </dxf>
    </rfmt>
    <rfmt sheetId="1" sqref="AL194" start="0" length="0">
      <dxf>
        <font>
          <sz val="12"/>
          <color theme="1"/>
          <name val="Calibri"/>
          <family val="2"/>
          <charset val="238"/>
          <scheme val="minor"/>
        </font>
      </dxf>
    </rfmt>
    <rfmt sheetId="1" sqref="AL195" start="0" length="0">
      <dxf>
        <font>
          <sz val="12"/>
          <color theme="1"/>
          <name val="Calibri"/>
          <family val="2"/>
          <charset val="238"/>
          <scheme val="minor"/>
        </font>
      </dxf>
    </rfmt>
    <rfmt sheetId="1" sqref="AL196" start="0" length="0">
      <dxf>
        <font>
          <sz val="12"/>
          <color theme="1"/>
          <name val="Calibri"/>
          <family val="2"/>
          <charset val="238"/>
          <scheme val="minor"/>
        </font>
      </dxf>
    </rfmt>
    <rfmt sheetId="1" sqref="AL197" start="0" length="0">
      <dxf>
        <font>
          <sz val="12"/>
          <color theme="1"/>
          <name val="Calibri"/>
          <family val="2"/>
          <charset val="238"/>
          <scheme val="minor"/>
        </font>
      </dxf>
    </rfmt>
    <rfmt sheetId="1" sqref="AL198" start="0" length="0">
      <dxf>
        <font>
          <sz val="12"/>
          <color theme="1"/>
          <name val="Calibri"/>
          <family val="2"/>
          <charset val="238"/>
          <scheme val="minor"/>
        </font>
      </dxf>
    </rfmt>
    <rfmt sheetId="1" sqref="AL199" start="0" length="0">
      <dxf>
        <font>
          <sz val="12"/>
          <color theme="1"/>
          <name val="Calibri"/>
          <family val="2"/>
          <charset val="238"/>
          <scheme val="minor"/>
        </font>
      </dxf>
    </rfmt>
    <rfmt sheetId="1" sqref="AL200" start="0" length="0">
      <dxf>
        <font>
          <sz val="12"/>
          <color theme="1"/>
          <name val="Calibri"/>
          <family val="2"/>
          <charset val="238"/>
          <scheme val="minor"/>
        </font>
      </dxf>
    </rfmt>
    <rfmt sheetId="1" sqref="AL201" start="0" length="0">
      <dxf>
        <font>
          <sz val="12"/>
          <color theme="1"/>
          <name val="Calibri"/>
          <family val="2"/>
          <charset val="238"/>
          <scheme val="minor"/>
        </font>
      </dxf>
    </rfmt>
    <rfmt sheetId="1" sqref="AL202" start="0" length="0">
      <dxf>
        <font>
          <sz val="12"/>
          <color theme="1"/>
          <name val="Calibri"/>
          <family val="2"/>
          <charset val="238"/>
          <scheme val="minor"/>
        </font>
        <alignment vertical="top" wrapText="1"/>
      </dxf>
    </rfmt>
    <rfmt sheetId="1" sqref="AL203" start="0" length="0">
      <dxf>
        <font>
          <sz val="12"/>
          <color theme="1"/>
          <name val="Calibri"/>
          <family val="2"/>
          <charset val="238"/>
          <scheme val="minor"/>
        </font>
        <alignment vertical="top" wrapText="1"/>
      </dxf>
    </rfmt>
    <rfmt sheetId="1" sqref="AL204" start="0" length="0">
      <dxf>
        <font>
          <sz val="12"/>
          <color theme="1"/>
          <name val="Calibri"/>
          <family val="2"/>
          <charset val="238"/>
          <scheme val="minor"/>
        </font>
        <alignment vertical="top" wrapText="1"/>
      </dxf>
    </rfmt>
    <rfmt sheetId="1" sqref="AL205" start="0" length="0">
      <dxf>
        <font>
          <sz val="12"/>
          <color theme="1"/>
          <name val="Calibri"/>
          <family val="2"/>
          <charset val="238"/>
          <scheme val="minor"/>
        </font>
        <alignment vertical="top" wrapText="1"/>
      </dxf>
    </rfmt>
    <rfmt sheetId="1" sqref="AL206" start="0" length="0">
      <dxf>
        <font>
          <sz val="12"/>
          <color theme="1"/>
          <name val="Calibri"/>
          <family val="2"/>
          <charset val="238"/>
          <scheme val="minor"/>
        </font>
      </dxf>
    </rfmt>
    <rfmt sheetId="1" sqref="AL207" start="0" length="0">
      <dxf>
        <font>
          <sz val="12"/>
          <color theme="1"/>
          <name val="Calibri"/>
          <family val="2"/>
          <charset val="238"/>
          <scheme val="minor"/>
        </font>
      </dxf>
    </rfmt>
    <rfmt sheetId="1" sqref="AL208" start="0" length="0">
      <dxf>
        <font>
          <sz val="12"/>
          <color theme="1"/>
          <name val="Calibri"/>
          <family val="2"/>
          <charset val="238"/>
          <scheme val="minor"/>
        </font>
      </dxf>
    </rfmt>
    <rfmt sheetId="1" sqref="AL209" start="0" length="0">
      <dxf>
        <font>
          <sz val="12"/>
          <color theme="1"/>
          <name val="Calibri"/>
          <family val="2"/>
          <charset val="238"/>
          <scheme val="minor"/>
        </font>
      </dxf>
    </rfmt>
    <rfmt sheetId="1" sqref="AL210" start="0" length="0">
      <dxf>
        <font>
          <sz val="12"/>
          <color theme="1"/>
          <name val="Calibri"/>
          <family val="2"/>
          <charset val="238"/>
          <scheme val="minor"/>
        </font>
      </dxf>
    </rfmt>
    <rfmt sheetId="1" sqref="AL211" start="0" length="0">
      <dxf>
        <font>
          <sz val="12"/>
          <color theme="1"/>
          <name val="Calibri"/>
          <family val="2"/>
          <charset val="238"/>
          <scheme val="minor"/>
        </font>
        <alignment vertical="top" wrapText="1"/>
      </dxf>
    </rfmt>
    <rfmt sheetId="1" sqref="AL212" start="0" length="0">
      <dxf>
        <font>
          <sz val="12"/>
          <color theme="1"/>
          <name val="Calibri"/>
          <family val="2"/>
          <charset val="238"/>
          <scheme val="minor"/>
        </font>
      </dxf>
    </rfmt>
    <rfmt sheetId="1" sqref="AL213" start="0" length="0">
      <dxf>
        <font>
          <sz val="12"/>
          <color theme="1"/>
          <name val="Calibri"/>
          <family val="2"/>
          <charset val="238"/>
          <scheme val="minor"/>
        </font>
      </dxf>
    </rfmt>
    <rfmt sheetId="1" sqref="AL214" start="0" length="0">
      <dxf>
        <font>
          <sz val="12"/>
          <color theme="1"/>
          <name val="Calibri"/>
          <family val="2"/>
          <charset val="238"/>
          <scheme val="minor"/>
        </font>
      </dxf>
    </rfmt>
    <rfmt sheetId="1" sqref="AL215" start="0" length="0">
      <dxf>
        <font>
          <sz val="12"/>
          <color theme="1"/>
          <name val="Calibri"/>
          <family val="2"/>
          <charset val="238"/>
          <scheme val="minor"/>
        </font>
      </dxf>
    </rfmt>
    <rfmt sheetId="1" sqref="AL216" start="0" length="0">
      <dxf>
        <font>
          <sz val="12"/>
          <color theme="1"/>
          <name val="Calibri"/>
          <family val="2"/>
          <charset val="238"/>
          <scheme val="minor"/>
        </font>
      </dxf>
    </rfmt>
    <rfmt sheetId="1" sqref="AL217" start="0" length="0">
      <dxf>
        <font>
          <sz val="12"/>
          <color theme="1"/>
          <name val="Calibri"/>
          <family val="2"/>
          <charset val="238"/>
          <scheme val="minor"/>
        </font>
      </dxf>
    </rfmt>
    <rfmt sheetId="1" sqref="AL218" start="0" length="0">
      <dxf>
        <font>
          <sz val="12"/>
          <color theme="1"/>
          <name val="Calibri"/>
          <family val="2"/>
          <charset val="238"/>
          <scheme val="minor"/>
        </font>
      </dxf>
    </rfmt>
    <rfmt sheetId="1" sqref="AL219" start="0" length="0">
      <dxf>
        <font>
          <sz val="12"/>
          <color theme="1"/>
          <name val="Calibri"/>
          <family val="2"/>
          <charset val="238"/>
          <scheme val="minor"/>
        </font>
      </dxf>
    </rfmt>
    <rfmt sheetId="1" sqref="AL220" start="0" length="0">
      <dxf>
        <font>
          <sz val="12"/>
          <color theme="1"/>
          <name val="Calibri"/>
          <family val="2"/>
          <charset val="238"/>
          <scheme val="minor"/>
        </font>
      </dxf>
    </rfmt>
    <rfmt sheetId="1" sqref="AL221" start="0" length="0">
      <dxf>
        <font>
          <sz val="12"/>
          <color theme="1"/>
          <name val="Calibri"/>
          <family val="2"/>
          <charset val="238"/>
          <scheme val="minor"/>
        </font>
      </dxf>
    </rfmt>
    <rfmt sheetId="1" sqref="AL222" start="0" length="0">
      <dxf>
        <font>
          <sz val="12"/>
          <color theme="1"/>
          <name val="Calibri"/>
          <family val="2"/>
          <charset val="238"/>
          <scheme val="minor"/>
        </font>
      </dxf>
    </rfmt>
    <rfmt sheetId="1" sqref="AL223" start="0" length="0">
      <dxf>
        <font>
          <sz val="12"/>
          <color theme="1"/>
          <name val="Calibri"/>
          <family val="2"/>
          <charset val="238"/>
          <scheme val="minor"/>
        </font>
      </dxf>
    </rfmt>
    <rfmt sheetId="1" sqref="AL224" start="0" length="0">
      <dxf>
        <font>
          <sz val="12"/>
          <color theme="1"/>
          <name val="Calibri"/>
          <family val="2"/>
          <charset val="238"/>
          <scheme val="minor"/>
        </font>
      </dxf>
    </rfmt>
    <rfmt sheetId="1" sqref="AL225" start="0" length="0">
      <dxf>
        <font>
          <sz val="12"/>
          <color theme="1"/>
          <name val="Calibri"/>
          <family val="2"/>
          <charset val="238"/>
          <scheme val="minor"/>
        </font>
      </dxf>
    </rfmt>
    <rfmt sheetId="1" sqref="AL226" start="0" length="0">
      <dxf>
        <font>
          <sz val="12"/>
          <color theme="1"/>
          <name val="Calibri"/>
          <family val="2"/>
          <charset val="238"/>
          <scheme val="minor"/>
        </font>
      </dxf>
    </rfmt>
    <rfmt sheetId="1" sqref="AL227" start="0" length="0">
      <dxf>
        <font>
          <sz val="12"/>
          <color theme="1"/>
          <name val="Calibri"/>
          <family val="2"/>
          <charset val="238"/>
          <scheme val="minor"/>
        </font>
      </dxf>
    </rfmt>
    <rfmt sheetId="1" sqref="AL228" start="0" length="0">
      <dxf>
        <font>
          <sz val="12"/>
          <color theme="1"/>
          <name val="Calibri"/>
          <family val="2"/>
          <charset val="238"/>
          <scheme val="minor"/>
        </font>
      </dxf>
    </rfmt>
    <rfmt sheetId="1" sqref="AL229" start="0" length="0">
      <dxf>
        <font>
          <sz val="12"/>
          <color theme="1"/>
          <name val="Calibri"/>
          <family val="2"/>
          <charset val="238"/>
          <scheme val="minor"/>
        </font>
      </dxf>
    </rfmt>
    <rfmt sheetId="1" sqref="AL230" start="0" length="0">
      <dxf>
        <font>
          <sz val="12"/>
          <color theme="1"/>
          <name val="Calibri"/>
          <family val="2"/>
          <charset val="238"/>
          <scheme val="minor"/>
        </font>
      </dxf>
    </rfmt>
    <rfmt sheetId="1" sqref="AL231" start="0" length="0">
      <dxf>
        <font>
          <sz val="12"/>
          <color theme="1"/>
          <name val="Calibri"/>
          <family val="2"/>
          <charset val="238"/>
          <scheme val="minor"/>
        </font>
      </dxf>
    </rfmt>
    <rfmt sheetId="1" sqref="AL232" start="0" length="0">
      <dxf>
        <font>
          <sz val="12"/>
          <color theme="1"/>
          <name val="Calibri"/>
          <family val="2"/>
          <charset val="238"/>
          <scheme val="minor"/>
        </font>
      </dxf>
    </rfmt>
    <rfmt sheetId="1" sqref="AL233" start="0" length="0">
      <dxf>
        <font>
          <sz val="12"/>
          <color theme="1"/>
          <name val="Calibri"/>
          <family val="2"/>
          <charset val="238"/>
          <scheme val="minor"/>
        </font>
      </dxf>
    </rfmt>
    <rfmt sheetId="1" sqref="AL234" start="0" length="0">
      <dxf>
        <font>
          <sz val="12"/>
          <color theme="1"/>
          <name val="Calibri"/>
          <family val="2"/>
          <charset val="238"/>
          <scheme val="minor"/>
        </font>
      </dxf>
    </rfmt>
    <rfmt sheetId="1" sqref="AL235" start="0" length="0">
      <dxf>
        <font>
          <sz val="12"/>
          <color theme="1"/>
          <name val="Calibri"/>
          <family val="2"/>
          <charset val="238"/>
          <scheme val="minor"/>
        </font>
      </dxf>
    </rfmt>
    <rfmt sheetId="1" sqref="AL236" start="0" length="0">
      <dxf>
        <font>
          <sz val="12"/>
          <color theme="1"/>
          <name val="Calibri"/>
          <family val="2"/>
          <charset val="238"/>
          <scheme val="minor"/>
        </font>
      </dxf>
    </rfmt>
    <rfmt sheetId="1" sqref="AL237" start="0" length="0">
      <dxf>
        <font>
          <sz val="12"/>
          <color theme="1"/>
          <name val="Calibri"/>
          <family val="2"/>
          <charset val="238"/>
          <scheme val="minor"/>
        </font>
      </dxf>
    </rfmt>
    <rfmt sheetId="1" sqref="AL238" start="0" length="0">
      <dxf>
        <font>
          <sz val="12"/>
          <color theme="1"/>
          <name val="Calibri"/>
          <family val="2"/>
          <charset val="238"/>
          <scheme val="minor"/>
        </font>
      </dxf>
    </rfmt>
    <rfmt sheetId="1" sqref="AL239" start="0" length="0">
      <dxf>
        <font>
          <sz val="12"/>
          <color theme="1"/>
          <name val="Calibri"/>
          <family val="2"/>
          <charset val="238"/>
          <scheme val="minor"/>
        </font>
      </dxf>
    </rfmt>
    <rfmt sheetId="1" sqref="AL240" start="0" length="0">
      <dxf>
        <font>
          <sz val="12"/>
          <color theme="0"/>
          <name val="Calibri"/>
          <family val="2"/>
          <charset val="238"/>
          <scheme val="minor"/>
        </font>
      </dxf>
    </rfmt>
    <rfmt sheetId="1" sqref="AL241" start="0" length="0">
      <dxf>
        <font>
          <sz val="12"/>
          <color theme="0"/>
          <name val="Calibri"/>
          <family val="2"/>
          <charset val="238"/>
          <scheme val="minor"/>
        </font>
      </dxf>
    </rfmt>
    <rfmt sheetId="1" sqref="AL242" start="0" length="0">
      <dxf>
        <font>
          <sz val="12"/>
          <color theme="0"/>
          <name val="Calibri"/>
          <family val="2"/>
          <charset val="238"/>
          <scheme val="minor"/>
        </font>
      </dxf>
    </rfmt>
    <rfmt sheetId="1" sqref="AL243" start="0" length="0">
      <dxf>
        <font>
          <sz val="12"/>
          <color theme="0"/>
          <name val="Calibri"/>
          <family val="2"/>
          <charset val="238"/>
          <scheme val="minor"/>
        </font>
      </dxf>
    </rfmt>
    <rfmt sheetId="1" sqref="AL244" start="0" length="0">
      <dxf>
        <font>
          <sz val="12"/>
          <color theme="1"/>
          <name val="Calibri"/>
          <family val="2"/>
          <charset val="238"/>
          <scheme val="minor"/>
        </font>
      </dxf>
    </rfmt>
    <rfmt sheetId="1" sqref="AL245" start="0" length="0">
      <dxf>
        <font>
          <sz val="12"/>
          <color theme="1"/>
          <name val="Calibri"/>
          <family val="2"/>
          <charset val="238"/>
          <scheme val="minor"/>
        </font>
      </dxf>
    </rfmt>
    <rfmt sheetId="1" sqref="AL246" start="0" length="0">
      <dxf>
        <font>
          <sz val="12"/>
          <color theme="1"/>
          <name val="Calibri"/>
          <family val="2"/>
          <charset val="238"/>
          <scheme val="minor"/>
        </font>
      </dxf>
    </rfmt>
    <rfmt sheetId="1" sqref="AL247" start="0" length="0">
      <dxf>
        <font>
          <sz val="12"/>
          <color theme="1"/>
          <name val="Calibri"/>
          <family val="2"/>
          <charset val="238"/>
          <scheme val="minor"/>
        </font>
      </dxf>
    </rfmt>
    <rfmt sheetId="1" sqref="AL248" start="0" length="0">
      <dxf>
        <font>
          <sz val="12"/>
          <color theme="1"/>
          <name val="Calibri"/>
          <family val="2"/>
          <charset val="238"/>
          <scheme val="minor"/>
        </font>
      </dxf>
    </rfmt>
    <rfmt sheetId="1" sqref="AL249" start="0" length="0">
      <dxf>
        <font>
          <sz val="12"/>
          <color theme="1"/>
          <name val="Calibri"/>
          <family val="2"/>
          <charset val="238"/>
          <scheme val="minor"/>
        </font>
      </dxf>
    </rfmt>
    <rfmt sheetId="1" sqref="AL250" start="0" length="0">
      <dxf>
        <font>
          <sz val="12"/>
          <color theme="1"/>
          <name val="Calibri"/>
          <family val="2"/>
          <charset val="238"/>
          <scheme val="minor"/>
        </font>
      </dxf>
    </rfmt>
    <rfmt sheetId="1" sqref="AL251" start="0" length="0">
      <dxf>
        <font>
          <sz val="12"/>
          <color theme="0"/>
          <name val="Calibri"/>
          <family val="2"/>
          <charset val="238"/>
          <scheme val="minor"/>
        </font>
      </dxf>
    </rfmt>
    <rfmt sheetId="1" sqref="AL252" start="0" length="0">
      <dxf>
        <font>
          <sz val="12"/>
          <color theme="0"/>
          <name val="Calibri"/>
          <family val="2"/>
          <charset val="238"/>
          <scheme val="minor"/>
        </font>
      </dxf>
    </rfmt>
    <rfmt sheetId="1" sqref="AL253" start="0" length="0">
      <dxf>
        <font>
          <sz val="12"/>
          <color theme="0"/>
          <name val="Calibri"/>
          <family val="2"/>
          <charset val="238"/>
          <scheme val="minor"/>
        </font>
      </dxf>
    </rfmt>
    <rfmt sheetId="1" sqref="AL254" start="0" length="0">
      <dxf>
        <font>
          <sz val="12"/>
          <color theme="0"/>
          <name val="Calibri"/>
          <family val="2"/>
          <charset val="238"/>
          <scheme val="minor"/>
        </font>
      </dxf>
    </rfmt>
    <rfmt sheetId="1" sqref="AL255" start="0" length="0">
      <dxf>
        <font>
          <sz val="12"/>
          <color theme="1"/>
          <name val="Calibri"/>
          <family val="2"/>
          <charset val="238"/>
          <scheme val="minor"/>
        </font>
      </dxf>
    </rfmt>
    <rfmt sheetId="1" sqref="AL256" start="0" length="0">
      <dxf>
        <font>
          <sz val="12"/>
          <color theme="1"/>
          <name val="Calibri"/>
          <family val="2"/>
          <charset val="238"/>
          <scheme val="minor"/>
        </font>
      </dxf>
    </rfmt>
    <rfmt sheetId="1" sqref="AL257" start="0" length="0">
      <dxf>
        <font>
          <sz val="12"/>
          <color theme="1"/>
          <name val="Calibri"/>
          <family val="2"/>
          <charset val="238"/>
          <scheme val="minor"/>
        </font>
      </dxf>
    </rfmt>
    <rfmt sheetId="1" sqref="AL258" start="0" length="0">
      <dxf>
        <font>
          <sz val="12"/>
          <color theme="1"/>
          <name val="Calibri"/>
          <family val="2"/>
          <charset val="238"/>
          <scheme val="minor"/>
        </font>
      </dxf>
    </rfmt>
    <rfmt sheetId="1" sqref="AL259" start="0" length="0">
      <dxf>
        <font>
          <sz val="12"/>
          <color theme="1"/>
          <name val="Calibri"/>
          <family val="2"/>
          <charset val="238"/>
          <scheme val="minor"/>
        </font>
      </dxf>
    </rfmt>
    <rfmt sheetId="1" sqref="AL260" start="0" length="0">
      <dxf>
        <font>
          <sz val="12"/>
          <color theme="1"/>
          <name val="Calibri"/>
          <family val="2"/>
          <charset val="238"/>
          <scheme val="minor"/>
        </font>
      </dxf>
    </rfmt>
    <rfmt sheetId="1" sqref="AL261" start="0" length="0">
      <dxf>
        <font>
          <sz val="12"/>
          <color theme="1"/>
          <name val="Calibri"/>
          <family val="2"/>
          <charset val="238"/>
          <scheme val="minor"/>
        </font>
      </dxf>
    </rfmt>
    <rfmt sheetId="1" sqref="AL262" start="0" length="0">
      <dxf>
        <font>
          <sz val="12"/>
          <color theme="1"/>
          <name val="Calibri"/>
          <family val="2"/>
          <charset val="238"/>
          <scheme val="minor"/>
        </font>
      </dxf>
    </rfmt>
    <rfmt sheetId="1" sqref="AL263" start="0" length="0">
      <dxf>
        <font>
          <sz val="12"/>
          <color theme="1"/>
          <name val="Calibri"/>
          <family val="2"/>
          <charset val="238"/>
          <scheme val="minor"/>
        </font>
      </dxf>
    </rfmt>
    <rfmt sheetId="1" sqref="AL264" start="0" length="0">
      <dxf>
        <font>
          <sz val="12"/>
          <color theme="1"/>
          <name val="Calibri"/>
          <family val="2"/>
          <charset val="238"/>
          <scheme val="minor"/>
        </font>
      </dxf>
    </rfmt>
    <rfmt sheetId="1" sqref="AL265" start="0" length="0">
      <dxf>
        <font>
          <sz val="12"/>
          <color theme="1"/>
          <name val="Calibri"/>
          <family val="2"/>
          <charset val="238"/>
          <scheme val="minor"/>
        </font>
      </dxf>
    </rfmt>
    <rfmt sheetId="1" sqref="AL266" start="0" length="0">
      <dxf>
        <font>
          <sz val="12"/>
          <color theme="1"/>
          <name val="Calibri"/>
          <family val="2"/>
          <charset val="238"/>
          <scheme val="minor"/>
        </font>
      </dxf>
    </rfmt>
    <rfmt sheetId="1" sqref="AL267" start="0" length="0">
      <dxf>
        <font>
          <sz val="12"/>
          <color theme="1"/>
          <name val="Calibri"/>
          <family val="2"/>
          <charset val="238"/>
          <scheme val="minor"/>
        </font>
      </dxf>
    </rfmt>
    <rfmt sheetId="1" sqref="AL268" start="0" length="0">
      <dxf>
        <font>
          <sz val="12"/>
          <color theme="1"/>
          <name val="Calibri"/>
          <family val="2"/>
          <charset val="238"/>
          <scheme val="minor"/>
        </font>
      </dxf>
    </rfmt>
    <rfmt sheetId="1" sqref="AL269" start="0" length="0">
      <dxf>
        <font>
          <sz val="12"/>
          <color theme="1"/>
          <name val="Calibri"/>
          <family val="2"/>
          <charset val="238"/>
          <scheme val="minor"/>
        </font>
      </dxf>
    </rfmt>
    <rfmt sheetId="1" sqref="AL270" start="0" length="0">
      <dxf>
        <font>
          <sz val="12"/>
          <color theme="1"/>
          <name val="Calibri"/>
          <family val="2"/>
          <charset val="238"/>
          <scheme val="minor"/>
        </font>
      </dxf>
    </rfmt>
    <rfmt sheetId="1" sqref="AL271" start="0" length="0">
      <dxf>
        <font>
          <sz val="12"/>
          <color theme="1"/>
          <name val="Calibri"/>
          <family val="2"/>
          <charset val="238"/>
          <scheme val="minor"/>
        </font>
      </dxf>
    </rfmt>
    <rfmt sheetId="1" sqref="AL272" start="0" length="0">
      <dxf>
        <font>
          <sz val="12"/>
          <color theme="1"/>
          <name val="Calibri"/>
          <family val="2"/>
          <charset val="238"/>
          <scheme val="minor"/>
        </font>
      </dxf>
    </rfmt>
    <rfmt sheetId="1" sqref="AL273" start="0" length="0">
      <dxf>
        <font>
          <sz val="12"/>
          <color theme="1"/>
          <name val="Calibri"/>
          <family val="2"/>
          <charset val="238"/>
          <scheme val="minor"/>
        </font>
      </dxf>
    </rfmt>
    <rfmt sheetId="1" sqref="AL274" start="0" length="0">
      <dxf>
        <font>
          <sz val="12"/>
          <color theme="1"/>
          <name val="Calibri"/>
          <family val="2"/>
          <charset val="238"/>
          <scheme val="minor"/>
        </font>
      </dxf>
    </rfmt>
    <rfmt sheetId="1" sqref="AL275" start="0" length="0">
      <dxf>
        <font>
          <sz val="12"/>
          <color theme="1"/>
          <name val="Calibri"/>
          <family val="2"/>
          <charset val="238"/>
          <scheme val="minor"/>
        </font>
      </dxf>
    </rfmt>
    <rfmt sheetId="1" sqref="AL276" start="0" length="0">
      <dxf>
        <font>
          <sz val="12"/>
          <color theme="1"/>
          <name val="Calibri"/>
          <family val="2"/>
          <charset val="238"/>
          <scheme val="minor"/>
        </font>
      </dxf>
    </rfmt>
    <rfmt sheetId="1" sqref="AL277" start="0" length="0">
      <dxf>
        <font>
          <sz val="12"/>
          <color theme="1"/>
          <name val="Calibri"/>
          <family val="2"/>
          <charset val="238"/>
          <scheme val="minor"/>
        </font>
      </dxf>
    </rfmt>
    <rfmt sheetId="1" sqref="AL278"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79"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80"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81"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82" start="0" length="0">
      <dxf>
        <font>
          <sz val="12"/>
          <color theme="1"/>
          <name val="Calibri"/>
          <family val="2"/>
          <charset val="238"/>
          <scheme val="minor"/>
        </font>
      </dxf>
    </rfmt>
    <rfmt sheetId="1" sqref="AL283"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84" start="0" length="0">
      <dxf>
        <font>
          <sz val="12"/>
          <color theme="1"/>
          <name val="Calibri"/>
          <family val="2"/>
          <charset val="238"/>
          <scheme val="minor"/>
        </font>
      </dxf>
    </rfmt>
    <rfmt sheetId="1" sqref="AL285" start="0" length="0">
      <dxf>
        <font>
          <sz val="12"/>
          <color theme="1"/>
          <name val="Calibri"/>
          <family val="2"/>
          <charset val="238"/>
          <scheme val="minor"/>
        </font>
      </dxf>
    </rfmt>
    <rfmt sheetId="1" sqref="AL286" start="0" length="0">
      <dxf>
        <font>
          <sz val="12"/>
          <color theme="1"/>
          <name val="Calibri"/>
          <family val="2"/>
          <charset val="238"/>
          <scheme val="minor"/>
        </font>
      </dxf>
    </rfmt>
    <rfmt sheetId="1" sqref="AL287" start="0" length="0">
      <dxf>
        <font>
          <sz val="12"/>
          <color theme="1"/>
          <name val="Calibri"/>
          <family val="2"/>
          <charset val="238"/>
          <scheme val="minor"/>
        </font>
      </dxf>
    </rfmt>
    <rfmt sheetId="1" sqref="AL288" start="0" length="0">
      <dxf>
        <font>
          <sz val="12"/>
          <color theme="1"/>
          <name val="Calibri"/>
          <family val="2"/>
          <charset val="238"/>
          <scheme val="minor"/>
        </font>
      </dxf>
    </rfmt>
    <rfmt sheetId="1" sqref="AL289" start="0" length="0">
      <dxf>
        <font>
          <sz val="12"/>
          <color theme="1"/>
          <name val="Calibri"/>
          <family val="2"/>
          <charset val="238"/>
          <scheme val="minor"/>
        </font>
      </dxf>
    </rfmt>
    <rfmt sheetId="1" sqref="AL290" start="0" length="0">
      <dxf>
        <font>
          <sz val="12"/>
          <color theme="1"/>
          <name val="Calibri"/>
          <family val="2"/>
          <charset val="238"/>
          <scheme val="minor"/>
        </font>
      </dxf>
    </rfmt>
    <rfmt sheetId="1" sqref="AL291" start="0" length="0">
      <dxf>
        <font>
          <sz val="12"/>
          <color theme="1"/>
          <name val="Calibri"/>
          <family val="2"/>
          <charset val="238"/>
          <scheme val="minor"/>
        </font>
      </dxf>
    </rfmt>
    <rfmt sheetId="1" sqref="AL292" start="0" length="0">
      <dxf>
        <font>
          <sz val="12"/>
          <color theme="1"/>
          <name val="Calibri"/>
          <family val="2"/>
          <charset val="238"/>
          <scheme val="minor"/>
        </font>
      </dxf>
    </rfmt>
    <rfmt sheetId="1" sqref="AL293" start="0" length="0">
      <dxf>
        <font>
          <sz val="12"/>
          <color theme="1"/>
          <name val="Calibri"/>
          <family val="2"/>
          <charset val="238"/>
          <scheme val="minor"/>
        </font>
      </dxf>
    </rfmt>
    <rfmt sheetId="1" sqref="AL294" start="0" length="0">
      <dxf>
        <font>
          <sz val="12"/>
          <color theme="1"/>
          <name val="Calibri"/>
          <family val="2"/>
          <charset val="238"/>
          <scheme val="minor"/>
        </font>
      </dxf>
    </rfmt>
    <rfmt sheetId="1" sqref="AL296" start="0" length="0">
      <dxf>
        <font>
          <sz val="12"/>
          <color theme="1"/>
          <name val="Calibri"/>
          <family val="2"/>
          <charset val="238"/>
          <scheme val="minor"/>
        </font>
      </dxf>
    </rfmt>
    <rfmt sheetId="1" sqref="AL297" start="0" length="0">
      <dxf>
        <font>
          <sz val="12"/>
          <color theme="1"/>
          <name val="Calibri"/>
          <family val="2"/>
          <charset val="238"/>
          <scheme val="minor"/>
        </font>
      </dxf>
    </rfmt>
    <rfmt sheetId="1" sqref="AL298" start="0" length="0">
      <dxf>
        <font>
          <sz val="12"/>
          <color theme="1"/>
          <name val="Calibri"/>
          <family val="2"/>
          <charset val="238"/>
          <scheme val="minor"/>
        </font>
      </dxf>
    </rfmt>
    <rfmt sheetId="1" sqref="AL299" start="0" length="0">
      <dxf>
        <font>
          <sz val="12"/>
          <color theme="1"/>
          <name val="Calibri"/>
          <family val="2"/>
          <charset val="238"/>
          <scheme val="minor"/>
        </font>
      </dxf>
    </rfmt>
    <rfmt sheetId="1" sqref="AL300" start="0" length="0">
      <dxf>
        <font>
          <sz val="12"/>
          <color theme="1"/>
          <name val="Calibri"/>
          <family val="2"/>
          <charset val="238"/>
          <scheme val="minor"/>
        </font>
      </dxf>
    </rfmt>
    <rfmt sheetId="1" sqref="AL301" start="0" length="0">
      <dxf>
        <font>
          <sz val="12"/>
          <color theme="1"/>
          <name val="Calibri"/>
          <family val="2"/>
          <charset val="238"/>
          <scheme val="minor"/>
        </font>
      </dxf>
    </rfmt>
    <rfmt sheetId="1" sqref="AL302" start="0" length="0">
      <dxf>
        <font>
          <sz val="12"/>
          <color theme="1"/>
          <name val="Calibri"/>
          <family val="2"/>
          <charset val="238"/>
          <scheme val="minor"/>
        </font>
      </dxf>
    </rfmt>
    <rfmt sheetId="1" sqref="AL303" start="0" length="0">
      <dxf>
        <font>
          <sz val="12"/>
          <color theme="1"/>
          <name val="Calibri"/>
          <family val="2"/>
          <charset val="238"/>
          <scheme val="minor"/>
        </font>
      </dxf>
    </rfmt>
    <rfmt sheetId="1" sqref="AL304" start="0" length="0">
      <dxf>
        <font>
          <sz val="12"/>
          <color theme="1"/>
          <name val="Calibri"/>
          <family val="2"/>
          <charset val="238"/>
          <scheme val="minor"/>
        </font>
      </dxf>
    </rfmt>
    <rfmt sheetId="1" sqref="AL305" start="0" length="0">
      <dxf>
        <font>
          <sz val="12"/>
          <color theme="1"/>
          <name val="Calibri"/>
          <family val="2"/>
          <charset val="238"/>
          <scheme val="minor"/>
        </font>
      </dxf>
    </rfmt>
    <rfmt sheetId="1" sqref="AL306" start="0" length="0">
      <dxf>
        <font>
          <sz val="12"/>
          <color theme="1"/>
          <name val="Calibri"/>
          <family val="2"/>
          <charset val="238"/>
          <scheme val="minor"/>
        </font>
      </dxf>
    </rfmt>
    <rfmt sheetId="1" sqref="AL307" start="0" length="0">
      <dxf>
        <font>
          <sz val="12"/>
          <color theme="1"/>
          <name val="Calibri"/>
          <family val="2"/>
          <charset val="238"/>
          <scheme val="minor"/>
        </font>
      </dxf>
    </rfmt>
    <rfmt sheetId="1" sqref="AL308" start="0" length="0">
      <dxf>
        <font>
          <sz val="12"/>
          <color theme="1"/>
          <name val="Calibri"/>
          <family val="2"/>
          <charset val="238"/>
          <scheme val="minor"/>
        </font>
      </dxf>
    </rfmt>
    <rfmt sheetId="1" sqref="AL309" start="0" length="0">
      <dxf>
        <font>
          <sz val="12"/>
          <color theme="1"/>
          <name val="Calibri"/>
          <family val="2"/>
          <charset val="238"/>
          <scheme val="minor"/>
        </font>
      </dxf>
    </rfmt>
    <rfmt sheetId="1" sqref="AL310" start="0" length="0">
      <dxf>
        <font>
          <sz val="12"/>
          <color theme="1"/>
          <name val="Calibri"/>
          <family val="2"/>
          <charset val="238"/>
          <scheme val="minor"/>
        </font>
      </dxf>
    </rfmt>
    <rfmt sheetId="1" sqref="AL311" start="0" length="0">
      <dxf>
        <font>
          <sz val="12"/>
          <color theme="1"/>
          <name val="Calibri"/>
          <family val="2"/>
          <charset val="238"/>
          <scheme val="minor"/>
        </font>
      </dxf>
    </rfmt>
    <rfmt sheetId="1" sqref="AL312" start="0" length="0">
      <dxf>
        <font>
          <sz val="12"/>
          <color theme="1"/>
          <name val="Calibri"/>
          <family val="2"/>
          <charset val="238"/>
          <scheme val="minor"/>
        </font>
      </dxf>
    </rfmt>
    <rfmt sheetId="1" sqref="AL313" start="0" length="0">
      <dxf>
        <font>
          <sz val="12"/>
          <color theme="1"/>
          <name val="Calibri"/>
          <family val="2"/>
          <charset val="238"/>
          <scheme val="minor"/>
        </font>
      </dxf>
    </rfmt>
    <rfmt sheetId="1" sqref="AL314" start="0" length="0">
      <dxf>
        <font>
          <sz val="12"/>
          <color theme="1"/>
          <name val="Calibri"/>
          <family val="2"/>
          <charset val="238"/>
          <scheme val="minor"/>
        </font>
      </dxf>
    </rfmt>
    <rfmt sheetId="1" sqref="AL315" start="0" length="0">
      <dxf>
        <font>
          <sz val="12"/>
          <color theme="1"/>
          <name val="Calibri"/>
          <family val="2"/>
          <charset val="238"/>
          <scheme val="minor"/>
        </font>
      </dxf>
    </rfmt>
    <rfmt sheetId="1" sqref="AL316" start="0" length="0">
      <dxf>
        <font>
          <sz val="12"/>
          <color theme="1"/>
          <name val="Calibri"/>
          <family val="2"/>
          <charset val="238"/>
          <scheme val="minor"/>
        </font>
      </dxf>
    </rfmt>
    <rfmt sheetId="1" sqref="AL317" start="0" length="0">
      <dxf>
        <font>
          <sz val="12"/>
          <color theme="1"/>
          <name val="Calibri"/>
          <family val="2"/>
          <charset val="238"/>
          <scheme val="minor"/>
        </font>
      </dxf>
    </rfmt>
    <rfmt sheetId="1" sqref="AL318" start="0" length="0">
      <dxf>
        <font>
          <sz val="12"/>
          <color theme="1"/>
          <name val="Calibri"/>
          <family val="2"/>
          <charset val="238"/>
          <scheme val="minor"/>
        </font>
      </dxf>
    </rfmt>
    <rfmt sheetId="1" sqref="AL319" start="0" length="0">
      <dxf>
        <font>
          <sz val="12"/>
          <color theme="1"/>
          <name val="Calibri"/>
          <family val="2"/>
          <charset val="238"/>
          <scheme val="minor"/>
        </font>
      </dxf>
    </rfmt>
    <rfmt sheetId="1" sqref="AL320" start="0" length="0">
      <dxf>
        <font>
          <sz val="12"/>
          <color theme="1"/>
          <name val="Calibri"/>
          <family val="2"/>
          <charset val="238"/>
          <scheme val="minor"/>
        </font>
      </dxf>
    </rfmt>
    <rfmt sheetId="1" sqref="AL321" start="0" length="0">
      <dxf>
        <font>
          <sz val="12"/>
          <color theme="1"/>
          <name val="Calibri"/>
          <family val="2"/>
          <charset val="238"/>
          <scheme val="minor"/>
        </font>
      </dxf>
    </rfmt>
    <rfmt sheetId="1" sqref="AL322" start="0" length="0">
      <dxf>
        <font>
          <sz val="12"/>
          <color theme="1"/>
          <name val="Calibri"/>
          <family val="2"/>
          <charset val="238"/>
          <scheme val="minor"/>
        </font>
      </dxf>
    </rfmt>
    <rfmt sheetId="1" sqref="AL323" start="0" length="0">
      <dxf>
        <font>
          <sz val="12"/>
          <color theme="1"/>
          <name val="Calibri"/>
          <family val="2"/>
          <charset val="238"/>
          <scheme val="minor"/>
        </font>
      </dxf>
    </rfmt>
    <rfmt sheetId="1" sqref="AL324" start="0" length="0">
      <dxf>
        <font>
          <sz val="12"/>
          <color theme="1"/>
          <name val="Calibri"/>
          <family val="2"/>
          <charset val="238"/>
          <scheme val="minor"/>
        </font>
      </dxf>
    </rfmt>
    <rfmt sheetId="1" sqref="AL325" start="0" length="0">
      <dxf>
        <font>
          <sz val="12"/>
          <color theme="1"/>
          <name val="Calibri"/>
          <family val="2"/>
          <charset val="238"/>
          <scheme val="minor"/>
        </font>
      </dxf>
    </rfmt>
    <rfmt sheetId="1" sqref="AL326" start="0" length="0">
      <dxf>
        <font>
          <sz val="12"/>
          <color theme="1"/>
          <name val="Calibri"/>
          <family val="2"/>
          <charset val="238"/>
          <scheme val="minor"/>
        </font>
      </dxf>
    </rfmt>
    <rfmt sheetId="1" sqref="AL327" start="0" length="0">
      <dxf>
        <font>
          <sz val="12"/>
          <color theme="1"/>
          <name val="Calibri"/>
          <family val="2"/>
          <charset val="238"/>
          <scheme val="minor"/>
        </font>
      </dxf>
    </rfmt>
    <rfmt sheetId="1" sqref="AL328" start="0" length="0">
      <dxf>
        <font>
          <sz val="12"/>
          <color theme="1"/>
          <name val="Calibri"/>
          <family val="2"/>
          <charset val="238"/>
          <scheme val="minor"/>
        </font>
      </dxf>
    </rfmt>
    <rfmt sheetId="1" sqref="AL329" start="0" length="0">
      <dxf>
        <font>
          <sz val="12"/>
          <color theme="1"/>
          <name val="Calibri"/>
          <family val="2"/>
          <charset val="238"/>
          <scheme val="minor"/>
        </font>
      </dxf>
    </rfmt>
    <rfmt sheetId="1" sqref="AL330" start="0" length="0">
      <dxf>
        <font>
          <sz val="12"/>
          <color theme="1"/>
          <name val="Calibri"/>
          <family val="2"/>
          <charset val="238"/>
          <scheme val="minor"/>
        </font>
      </dxf>
    </rfmt>
    <rfmt sheetId="1" sqref="AL331" start="0" length="0">
      <dxf>
        <font>
          <sz val="12"/>
          <color theme="1"/>
          <name val="Calibri"/>
          <family val="2"/>
          <charset val="238"/>
          <scheme val="minor"/>
        </font>
      </dxf>
    </rfmt>
    <rfmt sheetId="1" sqref="AL332" start="0" length="0">
      <dxf>
        <font>
          <sz val="12"/>
          <color theme="1"/>
          <name val="Calibri"/>
          <family val="2"/>
          <charset val="238"/>
          <scheme val="minor"/>
        </font>
      </dxf>
    </rfmt>
    <rfmt sheetId="1" sqref="AL333" start="0" length="0">
      <dxf>
        <font>
          <sz val="12"/>
          <color theme="1"/>
          <name val="Calibri"/>
          <family val="2"/>
          <charset val="238"/>
          <scheme val="minor"/>
        </font>
      </dxf>
    </rfmt>
    <rfmt sheetId="1" sqref="AL334" start="0" length="0">
      <dxf>
        <font>
          <sz val="12"/>
          <color theme="1"/>
          <name val="Calibri"/>
          <family val="2"/>
          <charset val="238"/>
          <scheme val="minor"/>
        </font>
      </dxf>
    </rfmt>
    <rfmt sheetId="1" sqref="AL335" start="0" length="0">
      <dxf>
        <font>
          <sz val="12"/>
          <color theme="1"/>
          <name val="Calibri"/>
          <family val="2"/>
          <charset val="238"/>
          <scheme val="minor"/>
        </font>
      </dxf>
    </rfmt>
    <rfmt sheetId="1" sqref="AL336" start="0" length="0">
      <dxf>
        <font>
          <sz val="12"/>
          <color theme="1"/>
          <name val="Calibri"/>
          <family val="2"/>
          <charset val="238"/>
          <scheme val="minor"/>
        </font>
      </dxf>
    </rfmt>
    <rfmt sheetId="1" sqref="AL337" start="0" length="0">
      <dxf>
        <font>
          <sz val="12"/>
          <color theme="1"/>
          <name val="Calibri"/>
          <family val="2"/>
          <charset val="238"/>
          <scheme val="minor"/>
        </font>
      </dxf>
    </rfmt>
    <rfmt sheetId="1" sqref="AL338" start="0" length="0">
      <dxf>
        <font>
          <sz val="12"/>
          <color theme="1"/>
          <name val="Calibri"/>
          <family val="2"/>
          <charset val="238"/>
          <scheme val="minor"/>
        </font>
      </dxf>
    </rfmt>
    <rfmt sheetId="1" sqref="AL339" start="0" length="0">
      <dxf>
        <font>
          <sz val="12"/>
          <color theme="1"/>
          <name val="Calibri"/>
          <family val="2"/>
          <charset val="238"/>
          <scheme val="minor"/>
        </font>
      </dxf>
    </rfmt>
    <rfmt sheetId="1" sqref="AL340" start="0" length="0">
      <dxf>
        <font>
          <sz val="12"/>
          <color theme="1"/>
          <name val="Calibri"/>
          <family val="2"/>
          <charset val="238"/>
          <scheme val="minor"/>
        </font>
      </dxf>
    </rfmt>
    <rfmt sheetId="1" sqref="AL341" start="0" length="0">
      <dxf>
        <font>
          <sz val="12"/>
          <color theme="1"/>
          <name val="Calibri"/>
          <family val="2"/>
          <charset val="238"/>
          <scheme val="minor"/>
        </font>
      </dxf>
    </rfmt>
    <rfmt sheetId="1" sqref="AL342" start="0" length="0">
      <dxf>
        <font>
          <sz val="12"/>
          <color theme="1"/>
          <name val="Calibri"/>
          <family val="2"/>
          <charset val="238"/>
          <scheme val="minor"/>
        </font>
      </dxf>
    </rfmt>
    <rfmt sheetId="1" sqref="AL343" start="0" length="0">
      <dxf>
        <font>
          <sz val="12"/>
          <color theme="1"/>
          <name val="Calibri"/>
          <family val="2"/>
          <charset val="238"/>
          <scheme val="minor"/>
        </font>
      </dxf>
    </rfmt>
    <rfmt sheetId="1" sqref="AL344" start="0" length="0">
      <dxf>
        <font>
          <sz val="12"/>
          <color theme="1"/>
          <name val="Calibri"/>
          <family val="2"/>
          <charset val="238"/>
          <scheme val="minor"/>
        </font>
      </dxf>
    </rfmt>
    <rfmt sheetId="1" sqref="AL345" start="0" length="0">
      <dxf>
        <font>
          <sz val="12"/>
          <color theme="1"/>
          <name val="Calibri"/>
          <family val="2"/>
          <charset val="238"/>
          <scheme val="minor"/>
        </font>
      </dxf>
    </rfmt>
    <rfmt sheetId="1" sqref="AL346" start="0" length="0">
      <dxf>
        <font>
          <sz val="12"/>
          <color theme="1"/>
          <name val="Calibri"/>
          <family val="2"/>
          <charset val="238"/>
          <scheme val="minor"/>
        </font>
      </dxf>
    </rfmt>
    <rfmt sheetId="1" sqref="AL347" start="0" length="0">
      <dxf>
        <font>
          <sz val="12"/>
          <color theme="1"/>
          <name val="Calibri"/>
          <family val="2"/>
          <charset val="238"/>
          <scheme val="minor"/>
        </font>
      </dxf>
    </rfmt>
    <rfmt sheetId="1" sqref="AL348" start="0" length="0">
      <dxf>
        <font>
          <sz val="12"/>
          <color theme="1"/>
          <name val="Calibri"/>
          <family val="2"/>
          <charset val="238"/>
          <scheme val="minor"/>
        </font>
      </dxf>
    </rfmt>
    <rfmt sheetId="1" sqref="AL349" start="0" length="0">
      <dxf>
        <font>
          <sz val="12"/>
          <color theme="1"/>
          <name val="Calibri"/>
          <family val="2"/>
          <charset val="238"/>
          <scheme val="minor"/>
        </font>
      </dxf>
    </rfmt>
    <rfmt sheetId="1" sqref="AL350" start="0" length="0">
      <dxf>
        <font>
          <sz val="12"/>
          <color theme="1"/>
          <name val="Calibri"/>
          <family val="2"/>
          <charset val="238"/>
          <scheme val="minor"/>
        </font>
      </dxf>
    </rfmt>
    <rfmt sheetId="1" sqref="AL351" start="0" length="0">
      <dxf>
        <font>
          <sz val="12"/>
          <color theme="1"/>
          <name val="Calibri"/>
          <family val="2"/>
          <charset val="238"/>
          <scheme val="minor"/>
        </font>
      </dxf>
    </rfmt>
    <rfmt sheetId="1" sqref="AL352" start="0" length="0">
      <dxf>
        <font>
          <sz val="12"/>
          <color theme="1"/>
          <name val="Calibri"/>
          <family val="2"/>
          <charset val="238"/>
          <scheme val="minor"/>
        </font>
        <numFmt numFmtId="19" formatCode="dd/mm/yyyy"/>
      </dxf>
    </rfmt>
    <rfmt sheetId="1" sqref="AL353" start="0" length="0">
      <dxf>
        <font>
          <sz val="12"/>
          <color theme="1"/>
          <name val="Calibri"/>
          <family val="2"/>
          <charset val="238"/>
          <scheme val="minor"/>
        </font>
      </dxf>
    </rfmt>
    <rfmt sheetId="1" sqref="AL354" start="0" length="0">
      <dxf>
        <font>
          <sz val="12"/>
          <color theme="1"/>
          <name val="Calibri"/>
          <family val="2"/>
          <charset val="238"/>
          <scheme val="minor"/>
        </font>
      </dxf>
    </rfmt>
    <rfmt sheetId="1" sqref="AL355" start="0" length="0">
      <dxf>
        <font>
          <sz val="12"/>
          <color theme="1"/>
          <name val="Calibri"/>
          <family val="2"/>
          <charset val="238"/>
          <scheme val="minor"/>
        </font>
      </dxf>
    </rfmt>
    <rfmt sheetId="1" sqref="AL356" start="0" length="0">
      <dxf>
        <font>
          <sz val="12"/>
          <color theme="1"/>
          <name val="Calibri"/>
          <family val="2"/>
          <charset val="238"/>
          <scheme val="minor"/>
        </font>
      </dxf>
    </rfmt>
    <rfmt sheetId="1" sqref="AL357" start="0" length="0">
      <dxf>
        <font>
          <sz val="12"/>
          <color theme="1"/>
          <name val="Calibri"/>
          <family val="2"/>
          <charset val="238"/>
          <scheme val="minor"/>
        </font>
      </dxf>
    </rfmt>
    <rfmt sheetId="1" sqref="AL358" start="0" length="0">
      <dxf>
        <font>
          <sz val="12"/>
          <color theme="1"/>
          <name val="Calibri"/>
          <family val="2"/>
          <charset val="238"/>
          <scheme val="minor"/>
        </font>
      </dxf>
    </rfmt>
    <rfmt sheetId="1" sqref="AL359" start="0" length="0">
      <dxf>
        <font>
          <sz val="12"/>
          <color theme="1"/>
          <name val="Calibri"/>
          <family val="2"/>
          <charset val="238"/>
          <scheme val="minor"/>
        </font>
      </dxf>
    </rfmt>
    <rfmt sheetId="1" sqref="AL360" start="0" length="0">
      <dxf>
        <font>
          <sz val="12"/>
          <color theme="1"/>
          <name val="Calibri"/>
          <family val="2"/>
          <charset val="238"/>
          <scheme val="minor"/>
        </font>
      </dxf>
    </rfmt>
    <rfmt sheetId="1" sqref="AL361" start="0" length="0">
      <dxf>
        <font>
          <sz val="12"/>
          <color theme="1"/>
          <name val="Calibri"/>
          <family val="2"/>
          <charset val="238"/>
          <scheme val="minor"/>
        </font>
      </dxf>
    </rfmt>
    <rfmt sheetId="1" sqref="AL362" start="0" length="0">
      <dxf>
        <font>
          <sz val="12"/>
          <color theme="1"/>
          <name val="Calibri"/>
          <family val="2"/>
          <charset val="238"/>
          <scheme val="minor"/>
        </font>
      </dxf>
    </rfmt>
    <rfmt sheetId="1" sqref="AL363" start="0" length="0">
      <dxf>
        <font>
          <sz val="12"/>
          <color theme="1"/>
          <name val="Calibri"/>
          <family val="2"/>
          <charset val="238"/>
          <scheme val="minor"/>
        </font>
      </dxf>
    </rfmt>
    <rfmt sheetId="1" sqref="AL364" start="0" length="0">
      <dxf>
        <font>
          <sz val="12"/>
          <color theme="1"/>
          <name val="Calibri"/>
          <family val="2"/>
          <charset val="238"/>
          <scheme val="minor"/>
        </font>
      </dxf>
    </rfmt>
    <rfmt sheetId="1" sqref="AL365" start="0" length="0">
      <dxf>
        <font>
          <sz val="12"/>
          <color theme="1"/>
          <name val="Calibri"/>
          <family val="2"/>
          <charset val="238"/>
          <scheme val="minor"/>
        </font>
      </dxf>
    </rfmt>
    <rfmt sheetId="1" sqref="AL366" start="0" length="0">
      <dxf>
        <font>
          <sz val="12"/>
          <color theme="1"/>
          <name val="Calibri"/>
          <family val="2"/>
          <charset val="238"/>
          <scheme val="minor"/>
        </font>
      </dxf>
    </rfmt>
    <rfmt sheetId="1" sqref="AL367" start="0" length="0">
      <dxf>
        <font>
          <sz val="12"/>
          <color theme="1"/>
          <name val="Calibri"/>
          <family val="2"/>
          <charset val="238"/>
          <scheme val="minor"/>
        </font>
      </dxf>
    </rfmt>
    <rfmt sheetId="1" sqref="AL368" start="0" length="0">
      <dxf>
        <font>
          <sz val="12"/>
          <color theme="1"/>
          <name val="Calibri"/>
          <family val="2"/>
          <charset val="238"/>
          <scheme val="minor"/>
        </font>
      </dxf>
    </rfmt>
    <rfmt sheetId="1" sqref="AL369" start="0" length="0">
      <dxf>
        <font>
          <sz val="12"/>
          <color theme="1"/>
          <name val="Calibri"/>
          <family val="2"/>
          <charset val="238"/>
          <scheme val="minor"/>
        </font>
      </dxf>
    </rfmt>
    <rfmt sheetId="1" sqref="AL370" start="0" length="0">
      <dxf>
        <font>
          <sz val="12"/>
          <color theme="1"/>
          <name val="Calibri"/>
          <family val="2"/>
          <charset val="238"/>
          <scheme val="minor"/>
        </font>
      </dxf>
    </rfmt>
    <rfmt sheetId="1" sqref="AL371" start="0" length="0">
      <dxf>
        <font>
          <sz val="12"/>
          <color theme="1"/>
          <name val="Calibri"/>
          <family val="2"/>
          <charset val="238"/>
          <scheme val="minor"/>
        </font>
      </dxf>
    </rfmt>
    <rfmt sheetId="1" sqref="AL372" start="0" length="0">
      <dxf>
        <font>
          <sz val="12"/>
          <color theme="1"/>
          <name val="Calibri"/>
          <family val="2"/>
          <charset val="238"/>
          <scheme val="minor"/>
        </font>
      </dxf>
    </rfmt>
    <rfmt sheetId="1" sqref="AL373" start="0" length="0">
      <dxf>
        <font>
          <sz val="12"/>
          <color theme="1"/>
          <name val="Calibri"/>
          <family val="2"/>
          <charset val="238"/>
          <scheme val="minor"/>
        </font>
      </dxf>
    </rfmt>
    <rfmt sheetId="1" sqref="AL374" start="0" length="0">
      <dxf>
        <font>
          <sz val="12"/>
          <color theme="1"/>
          <name val="Calibri"/>
          <family val="2"/>
          <charset val="238"/>
          <scheme val="minor"/>
        </font>
      </dxf>
    </rfmt>
    <rfmt sheetId="1" sqref="AL375" start="0" length="0">
      <dxf>
        <font>
          <sz val="12"/>
          <color theme="1"/>
          <name val="Calibri"/>
          <family val="2"/>
          <charset val="238"/>
          <scheme val="minor"/>
        </font>
      </dxf>
    </rfmt>
    <rfmt sheetId="1" sqref="AL376" start="0" length="0">
      <dxf>
        <font>
          <sz val="12"/>
          <color theme="1"/>
          <name val="Calibri"/>
          <family val="2"/>
          <charset val="238"/>
          <scheme val="minor"/>
        </font>
      </dxf>
    </rfmt>
    <rfmt sheetId="1" sqref="AL377" start="0" length="0">
      <dxf>
        <font>
          <sz val="12"/>
          <color theme="1"/>
          <name val="Calibri"/>
          <family val="2"/>
          <charset val="238"/>
          <scheme val="minor"/>
        </font>
      </dxf>
    </rfmt>
    <rfmt sheetId="1" sqref="AL378" start="0" length="0">
      <dxf>
        <font>
          <sz val="12"/>
          <color theme="1"/>
          <name val="Calibri"/>
          <family val="2"/>
          <charset val="238"/>
          <scheme val="minor"/>
        </font>
      </dxf>
    </rfmt>
    <rfmt sheetId="1" sqref="AL379" start="0" length="0">
      <dxf>
        <font>
          <sz val="12"/>
          <color theme="1"/>
          <name val="Calibri"/>
          <family val="2"/>
          <charset val="238"/>
          <scheme val="minor"/>
        </font>
      </dxf>
    </rfmt>
    <rfmt sheetId="1" sqref="AL380" start="0" length="0">
      <dxf>
        <font>
          <sz val="12"/>
          <color theme="1"/>
          <name val="Calibri"/>
          <family val="2"/>
          <charset val="238"/>
          <scheme val="minor"/>
        </font>
      </dxf>
    </rfmt>
    <rfmt sheetId="1" sqref="AL381" start="0" length="0">
      <dxf>
        <font>
          <sz val="12"/>
          <color theme="1"/>
          <name val="Calibri"/>
          <family val="2"/>
          <charset val="238"/>
          <scheme val="minor"/>
        </font>
      </dxf>
    </rfmt>
    <rfmt sheetId="1" sqref="AL382" start="0" length="0">
      <dxf>
        <font>
          <sz val="12"/>
          <color theme="1"/>
          <name val="Calibri"/>
          <family val="2"/>
          <charset val="238"/>
          <scheme val="minor"/>
        </font>
      </dxf>
    </rfmt>
    <rfmt sheetId="1" sqref="AL383" start="0" length="0">
      <dxf>
        <font>
          <sz val="12"/>
          <color theme="1"/>
          <name val="Calibri"/>
          <family val="2"/>
          <charset val="238"/>
          <scheme val="minor"/>
        </font>
      </dxf>
    </rfmt>
    <rfmt sheetId="1" sqref="AL384" start="0" length="0">
      <dxf>
        <font>
          <sz val="12"/>
          <color theme="1"/>
          <name val="Calibri"/>
          <family val="2"/>
          <charset val="238"/>
          <scheme val="minor"/>
        </font>
      </dxf>
    </rfmt>
    <rfmt sheetId="1" sqref="AL385" start="0" length="0">
      <dxf>
        <font>
          <sz val="12"/>
          <color theme="1"/>
          <name val="Calibri"/>
          <family val="2"/>
          <charset val="238"/>
          <scheme val="minor"/>
        </font>
      </dxf>
    </rfmt>
    <rfmt sheetId="1" sqref="AL386" start="0" length="0">
      <dxf>
        <font>
          <sz val="12"/>
          <color theme="1"/>
          <name val="Calibri"/>
          <family val="2"/>
          <charset val="238"/>
          <scheme val="minor"/>
        </font>
      </dxf>
    </rfmt>
    <rfmt sheetId="1" sqref="AL387" start="0" length="0">
      <dxf>
        <font>
          <sz val="12"/>
          <color theme="1"/>
          <name val="Calibri"/>
          <family val="2"/>
          <charset val="238"/>
          <scheme val="minor"/>
        </font>
      </dxf>
    </rfmt>
    <rfmt sheetId="1" sqref="AL388" start="0" length="0">
      <dxf>
        <font>
          <sz val="12"/>
          <color theme="1"/>
          <name val="Calibri"/>
          <family val="2"/>
          <charset val="238"/>
          <scheme val="minor"/>
        </font>
      </dxf>
    </rfmt>
    <rfmt sheetId="1" sqref="AL389" start="0" length="0">
      <dxf>
        <font>
          <sz val="12"/>
          <color theme="1"/>
          <name val="Calibri"/>
          <family val="2"/>
          <charset val="238"/>
          <scheme val="minor"/>
        </font>
      </dxf>
    </rfmt>
    <rfmt sheetId="1" sqref="AL390" start="0" length="0">
      <dxf>
        <font>
          <sz val="12"/>
          <color theme="1"/>
          <name val="Calibri"/>
          <family val="2"/>
          <charset val="238"/>
          <scheme val="minor"/>
        </font>
      </dxf>
    </rfmt>
    <rfmt sheetId="1" sqref="AL391" start="0" length="0">
      <dxf>
        <font>
          <sz val="12"/>
          <color theme="1"/>
          <name val="Calibri"/>
          <family val="2"/>
          <charset val="238"/>
          <scheme val="minor"/>
        </font>
      </dxf>
    </rfmt>
    <rfmt sheetId="1" sqref="AL392" start="0" length="0">
      <dxf>
        <font>
          <sz val="12"/>
          <color theme="1"/>
          <name val="Calibri"/>
          <family val="2"/>
          <charset val="238"/>
          <scheme val="minor"/>
        </font>
      </dxf>
    </rfmt>
    <rfmt sheetId="1" sqref="AL393" start="0" length="0">
      <dxf>
        <font>
          <sz val="12"/>
          <color theme="1"/>
          <name val="Calibri"/>
          <family val="2"/>
          <charset val="238"/>
          <scheme val="minor"/>
        </font>
      </dxf>
    </rfmt>
    <rfmt sheetId="1" sqref="AL394" start="0" length="0">
      <dxf>
        <font>
          <sz val="12"/>
          <color theme="1"/>
          <name val="Calibri"/>
          <family val="2"/>
          <charset val="238"/>
          <scheme val="minor"/>
        </font>
      </dxf>
    </rfmt>
    <rfmt sheetId="1" sqref="AL395" start="0" length="0">
      <dxf>
        <font>
          <sz val="12"/>
          <color theme="1"/>
          <name val="Calibri"/>
          <family val="2"/>
          <charset val="238"/>
          <scheme val="minor"/>
        </font>
      </dxf>
    </rfmt>
    <rfmt sheetId="1" sqref="AL396" start="0" length="0">
      <dxf>
        <font>
          <sz val="12"/>
          <color theme="1"/>
          <name val="Calibri"/>
          <family val="2"/>
          <charset val="238"/>
          <scheme val="minor"/>
        </font>
      </dxf>
    </rfmt>
    <rfmt sheetId="1" sqref="AL397"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398"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399"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400"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401"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402"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403"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404" start="0" length="0">
      <dxf>
        <border outline="0">
          <left style="thin">
            <color indexed="64"/>
          </left>
          <right style="thin">
            <color indexed="64"/>
          </right>
          <top style="thin">
            <color indexed="64"/>
          </top>
          <bottom style="thin">
            <color indexed="64"/>
          </bottom>
        </border>
      </dxf>
    </rfmt>
    <rfmt sheetId="1" sqref="AL405" start="0" length="0">
      <dxf>
        <font>
          <sz val="12"/>
          <color theme="1"/>
          <name val="Calibri"/>
          <family val="2"/>
          <charset val="238"/>
          <scheme val="minor"/>
        </font>
      </dxf>
    </rfmt>
    <rfmt sheetId="1" sqref="AL407" start="0" length="0">
      <dxf>
        <font>
          <b/>
          <sz val="12"/>
          <color theme="1"/>
          <name val="Calibri"/>
          <family val="2"/>
          <charset val="238"/>
          <scheme val="minor"/>
        </font>
      </dxf>
    </rfmt>
    <rfmt sheetId="1" sqref="AL408" start="0" length="0">
      <dxf>
        <font>
          <b/>
          <sz val="12"/>
          <color theme="1"/>
          <name val="Calibri"/>
          <family val="2"/>
          <charset val="238"/>
          <scheme val="minor"/>
        </font>
      </dxf>
    </rfmt>
    <rfmt sheetId="1" sqref="AL409" start="0" length="0">
      <dxf>
        <font>
          <b/>
          <sz val="12"/>
          <color theme="1"/>
          <name val="Calibri"/>
          <family val="2"/>
          <charset val="238"/>
          <scheme val="minor"/>
        </font>
      </dxf>
    </rfmt>
    <rfmt sheetId="1" sqref="AL410" start="0" length="0">
      <dxf>
        <font>
          <b/>
          <sz val="12"/>
          <color theme="1"/>
          <name val="Calibri"/>
          <family val="2"/>
          <charset val="238"/>
          <scheme val="minor"/>
        </font>
      </dxf>
    </rfmt>
    <rfmt sheetId="1" sqref="AL411" start="0" length="0">
      <dxf>
        <font>
          <b/>
          <sz val="12"/>
          <color theme="1"/>
          <name val="Calibri"/>
          <family val="2"/>
          <charset val="238"/>
          <scheme val="minor"/>
        </font>
      </dxf>
    </rfmt>
    <rfmt sheetId="1" sqref="AL412" start="0" length="0">
      <dxf>
        <font>
          <b/>
          <sz val="12"/>
          <color theme="1"/>
          <name val="Calibri"/>
          <family val="2"/>
          <charset val="238"/>
          <scheme val="minor"/>
        </font>
      </dxf>
    </rfmt>
    <rfmt sheetId="1" sqref="AL413" start="0" length="0">
      <dxf>
        <font>
          <b/>
          <sz val="12"/>
          <color theme="1"/>
          <name val="Calibri"/>
          <family val="2"/>
          <charset val="238"/>
          <scheme val="minor"/>
        </font>
      </dxf>
    </rfmt>
    <rfmt sheetId="1" sqref="AL414" start="0" length="0">
      <dxf>
        <font>
          <b/>
          <sz val="12"/>
          <color theme="1"/>
          <name val="Calibri"/>
          <family val="2"/>
          <charset val="238"/>
          <scheme val="minor"/>
        </font>
      </dxf>
    </rfmt>
    <rfmt sheetId="1" sqref="AL415" start="0" length="0">
      <dxf>
        <font>
          <b/>
          <sz val="12"/>
          <color theme="1"/>
          <name val="Calibri"/>
          <family val="2"/>
          <charset val="238"/>
          <scheme val="minor"/>
        </font>
      </dxf>
    </rfmt>
    <rfmt sheetId="1" sqref="AL416" start="0" length="0">
      <dxf>
        <font>
          <b/>
          <sz val="12"/>
          <color theme="1"/>
          <name val="Calibri"/>
          <family val="2"/>
          <charset val="238"/>
          <scheme val="minor"/>
        </font>
      </dxf>
    </rfmt>
    <rfmt sheetId="1" sqref="AL417" start="0" length="0">
      <dxf>
        <font>
          <b/>
          <sz val="12"/>
          <color theme="1"/>
          <name val="Calibri"/>
          <family val="2"/>
          <charset val="238"/>
          <scheme val="minor"/>
        </font>
      </dxf>
    </rfmt>
    <rfmt sheetId="1" sqref="AL418" start="0" length="0">
      <dxf>
        <font>
          <b/>
          <sz val="12"/>
          <color theme="1"/>
          <name val="Calibri"/>
          <family val="2"/>
          <charset val="238"/>
          <scheme val="minor"/>
        </font>
      </dxf>
    </rfmt>
    <rfmt sheetId="1" sqref="AL419" start="0" length="0">
      <dxf>
        <font>
          <b/>
          <sz val="12"/>
          <color theme="1"/>
          <name val="Calibri"/>
          <family val="2"/>
          <charset val="238"/>
          <scheme val="minor"/>
        </font>
      </dxf>
    </rfmt>
    <rfmt sheetId="1" sqref="AL420" start="0" length="0">
      <dxf>
        <font>
          <b/>
          <sz val="12"/>
          <color theme="1"/>
          <name val="Calibri"/>
          <family val="2"/>
          <charset val="238"/>
          <scheme val="minor"/>
        </font>
      </dxf>
    </rfmt>
    <rfmt sheetId="1" sqref="AL421" start="0" length="0">
      <dxf>
        <font>
          <b/>
          <sz val="12"/>
          <color theme="1"/>
          <name val="Calibri"/>
          <family val="2"/>
          <charset val="238"/>
          <scheme val="minor"/>
        </font>
      </dxf>
    </rfmt>
    <rfmt sheetId="1" sqref="AL422" start="0" length="0">
      <dxf>
        <font>
          <b/>
          <sz val="12"/>
          <color theme="1"/>
          <name val="Calibri"/>
          <family val="2"/>
          <charset val="238"/>
          <scheme val="minor"/>
        </font>
      </dxf>
    </rfmt>
    <rfmt sheetId="1" sqref="AL423" start="0" length="0">
      <dxf>
        <font>
          <b/>
          <sz val="12"/>
          <color theme="1"/>
          <name val="Calibri"/>
          <family val="2"/>
          <charset val="238"/>
          <scheme val="minor"/>
        </font>
      </dxf>
    </rfmt>
    <rfmt sheetId="1" sqref="AL424" start="0" length="0">
      <dxf>
        <font>
          <b/>
          <sz val="12"/>
          <color theme="1"/>
          <name val="Calibri"/>
          <family val="2"/>
          <charset val="238"/>
          <scheme val="minor"/>
        </font>
      </dxf>
    </rfmt>
    <rfmt sheetId="1" sqref="AL425" start="0" length="0">
      <dxf>
        <font>
          <b/>
          <sz val="12"/>
          <color theme="1"/>
          <name val="Calibri"/>
          <family val="2"/>
          <charset val="238"/>
          <scheme val="minor"/>
        </font>
      </dxf>
    </rfmt>
    <rfmt sheetId="1" sqref="AL426" start="0" length="0">
      <dxf>
        <font>
          <b/>
          <sz val="12"/>
          <color theme="1"/>
          <name val="Calibri"/>
          <family val="2"/>
          <charset val="238"/>
          <scheme val="minor"/>
        </font>
      </dxf>
    </rfmt>
    <rfmt sheetId="1" sqref="AL427" start="0" length="0">
      <dxf>
        <font>
          <b/>
          <sz val="12"/>
          <color theme="1"/>
          <name val="Calibri"/>
          <family val="2"/>
          <charset val="238"/>
          <scheme val="minor"/>
        </font>
      </dxf>
    </rfmt>
    <rfmt sheetId="1" sqref="AL428" start="0" length="0">
      <dxf>
        <font>
          <b/>
          <sz val="12"/>
          <color theme="1"/>
          <name val="Calibri"/>
          <family val="2"/>
          <charset val="238"/>
          <scheme val="minor"/>
        </font>
      </dxf>
    </rfmt>
    <rfmt sheetId="1" sqref="AL429" start="0" length="0">
      <dxf>
        <font>
          <b/>
          <sz val="12"/>
          <color theme="1"/>
          <name val="Calibri"/>
          <family val="2"/>
          <charset val="238"/>
          <scheme val="minor"/>
        </font>
      </dxf>
    </rfmt>
    <rfmt sheetId="1" sqref="AL430" start="0" length="0">
      <dxf>
        <font>
          <b/>
          <sz val="12"/>
          <color theme="1"/>
          <name val="Calibri"/>
          <family val="2"/>
          <charset val="238"/>
          <scheme val="minor"/>
        </font>
      </dxf>
    </rfmt>
    <rfmt sheetId="1" sqref="AL431" start="0" length="0">
      <dxf>
        <font>
          <b/>
          <sz val="12"/>
          <color theme="1"/>
          <name val="Calibri"/>
          <family val="2"/>
          <charset val="238"/>
          <scheme val="minor"/>
        </font>
      </dxf>
    </rfmt>
    <rfmt sheetId="1" sqref="AL432" start="0" length="0">
      <dxf>
        <font>
          <b/>
          <sz val="12"/>
          <color theme="1"/>
          <name val="Calibri"/>
          <family val="2"/>
          <charset val="238"/>
          <scheme val="minor"/>
        </font>
      </dxf>
    </rfmt>
    <rfmt sheetId="1" sqref="AL433" start="0" length="0">
      <dxf>
        <font>
          <b/>
          <sz val="12"/>
          <color theme="1"/>
          <name val="Calibri"/>
          <family val="2"/>
          <charset val="238"/>
          <scheme val="minor"/>
        </font>
      </dxf>
    </rfmt>
    <rfmt sheetId="1" sqref="AL434" start="0" length="0">
      <dxf>
        <font>
          <b/>
          <sz val="12"/>
          <color theme="1"/>
          <name val="Calibri"/>
          <family val="2"/>
          <charset val="238"/>
          <scheme val="minor"/>
        </font>
      </dxf>
    </rfmt>
    <rfmt sheetId="1" sqref="AL435" start="0" length="0">
      <dxf>
        <font>
          <b/>
          <sz val="12"/>
          <color theme="1"/>
          <name val="Calibri"/>
          <family val="2"/>
          <charset val="238"/>
          <scheme val="minor"/>
        </font>
      </dxf>
    </rfmt>
    <rfmt sheetId="1" sqref="AL436" start="0" length="0">
      <dxf>
        <font>
          <b/>
          <sz val="12"/>
          <color theme="1"/>
          <name val="Calibri"/>
          <family val="2"/>
          <charset val="238"/>
          <scheme val="minor"/>
        </font>
      </dxf>
    </rfmt>
    <rfmt sheetId="1" sqref="AL437" start="0" length="0">
      <dxf>
        <font>
          <b/>
          <sz val="12"/>
          <color theme="1"/>
          <name val="Calibri"/>
          <family val="2"/>
          <charset val="238"/>
          <scheme val="minor"/>
        </font>
      </dxf>
    </rfmt>
    <rfmt sheetId="1" sqref="AL438" start="0" length="0">
      <dxf>
        <font>
          <b/>
          <sz val="12"/>
          <color theme="1"/>
          <name val="Calibri"/>
          <family val="2"/>
          <charset val="238"/>
          <scheme val="minor"/>
        </font>
      </dxf>
    </rfmt>
    <rfmt sheetId="1" sqref="AL439" start="0" length="0">
      <dxf>
        <font>
          <b/>
          <sz val="12"/>
          <color theme="1"/>
          <name val="Calibri"/>
          <family val="2"/>
          <charset val="238"/>
          <scheme val="minor"/>
        </font>
      </dxf>
    </rfmt>
    <rfmt sheetId="1" sqref="AL445" start="0" length="0">
      <dxf>
        <numFmt numFmtId="4" formatCode="#,##0.00"/>
      </dxf>
    </rfmt>
  </rrc>
  <rrc rId="5573" sId="1" ref="AL1:AL1048576" action="deleteCol">
    <undo index="65535" exp="area" ref3D="1" dr="$A$1:$AL$405" dn="_FilterDatabase" sId="1"/>
    <rfmt sheetId="1" xfDxf="1" sqref="AL1:AL1048576" start="0" length="0"/>
    <rcc rId="0" sId="1" dxf="1">
      <nc r="AL5" t="inlineStr">
        <is>
          <t>FINALIZAT</t>
        </is>
      </nc>
      <ndxf>
        <alignment horizontal="center" vertical="center"/>
      </ndxf>
    </rcc>
    <rcc rId="0" sId="1" dxf="1">
      <nc r="AL10" t="inlineStr">
        <is>
          <t>FINALIZAT</t>
        </is>
      </nc>
      <ndxf>
        <alignment horizontal="center" vertical="center"/>
      </ndxf>
    </rcc>
    <rfmt sheetId="1" sqref="AL18" start="0" length="0">
      <dxf>
        <font>
          <sz val="11"/>
          <color theme="1"/>
          <name val="Calibri"/>
          <family val="2"/>
          <charset val="238"/>
          <scheme val="minor"/>
        </font>
      </dxf>
    </rfmt>
    <rfmt sheetId="1" sqref="AL19" start="0" length="0">
      <dxf>
        <font>
          <sz val="11"/>
          <color theme="1"/>
          <name val="Calibri"/>
          <family val="2"/>
          <charset val="238"/>
          <scheme val="minor"/>
        </font>
      </dxf>
    </rfmt>
    <rfmt sheetId="1" sqref="AL33" start="0" length="0">
      <dxf>
        <font>
          <sz val="12"/>
          <color theme="1"/>
          <name val="Calibri"/>
          <family val="2"/>
          <charset val="238"/>
          <scheme val="minor"/>
        </font>
        <alignment horizontal="left" vertical="center"/>
      </dxf>
    </rfmt>
    <rfmt sheetId="1" sqref="AL34" start="0" length="0">
      <dxf>
        <font>
          <sz val="12"/>
          <color theme="1"/>
          <name val="Calibri"/>
          <family val="2"/>
          <charset val="238"/>
          <scheme val="minor"/>
        </font>
        <alignment horizontal="left" vertical="center"/>
      </dxf>
    </rfmt>
    <rcc rId="0" sId="1" dxf="1">
      <nc r="AL43" t="inlineStr">
        <is>
          <t>FINALIZAT</t>
        </is>
      </nc>
      <ndxf>
        <alignment horizontal="center" vertical="center"/>
      </ndxf>
    </rcc>
    <rfmt sheetId="1" sqref="AL46" start="0" length="0">
      <dxf>
        <font>
          <sz val="11"/>
          <color theme="1"/>
          <name val="Calibri"/>
          <family val="2"/>
          <charset val="238"/>
          <scheme val="minor"/>
        </font>
      </dxf>
    </rfmt>
    <rfmt sheetId="1" sqref="AL47" start="0" length="0">
      <dxf>
        <font>
          <sz val="11"/>
          <color theme="1"/>
          <name val="Calibri"/>
          <family val="2"/>
          <charset val="238"/>
          <scheme val="minor"/>
        </font>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89" start="0" length="0">
      <dxf>
        <font>
          <sz val="12"/>
          <color theme="1"/>
          <name val="Calibri"/>
          <family val="2"/>
          <charset val="238"/>
          <scheme val="minor"/>
        </font>
        <alignment horizontal="left" vertical="center"/>
      </dxf>
    </rfmt>
    <rfmt sheetId="1" sqref="AL91" start="0" length="0">
      <dxf>
        <font>
          <sz val="12"/>
          <color theme="1"/>
          <name val="Calibri"/>
          <family val="2"/>
          <charset val="238"/>
          <scheme val="minor"/>
        </font>
      </dxf>
    </rfmt>
    <rfmt sheetId="1" sqref="AL93" start="0" length="0">
      <dxf>
        <font>
          <sz val="11"/>
          <color theme="1"/>
          <name val="Calibri"/>
          <family val="2"/>
          <charset val="238"/>
          <scheme val="minor"/>
        </font>
      </dxf>
    </rfmt>
    <rfmt sheetId="1" sqref="AL96" start="0" length="0">
      <dxf>
        <numFmt numFmtId="4" formatCode="#,##0.00"/>
      </dxf>
    </rfmt>
    <rfmt sheetId="1" sqref="AL97" start="0" length="0">
      <dxf>
        <numFmt numFmtId="4" formatCode="#,##0.00"/>
        <alignment horizontal="center" vertical="center" wrapText="1"/>
      </dxf>
    </rfmt>
    <rfmt sheetId="1" sqref="AL98" start="0" length="0">
      <dxf>
        <numFmt numFmtId="4" formatCode="#,##0.00"/>
      </dxf>
    </rfmt>
    <rfmt sheetId="1" sqref="AL99" start="0" length="0">
      <dxf>
        <numFmt numFmtId="4" formatCode="#,##0.00"/>
      </dxf>
    </rfmt>
    <rfmt sheetId="1" sqref="AL101" start="0" length="0">
      <dxf>
        <font>
          <sz val="11"/>
          <color theme="1"/>
          <name val="Calibri"/>
          <family val="2"/>
          <charset val="238"/>
          <scheme val="minor"/>
        </font>
      </dxf>
    </rfmt>
    <rcc rId="0" sId="1" dxf="1">
      <nc r="AL107" t="inlineStr">
        <is>
          <t>FINALIZAT</t>
        </is>
      </nc>
      <ndxf>
        <alignment horizontal="center" vertical="center"/>
      </ndxf>
    </rcc>
    <rfmt sheetId="1" sqref="AL122"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L131" start="0" length="0">
      <dxf>
        <alignment vertical="top" wrapText="1"/>
      </dxf>
    </rfmt>
    <rfmt sheetId="1" sqref="AL132" start="0" length="0">
      <dxf>
        <alignment vertical="top" wrapText="1"/>
      </dxf>
    </rfmt>
    <rfmt sheetId="1" sqref="AL133" start="0" length="0">
      <dxf>
        <alignment vertical="top" wrapText="1"/>
      </dxf>
    </rfmt>
    <rfmt sheetId="1" sqref="AL143" start="0" length="0">
      <dxf>
        <font>
          <sz val="12"/>
          <color theme="1"/>
          <name val="Calibri"/>
          <family val="2"/>
          <charset val="238"/>
          <scheme val="minor"/>
        </font>
        <alignment horizontal="left" vertical="center"/>
      </dxf>
    </rfmt>
    <rfmt sheetId="1" sqref="AL144" start="0" length="0">
      <dxf>
        <font>
          <sz val="12"/>
          <color auto="1"/>
          <name val="Calibri"/>
          <family val="2"/>
          <charset val="238"/>
          <scheme val="minor"/>
        </font>
        <alignment horizontal="left" vertical="center"/>
      </dxf>
    </rfmt>
    <rfmt sheetId="1" sqref="AL145" start="0" length="0">
      <dxf>
        <font>
          <sz val="11"/>
          <color theme="1"/>
          <name val="Calibri"/>
          <family val="2"/>
          <charset val="238"/>
          <scheme val="minor"/>
        </font>
      </dxf>
    </rfmt>
    <rfmt sheetId="1" sqref="AL146" start="0" length="0">
      <dxf>
        <font>
          <sz val="11"/>
          <color theme="1"/>
          <name val="Calibri"/>
          <family val="2"/>
          <charset val="238"/>
          <scheme val="minor"/>
        </font>
      </dxf>
    </rfmt>
    <rfmt sheetId="1" sqref="AL147" start="0" length="0">
      <dxf>
        <font>
          <sz val="11"/>
          <color theme="1"/>
          <name val="Calibri"/>
          <family val="2"/>
          <charset val="238"/>
          <scheme val="minor"/>
        </font>
      </dxf>
    </rfmt>
    <rfmt sheetId="1" sqref="AL15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188" start="0" length="0">
      <dxf>
        <font>
          <sz val="11"/>
          <color theme="1"/>
          <name val="Calibri"/>
          <family val="2"/>
          <charset val="238"/>
          <scheme val="minor"/>
        </font>
      </dxf>
    </rfmt>
    <rfmt sheetId="1" sqref="AL202" start="0" length="0">
      <dxf>
        <alignment vertical="top" wrapText="1"/>
      </dxf>
    </rfmt>
    <rfmt sheetId="1" sqref="AL203" start="0" length="0">
      <dxf>
        <alignment vertical="top" wrapText="1"/>
      </dxf>
    </rfmt>
    <rfmt sheetId="1" sqref="AL204" start="0" length="0">
      <dxf>
        <alignment vertical="top" wrapText="1"/>
      </dxf>
    </rfmt>
    <rfmt sheetId="1" sqref="AL205" start="0" length="0">
      <dxf>
        <alignment vertical="top" wrapText="1"/>
      </dxf>
    </rfmt>
    <rcc rId="0" sId="1" dxf="1">
      <nc r="AL211" t="inlineStr">
        <is>
          <t>FINALIZAT</t>
        </is>
      </nc>
      <ndxf>
        <alignment horizontal="center" vertical="center" wrapText="1"/>
      </ndxf>
    </rcc>
    <rcc rId="0" sId="1" dxf="1">
      <nc r="AL212" t="inlineStr">
        <is>
          <t>FINALIZAT</t>
        </is>
      </nc>
      <ndxf>
        <alignment horizontal="center" vertical="center" wrapText="1"/>
      </ndxf>
    </rcc>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7" start="0" length="0">
      <dxf>
        <font>
          <b/>
          <sz val="11"/>
          <color theme="1"/>
          <name val="Calibri"/>
          <family val="2"/>
          <charset val="238"/>
          <scheme val="minor"/>
        </font>
      </dxf>
    </rfmt>
    <rfmt sheetId="1" sqref="AL408" start="0" length="0">
      <dxf>
        <font>
          <b/>
          <sz val="12"/>
          <color theme="1"/>
          <name val="Calibri"/>
          <family val="2"/>
          <charset val="238"/>
          <scheme val="minor"/>
        </font>
      </dxf>
    </rfmt>
    <rfmt sheetId="1" sqref="AL409" start="0" length="0">
      <dxf>
        <font>
          <b/>
          <sz val="12"/>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28" start="0" length="0">
      <dxf>
        <font>
          <b/>
          <sz val="11"/>
          <color theme="1"/>
          <name val="Calibri"/>
          <family val="2"/>
          <charset val="238"/>
          <scheme val="minor"/>
        </font>
      </dxf>
    </rfmt>
    <rfmt sheetId="1" sqref="AL429" start="0" length="0">
      <dxf>
        <font>
          <b/>
          <sz val="11"/>
          <color theme="1"/>
          <name val="Calibri"/>
          <family val="2"/>
          <charset val="238"/>
          <scheme val="minor"/>
        </font>
      </dxf>
    </rfmt>
    <rfmt sheetId="1" sqref="AL430" start="0" length="0">
      <dxf>
        <font>
          <b/>
          <sz val="11"/>
          <color theme="1"/>
          <name val="Calibri"/>
          <family val="2"/>
          <charset val="238"/>
          <scheme val="minor"/>
        </font>
      </dxf>
    </rfmt>
    <rfmt sheetId="1" sqref="AL431" start="0" length="0">
      <dxf>
        <font>
          <b/>
          <sz val="11"/>
          <color theme="1"/>
          <name val="Calibri"/>
          <family val="2"/>
          <charset val="238"/>
          <scheme val="minor"/>
        </font>
      </dxf>
    </rfmt>
    <rfmt sheetId="1" sqref="AL432" start="0" length="0">
      <dxf>
        <font>
          <b/>
          <sz val="11"/>
          <color theme="1"/>
          <name val="Calibri"/>
          <family val="2"/>
          <charset val="238"/>
          <scheme val="minor"/>
        </font>
      </dxf>
    </rfmt>
    <rfmt sheetId="1" sqref="AL433" start="0" length="0">
      <dxf>
        <font>
          <b/>
          <sz val="11"/>
          <color theme="1"/>
          <name val="Calibri"/>
          <family val="2"/>
          <charset val="238"/>
          <scheme val="minor"/>
        </font>
      </dxf>
    </rfmt>
    <rfmt sheetId="1" sqref="AL434" start="0" length="0">
      <dxf>
        <font>
          <b/>
          <sz val="11"/>
          <color theme="1"/>
          <name val="Calibri"/>
          <family val="2"/>
          <charset val="238"/>
          <scheme val="minor"/>
        </font>
      </dxf>
    </rfmt>
    <rfmt sheetId="1" sqref="AL435" start="0" length="0">
      <dxf>
        <font>
          <b/>
          <sz val="11"/>
          <color theme="1"/>
          <name val="Calibri"/>
          <family val="2"/>
          <charset val="238"/>
          <scheme val="minor"/>
        </font>
      </dxf>
    </rfmt>
    <rfmt sheetId="1" sqref="AL436" start="0" length="0">
      <dxf>
        <font>
          <b/>
          <sz val="11"/>
          <color theme="1"/>
          <name val="Calibri"/>
          <family val="2"/>
          <charset val="238"/>
          <scheme val="minor"/>
        </font>
      </dxf>
    </rfmt>
    <rfmt sheetId="1" sqref="AL437" start="0" length="0">
      <dxf>
        <font>
          <b/>
          <sz val="11"/>
          <color theme="1"/>
          <name val="Calibri"/>
          <family val="2"/>
          <charset val="238"/>
          <scheme val="minor"/>
        </font>
      </dxf>
    </rfmt>
    <rfmt sheetId="1" sqref="AL438" start="0" length="0">
      <dxf>
        <font>
          <b/>
          <sz val="11"/>
          <color theme="1"/>
          <name val="Calibri"/>
          <family val="2"/>
          <charset val="238"/>
          <scheme val="minor"/>
        </font>
      </dxf>
    </rfmt>
    <rfmt sheetId="1" sqref="AL439" start="0" length="0">
      <dxf>
        <font>
          <b/>
          <sz val="11"/>
          <color theme="1"/>
          <name val="Calibri"/>
          <family val="2"/>
          <charset val="238"/>
          <scheme val="minor"/>
        </font>
      </dxf>
    </rfmt>
    <rfmt sheetId="1" sqref="AL445" start="0" length="0">
      <dxf>
        <numFmt numFmtId="4" formatCode="#,##0.00"/>
      </dxf>
    </rfmt>
  </rrc>
  <rdn rId="0" localSheetId="1" customView="1" name="Z_E6D68675_DE9B_48C6_9283_10B33E8B3FC5_.wvu.PrintArea" hidden="1" oldHidden="1">
    <formula>Sheet1!$A$1:$AK$439</formula>
  </rdn>
  <rdn rId="0" localSheetId="1" customView="1" name="Z_E6D68675_DE9B_48C6_9283_10B33E8B3FC5_.wvu.FilterData" hidden="1" oldHidden="1">
    <formula>Sheet1!$A$1:$AK$405</formula>
  </rdn>
  <rcv guid="{E6D68675-DE9B-48C6-9283-10B33E8B3FC5}"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 start="0" length="0">
    <dxf/>
  </rfmt>
  <rcc rId="5576" sId="1" quotePrefix="1">
    <oc r="A5">
      <v>1</v>
    </oc>
    <nc r="A5" t="inlineStr">
      <is>
        <t>1</t>
      </is>
    </nc>
  </rcc>
  <rfmt sheetId="1" sqref="A6" start="0" length="0">
    <dxf>
      <border outline="0">
        <left style="medium">
          <color indexed="64"/>
        </left>
      </border>
    </dxf>
  </rfmt>
  <rfmt sheetId="1" sqref="A7" start="0" length="0">
    <dxf/>
  </rfmt>
  <rfmt sheetId="1" sqref="A8" start="0" length="0">
    <dxf>
      <border outline="0">
        <left style="medium">
          <color indexed="64"/>
        </left>
      </border>
    </dxf>
  </rfmt>
  <rfmt sheetId="1" sqref="A9" start="0" length="0">
    <dxf>
      <border outline="0">
        <left style="medium">
          <color indexed="64"/>
        </left>
      </border>
    </dxf>
  </rfmt>
  <rfmt sheetId="1" sqref="A10" start="0" length="0">
    <dxf>
      <border outline="0">
        <left style="medium">
          <color indexed="64"/>
        </left>
      </border>
    </dxf>
  </rfmt>
  <rfmt sheetId="1" sqref="A11" start="0" length="0">
    <dxf>
      <border outline="0">
        <left style="medium">
          <color indexed="64"/>
        </left>
      </border>
    </dxf>
  </rfmt>
  <rfmt sheetId="1" sqref="A12" start="0" length="0">
    <dxf>
      <border outline="0">
        <left style="medium">
          <color indexed="64"/>
        </left>
      </border>
    </dxf>
  </rfmt>
  <rfmt sheetId="1" sqref="A13" start="0" length="0">
    <dxf>
      <border outline="0">
        <left style="medium">
          <color indexed="64"/>
        </left>
      </border>
    </dxf>
  </rfmt>
  <rfmt sheetId="1" sqref="A14" start="0" length="0">
    <dxf>
      <border outline="0">
        <left style="medium">
          <color indexed="64"/>
        </left>
      </border>
    </dxf>
  </rfmt>
  <rfmt sheetId="1" sqref="A15" start="0" length="0">
    <dxf>
      <border outline="0">
        <left style="medium">
          <color indexed="64"/>
        </left>
      </border>
    </dxf>
  </rfmt>
  <rfmt sheetId="1" sqref="A16" start="0" length="0">
    <dxf/>
  </rfmt>
  <rfmt sheetId="1" sqref="A17" start="0" length="0">
    <dxf>
      <font>
        <sz val="12"/>
        <color auto="1"/>
      </font>
    </dxf>
  </rfmt>
  <rfmt sheetId="1" sqref="A18" start="0" length="0">
    <dxf>
      <font>
        <sz val="12"/>
        <color auto="1"/>
      </font>
    </dxf>
  </rfmt>
  <rfmt sheetId="1" sqref="A19" start="0" length="0">
    <dxf>
      <font>
        <sz val="12"/>
        <color auto="1"/>
      </font>
    </dxf>
  </rfmt>
  <rfmt sheetId="1" sqref="A20" start="0" length="0">
    <dxf/>
  </rfmt>
  <rfmt sheetId="1" sqref="A21" start="0" length="0">
    <dxf/>
  </rfmt>
  <rfmt sheetId="1" sqref="A22" start="0" length="0">
    <dxf>
      <font>
        <b val="0"/>
        <sz val="12"/>
        <color auto="1"/>
      </font>
    </dxf>
  </rfmt>
  <rfmt sheetId="1" sqref="A23" start="0" length="0">
    <dxf>
      <font>
        <b val="0"/>
        <sz val="12"/>
        <color auto="1"/>
      </font>
    </dxf>
  </rfmt>
  <rfmt sheetId="1" sqref="A24" start="0" length="0">
    <dxf>
      <font>
        <b val="0"/>
        <sz val="12"/>
        <color auto="1"/>
      </font>
    </dxf>
  </rfmt>
  <rfmt sheetId="1" sqref="A25" start="0" length="0">
    <dxf>
      <font>
        <b val="0"/>
        <sz val="12"/>
        <color auto="1"/>
      </font>
    </dxf>
  </rfmt>
  <rfmt sheetId="1" sqref="A26" start="0" length="0">
    <dxf>
      <font>
        <b val="0"/>
        <sz val="12"/>
        <color auto="1"/>
      </font>
    </dxf>
  </rfmt>
  <rfmt sheetId="1" sqref="A27" start="0" length="0">
    <dxf>
      <font>
        <b val="0"/>
        <sz val="12"/>
        <color auto="1"/>
      </font>
    </dxf>
  </rfmt>
  <rfmt sheetId="1" sqref="A28" start="0" length="0">
    <dxf>
      <font>
        <b val="0"/>
        <sz val="12"/>
        <color auto="1"/>
      </font>
    </dxf>
  </rfmt>
  <rfmt sheetId="1" sqref="A29" start="0" length="0">
    <dxf>
      <font>
        <b val="0"/>
        <sz val="12"/>
        <color auto="1"/>
      </font>
    </dxf>
  </rfmt>
  <rfmt sheetId="1" sqref="A30" start="0" length="0">
    <dxf/>
  </rfmt>
  <rfmt sheetId="1" sqref="A31" start="0" length="0">
    <dxf>
      <font>
        <b val="0"/>
        <sz val="12"/>
        <color auto="1"/>
      </font>
    </dxf>
  </rfmt>
  <rfmt sheetId="1" sqref="A32" start="0" length="0">
    <dxf>
      <font>
        <b val="0"/>
        <sz val="12"/>
        <color auto="1"/>
      </font>
    </dxf>
  </rfmt>
  <rfmt sheetId="1" sqref="A33" start="0" length="0">
    <dxf/>
  </rfmt>
  <rfmt sheetId="1" sqref="A34" start="0" length="0">
    <dxf/>
  </rfmt>
  <rfmt sheetId="1" sqref="A35" start="0" length="0">
    <dxf>
      <font>
        <b val="0"/>
        <sz val="12"/>
        <color auto="1"/>
      </font>
    </dxf>
  </rfmt>
  <rfmt sheetId="1" sqref="A36" start="0" length="0">
    <dxf>
      <font>
        <b val="0"/>
        <sz val="12"/>
        <color auto="1"/>
      </font>
    </dxf>
  </rfmt>
  <rfmt sheetId="1" sqref="A37" start="0" length="0">
    <dxf>
      <font>
        <b val="0"/>
        <sz val="12"/>
        <color auto="1"/>
      </font>
    </dxf>
  </rfmt>
  <rfmt sheetId="1" sqref="A38" start="0" length="0">
    <dxf/>
  </rfmt>
  <rfmt sheetId="1" sqref="A39" start="0" length="0">
    <dxf>
      <border outline="0">
        <left style="medium">
          <color indexed="64"/>
        </left>
      </border>
    </dxf>
  </rfmt>
  <rfmt sheetId="1" sqref="A40" start="0" length="0">
    <dxf>
      <border outline="0">
        <left style="medium">
          <color indexed="64"/>
        </left>
      </border>
    </dxf>
  </rfmt>
  <rfmt sheetId="1" sqref="A41" start="0" length="0">
    <dxf>
      <font>
        <b val="0"/>
        <sz val="12"/>
        <color auto="1"/>
      </font>
    </dxf>
  </rfmt>
  <rfmt sheetId="1" sqref="A42" start="0" length="0">
    <dxf>
      <font>
        <b val="0"/>
        <sz val="12"/>
        <color auto="1"/>
      </font>
    </dxf>
  </rfmt>
  <rfmt sheetId="1" sqref="A43" start="0" length="0">
    <dxf/>
  </rfmt>
  <rfmt sheetId="1" sqref="A44" start="0" length="0">
    <dxf/>
  </rfmt>
  <rfmt sheetId="1" sqref="A45" start="0" length="0">
    <dxf/>
  </rfmt>
  <rfmt sheetId="1" sqref="A46" start="0" length="0">
    <dxf>
      <font>
        <sz val="12"/>
        <color auto="1"/>
      </font>
    </dxf>
  </rfmt>
  <rfmt sheetId="1" sqref="A47" start="0" length="0">
    <dxf>
      <font>
        <sz val="12"/>
        <color auto="1"/>
      </font>
    </dxf>
  </rfmt>
  <rfmt sheetId="1" sqref="A48" start="0" length="0">
    <dxf>
      <font>
        <sz val="12"/>
        <color auto="1"/>
      </font>
    </dxf>
  </rfmt>
  <rfmt sheetId="1" sqref="A49" start="0" length="0">
    <dxf>
      <font>
        <sz val="12"/>
        <color auto="1"/>
      </font>
    </dxf>
  </rfmt>
  <rfmt sheetId="1" sqref="A50" start="0" length="0">
    <dxf/>
  </rfmt>
  <rfmt sheetId="1" sqref="A51" start="0" length="0">
    <dxf>
      <font>
        <b val="0"/>
        <sz val="12"/>
        <color auto="1"/>
      </font>
    </dxf>
  </rfmt>
  <rfmt sheetId="1" sqref="A52" start="0" length="0">
    <dxf>
      <font>
        <b val="0"/>
        <sz val="12"/>
        <color auto="1"/>
      </font>
    </dxf>
  </rfmt>
  <rfmt sheetId="1" sqref="A53" start="0" length="0">
    <dxf>
      <font>
        <b val="0"/>
        <sz val="12"/>
        <color auto="1"/>
      </font>
    </dxf>
  </rfmt>
  <rfmt sheetId="1" sqref="A54" start="0" length="0">
    <dxf>
      <font>
        <b val="0"/>
        <sz val="12"/>
        <color auto="1"/>
      </font>
    </dxf>
  </rfmt>
  <rfmt sheetId="1" sqref="A55" start="0" length="0">
    <dxf>
      <font>
        <b val="0"/>
        <sz val="12"/>
        <color auto="1"/>
      </font>
    </dxf>
  </rfmt>
  <rfmt sheetId="1" sqref="A56" start="0" length="0">
    <dxf>
      <font>
        <b val="0"/>
        <sz val="12"/>
        <color auto="1"/>
      </font>
    </dxf>
  </rfmt>
  <rfmt sheetId="1" sqref="A57" start="0" length="0">
    <dxf>
      <font>
        <b val="0"/>
        <sz val="12"/>
        <color auto="1"/>
      </font>
    </dxf>
  </rfmt>
  <rfmt sheetId="1" sqref="A58" start="0" length="0">
    <dxf>
      <font>
        <b val="0"/>
        <sz val="12"/>
        <color auto="1"/>
      </font>
    </dxf>
  </rfmt>
  <rfmt sheetId="1" sqref="A59" start="0" length="0">
    <dxf>
      <font>
        <b val="0"/>
        <sz val="12"/>
        <color auto="1"/>
      </font>
    </dxf>
  </rfmt>
  <rfmt sheetId="1" sqref="A60" start="0" length="0">
    <dxf>
      <font>
        <b val="0"/>
        <sz val="12"/>
        <color auto="1"/>
      </font>
    </dxf>
  </rfmt>
  <rfmt sheetId="1" sqref="A61" start="0" length="0">
    <dxf>
      <font>
        <b val="0"/>
        <sz val="12"/>
        <color auto="1"/>
      </font>
    </dxf>
  </rfmt>
  <rfmt sheetId="1" sqref="A62" start="0" length="0">
    <dxf>
      <font>
        <b val="0"/>
        <sz val="12"/>
        <color auto="1"/>
      </font>
    </dxf>
  </rfmt>
  <rfmt sheetId="1" sqref="A63" start="0" length="0">
    <dxf>
      <border outline="0">
        <left style="medium">
          <color indexed="64"/>
        </left>
      </border>
    </dxf>
  </rfmt>
  <rfmt sheetId="1" sqref="A64" start="0" length="0">
    <dxf>
      <border outline="0">
        <left style="medium">
          <color indexed="64"/>
        </left>
      </border>
    </dxf>
  </rfmt>
  <rfmt sheetId="1" sqref="A65" start="0" length="0">
    <dxf/>
  </rfmt>
  <rfmt sheetId="1" sqref="A66" start="0" length="0">
    <dxf/>
  </rfmt>
  <rfmt sheetId="1" sqref="A67" start="0" length="0">
    <dxf>
      <font>
        <b val="0"/>
        <sz val="12"/>
        <color auto="1"/>
      </font>
    </dxf>
  </rfmt>
  <rfmt sheetId="1" sqref="A68" start="0" length="0">
    <dxf>
      <font>
        <b val="0"/>
        <sz val="12"/>
        <color auto="1"/>
      </font>
    </dxf>
  </rfmt>
  <rfmt sheetId="1" sqref="A69" start="0" length="0">
    <dxf>
      <font>
        <b val="0"/>
        <sz val="12"/>
        <color auto="1"/>
      </font>
    </dxf>
  </rfmt>
  <rfmt sheetId="1" sqref="A70" start="0" length="0">
    <dxf>
      <font>
        <b val="0"/>
        <sz val="12"/>
        <color auto="1"/>
      </font>
    </dxf>
  </rfmt>
  <rfmt sheetId="1" sqref="A71" start="0" length="0">
    <dxf>
      <font>
        <b val="0"/>
        <sz val="12"/>
        <color auto="1"/>
      </font>
    </dxf>
  </rfmt>
  <rfmt sheetId="1" sqref="A72" start="0" length="0">
    <dxf>
      <font>
        <b val="0"/>
        <sz val="12"/>
        <color auto="1"/>
      </font>
    </dxf>
  </rfmt>
  <rfmt sheetId="1" sqref="A73" start="0" length="0">
    <dxf>
      <font>
        <b val="0"/>
        <sz val="12"/>
        <color auto="1"/>
      </font>
    </dxf>
  </rfmt>
  <rfmt sheetId="1" sqref="A74" start="0" length="0">
    <dxf>
      <font>
        <b val="0"/>
        <sz val="12"/>
        <color auto="1"/>
      </font>
      <border outline="0">
        <left style="medium">
          <color indexed="64"/>
        </left>
      </border>
    </dxf>
  </rfmt>
  <rfmt sheetId="1" sqref="A75" start="0" length="0">
    <dxf>
      <font>
        <b val="0"/>
        <sz val="12"/>
        <color auto="1"/>
      </font>
      <border outline="0">
        <left style="medium">
          <color indexed="64"/>
        </left>
      </border>
    </dxf>
  </rfmt>
  <rfmt sheetId="1" sqref="A76" start="0" length="0">
    <dxf/>
  </rfmt>
  <rfmt sheetId="1" sqref="A77" start="0" length="0">
    <dxf/>
  </rfmt>
  <rfmt sheetId="1" sqref="A78" start="0" length="0">
    <dxf/>
  </rfmt>
  <rfmt sheetId="1" sqref="A79" start="0" length="0">
    <dxf/>
  </rfmt>
  <rfmt sheetId="1" sqref="A80" start="0" length="0">
    <dxf/>
  </rfmt>
  <rfmt sheetId="1" sqref="A81" start="0" length="0">
    <dxf>
      <border outline="0">
        <left style="medium">
          <color indexed="64"/>
        </left>
      </border>
    </dxf>
  </rfmt>
  <rfmt sheetId="1" sqref="A82" start="0" length="0">
    <dxf>
      <border outline="0">
        <left style="medium">
          <color indexed="64"/>
        </left>
      </border>
    </dxf>
  </rfmt>
  <rfmt sheetId="1" sqref="A83" start="0" length="0">
    <dxf>
      <border outline="0">
        <left style="medium">
          <color indexed="64"/>
        </left>
      </border>
    </dxf>
  </rfmt>
  <rfmt sheetId="1" sqref="A84" start="0" length="0">
    <dxf/>
  </rfmt>
  <rfmt sheetId="1" sqref="A85" start="0" length="0">
    <dxf/>
  </rfmt>
  <rfmt sheetId="1" sqref="A86" start="0" length="0">
    <dxf/>
  </rfmt>
  <rfmt sheetId="1" sqref="A87" start="0" length="0">
    <dxf>
      <border outline="0">
        <left style="medium">
          <color indexed="64"/>
        </left>
      </border>
    </dxf>
  </rfmt>
  <rfmt sheetId="1" sqref="A88" start="0" length="0">
    <dxf>
      <font>
        <b val="0"/>
        <sz val="12"/>
        <color auto="1"/>
      </font>
    </dxf>
  </rfmt>
  <rfmt sheetId="1" sqref="A89" start="0" length="0">
    <dxf/>
  </rfmt>
  <rfmt sheetId="1" sqref="A90" start="0" length="0">
    <dxf/>
  </rfmt>
  <rfmt sheetId="1" sqref="A91" start="0" length="0">
    <dxf/>
  </rfmt>
  <rfmt sheetId="1" sqref="A92" start="0" length="0">
    <dxf>
      <font>
        <b val="0"/>
        <sz val="12"/>
        <color auto="1"/>
      </font>
      <border outline="0">
        <left style="medium">
          <color indexed="64"/>
        </left>
      </border>
    </dxf>
  </rfmt>
  <rfmt sheetId="1" sqref="A93" start="0" length="0">
    <dxf>
      <font>
        <sz val="12"/>
        <color auto="1"/>
      </font>
      <border outline="0">
        <top style="thin">
          <color indexed="64"/>
        </top>
      </border>
    </dxf>
  </rfmt>
  <rfmt sheetId="1" sqref="A94" start="0" length="0">
    <dxf>
      <font>
        <sz val="12"/>
        <color auto="1"/>
      </font>
    </dxf>
  </rfmt>
  <rfmt sheetId="1" sqref="A95" start="0" length="0">
    <dxf>
      <font>
        <sz val="12"/>
        <color auto="1"/>
      </font>
    </dxf>
  </rfmt>
  <rfmt sheetId="1" sqref="A96" start="0" length="0">
    <dxf>
      <font>
        <sz val="12"/>
        <color auto="1"/>
      </font>
      <numFmt numFmtId="0" formatCode="General"/>
    </dxf>
  </rfmt>
  <rfmt sheetId="1" sqref="A97" start="0" length="0">
    <dxf>
      <font>
        <sz val="12"/>
        <color auto="1"/>
      </font>
      <numFmt numFmtId="0" formatCode="General"/>
    </dxf>
  </rfmt>
  <rfmt sheetId="1" sqref="A98" start="0" length="0">
    <dxf>
      <font>
        <sz val="12"/>
        <color auto="1"/>
      </font>
      <numFmt numFmtId="0" formatCode="General"/>
    </dxf>
  </rfmt>
  <rfmt sheetId="1" sqref="A99" start="0" length="0">
    <dxf>
      <font>
        <sz val="12"/>
        <color auto="1"/>
      </font>
      <numFmt numFmtId="0" formatCode="General"/>
    </dxf>
  </rfmt>
  <rfmt sheetId="1" sqref="A100" start="0" length="0">
    <dxf/>
  </rfmt>
  <rfmt sheetId="1" sqref="A101" start="0" length="0">
    <dxf>
      <font>
        <sz val="12"/>
        <color auto="1"/>
      </font>
    </dxf>
  </rfmt>
  <rfmt sheetId="1" sqref="A102" start="0" length="0">
    <dxf>
      <border outline="0">
        <left style="medium">
          <color indexed="64"/>
        </left>
      </border>
    </dxf>
  </rfmt>
  <rfmt sheetId="1" sqref="A103" start="0" length="0">
    <dxf>
      <border outline="0">
        <left style="medium">
          <color indexed="64"/>
        </left>
      </border>
    </dxf>
  </rfmt>
  <rfmt sheetId="1" sqref="A104" start="0" length="0">
    <dxf>
      <border outline="0">
        <left style="medium">
          <color indexed="64"/>
        </left>
      </border>
    </dxf>
  </rfmt>
  <rfmt sheetId="1" sqref="A105" start="0" length="0">
    <dxf>
      <border outline="0">
        <left style="medium">
          <color indexed="64"/>
        </left>
      </border>
    </dxf>
  </rfmt>
  <rfmt sheetId="1" sqref="A106" start="0" length="0">
    <dxf>
      <border outline="0">
        <left style="medium">
          <color indexed="64"/>
        </left>
      </border>
    </dxf>
  </rfmt>
  <rfmt sheetId="1" sqref="A107" start="0" length="0">
    <dxf>
      <border outline="0">
        <left style="medium">
          <color indexed="64"/>
        </left>
      </border>
    </dxf>
  </rfmt>
  <rfmt sheetId="1" sqref="A108" start="0" length="0">
    <dxf>
      <font>
        <b val="0"/>
        <sz val="12"/>
        <color auto="1"/>
      </font>
    </dxf>
  </rfmt>
  <rfmt sheetId="1" sqref="A109" start="0" length="0">
    <dxf>
      <border outline="0">
        <left style="medium">
          <color indexed="64"/>
        </left>
      </border>
    </dxf>
  </rfmt>
  <rfmt sheetId="1" sqref="A110" start="0" length="0">
    <dxf>
      <font>
        <b val="0"/>
        <sz val="12"/>
        <color auto="1"/>
      </font>
    </dxf>
  </rfmt>
  <rfmt sheetId="1" sqref="A111" start="0" length="0">
    <dxf>
      <border outline="0">
        <left style="medium">
          <color indexed="64"/>
        </left>
      </border>
    </dxf>
  </rfmt>
  <rfmt sheetId="1" sqref="A112" start="0" length="0">
    <dxf>
      <font>
        <b val="0"/>
        <sz val="12"/>
        <color auto="1"/>
      </font>
    </dxf>
  </rfmt>
  <rfmt sheetId="1" sqref="A113" start="0" length="0">
    <dxf>
      <font>
        <b val="0"/>
        <sz val="12"/>
        <color auto="1"/>
      </font>
    </dxf>
  </rfmt>
  <rfmt sheetId="1" sqref="A114" start="0" length="0">
    <dxf>
      <font>
        <b val="0"/>
        <sz val="12"/>
        <color auto="1"/>
      </font>
    </dxf>
  </rfmt>
  <rfmt sheetId="1" sqref="A115" start="0" length="0">
    <dxf>
      <font>
        <b val="0"/>
        <sz val="12"/>
        <color auto="1"/>
      </font>
    </dxf>
  </rfmt>
  <rfmt sheetId="1" sqref="A116" start="0" length="0">
    <dxf/>
  </rfmt>
  <rfmt sheetId="1" sqref="A117" start="0" length="0">
    <dxf>
      <font>
        <b val="0"/>
        <sz val="12"/>
        <color auto="1"/>
      </font>
    </dxf>
  </rfmt>
  <rfmt sheetId="1" sqref="A118" start="0" length="0">
    <dxf>
      <font>
        <b val="0"/>
        <sz val="12"/>
        <color auto="1"/>
      </font>
    </dxf>
  </rfmt>
  <rfmt sheetId="1" sqref="A119" start="0" length="0">
    <dxf>
      <font>
        <b val="0"/>
        <sz val="12"/>
        <color auto="1"/>
      </font>
    </dxf>
  </rfmt>
  <rfmt sheetId="1" sqref="A120" start="0" length="0">
    <dxf/>
  </rfmt>
  <rfmt sheetId="1" sqref="A121" start="0" length="0">
    <dxf>
      <font>
        <b val="0"/>
        <sz val="12"/>
        <color auto="1"/>
      </font>
    </dxf>
  </rfmt>
  <rfmt sheetId="1" sqref="A122" start="0" length="0">
    <dxf>
      <font>
        <b val="0"/>
        <sz val="12"/>
        <color auto="1"/>
      </font>
      <border outline="0">
        <left style="medium">
          <color indexed="64"/>
        </left>
      </border>
    </dxf>
  </rfmt>
  <rfmt sheetId="1" sqref="A123" start="0" length="0">
    <dxf/>
  </rfmt>
  <rfmt sheetId="1" sqref="A124" start="0" length="0">
    <dxf>
      <font>
        <b val="0"/>
        <sz val="12"/>
        <color auto="1"/>
      </font>
    </dxf>
  </rfmt>
  <rfmt sheetId="1" sqref="A125" start="0" length="0">
    <dxf>
      <font>
        <b val="0"/>
        <sz val="12"/>
        <color auto="1"/>
      </font>
    </dxf>
  </rfmt>
  <rfmt sheetId="1" sqref="A126" start="0" length="0">
    <dxf>
      <font>
        <b val="0"/>
        <sz val="12"/>
        <color auto="1"/>
      </font>
    </dxf>
  </rfmt>
  <rfmt sheetId="1" sqref="A127" start="0" length="0">
    <dxf>
      <font>
        <b val="0"/>
        <sz val="12"/>
        <color auto="1"/>
      </font>
    </dxf>
  </rfmt>
  <rfmt sheetId="1" sqref="A128" start="0" length="0">
    <dxf/>
  </rfmt>
  <rfmt sheetId="1" sqref="A129" start="0" length="0">
    <dxf/>
  </rfmt>
  <rfmt sheetId="1" sqref="A130" start="0" length="0">
    <dxf>
      <font>
        <b val="0"/>
        <sz val="12"/>
        <color auto="1"/>
      </font>
    </dxf>
  </rfmt>
  <rfmt sheetId="1" sqref="A131" start="0" length="0">
    <dxf>
      <font>
        <b val="0"/>
        <sz val="12"/>
        <color auto="1"/>
      </font>
    </dxf>
  </rfmt>
  <rfmt sheetId="1" sqref="A132" start="0" length="0">
    <dxf>
      <font>
        <b val="0"/>
        <sz val="12"/>
        <color auto="1"/>
      </font>
    </dxf>
  </rfmt>
  <rfmt sheetId="1" sqref="A133" start="0" length="0">
    <dxf>
      <font>
        <b val="0"/>
        <sz val="12"/>
        <color auto="1"/>
      </font>
    </dxf>
  </rfmt>
  <rfmt sheetId="1" sqref="A134" start="0" length="0">
    <dxf/>
  </rfmt>
  <rfmt sheetId="1" sqref="A135" start="0" length="0">
    <dxf>
      <border outline="0">
        <left style="medium">
          <color indexed="64"/>
        </left>
      </border>
    </dxf>
  </rfmt>
  <rfmt sheetId="1" sqref="A136" start="0" length="0">
    <dxf>
      <font>
        <b val="0"/>
        <sz val="12"/>
        <color auto="1"/>
      </font>
    </dxf>
  </rfmt>
  <rfmt sheetId="1" sqref="A137" start="0" length="0">
    <dxf>
      <font>
        <b val="0"/>
        <sz val="12"/>
        <color auto="1"/>
      </font>
    </dxf>
  </rfmt>
  <rfmt sheetId="1" sqref="A138" start="0" length="0">
    <dxf/>
  </rfmt>
  <rfmt sheetId="1" sqref="A139" start="0" length="0">
    <dxf>
      <font>
        <sz val="12"/>
        <color auto="1"/>
      </font>
    </dxf>
  </rfmt>
  <rfmt sheetId="1" sqref="A140" start="0" length="0">
    <dxf/>
  </rfmt>
  <rfmt sheetId="1" sqref="A141" start="0" length="0">
    <dxf/>
  </rfmt>
  <rfmt sheetId="1" sqref="A142" start="0" length="0">
    <dxf>
      <font>
        <b val="0"/>
        <sz val="12"/>
        <color auto="1"/>
      </font>
    </dxf>
  </rfmt>
  <rfmt sheetId="1" sqref="A143" start="0" length="0">
    <dxf/>
  </rfmt>
  <rfmt sheetId="1" sqref="A144" start="0" length="0">
    <dxf>
      <font>
        <sz val="12"/>
        <color auto="1"/>
      </font>
    </dxf>
  </rfmt>
  <rfmt sheetId="1" sqref="A145" start="0" length="0">
    <dxf>
      <font>
        <sz val="12"/>
        <color auto="1"/>
      </font>
    </dxf>
  </rfmt>
  <rfmt sheetId="1" sqref="A146" start="0" length="0">
    <dxf>
      <font>
        <sz val="12"/>
        <color auto="1"/>
      </font>
    </dxf>
  </rfmt>
  <rfmt sheetId="1" sqref="A147" start="0" length="0">
    <dxf>
      <font>
        <sz val="12"/>
        <color auto="1"/>
      </font>
    </dxf>
  </rfmt>
  <rfmt sheetId="1" sqref="A148" start="0" length="0">
    <dxf/>
  </rfmt>
  <rfmt sheetId="1" sqref="A149" start="0" length="0">
    <dxf/>
  </rfmt>
  <rfmt sheetId="1" sqref="A150" start="0" length="0">
    <dxf/>
  </rfmt>
  <rfmt sheetId="1" sqref="A151" start="0" length="0">
    <dxf/>
  </rfmt>
  <rfmt sheetId="1" sqref="A152" start="0" length="0">
    <dxf>
      <font>
        <b val="0"/>
        <sz val="12"/>
        <color auto="1"/>
      </font>
    </dxf>
  </rfmt>
  <rfmt sheetId="1" sqref="A153" start="0" length="0">
    <dxf>
      <font>
        <b val="0"/>
        <sz val="12"/>
        <color auto="1"/>
      </font>
    </dxf>
  </rfmt>
  <rfmt sheetId="1" sqref="A154" start="0" length="0">
    <dxf/>
  </rfmt>
  <rfmt sheetId="1" sqref="A155" start="0" length="0">
    <dxf/>
  </rfmt>
  <rfmt sheetId="1" sqref="A156" start="0" length="0">
    <dxf>
      <font>
        <sz val="12"/>
        <color auto="1"/>
      </font>
    </dxf>
  </rfmt>
  <rfmt sheetId="1" sqref="A157" start="0" length="0">
    <dxf/>
  </rfmt>
  <rfmt sheetId="1" sqref="A158" start="0" length="0">
    <dxf/>
  </rfmt>
  <rfmt sheetId="1" sqref="A159" start="0" length="0">
    <dxf/>
  </rfmt>
  <rfmt sheetId="1" sqref="A160" start="0" length="0">
    <dxf/>
  </rfmt>
  <rfmt sheetId="1" sqref="A161" start="0" length="0">
    <dxf>
      <font>
        <b val="0"/>
        <sz val="12"/>
        <color auto="1"/>
      </font>
    </dxf>
  </rfmt>
  <rfmt sheetId="1" sqref="A162" start="0" length="0">
    <dxf>
      <font>
        <b val="0"/>
        <sz val="12"/>
        <color auto="1"/>
      </font>
    </dxf>
  </rfmt>
  <rfmt sheetId="1" sqref="A163" start="0" length="0">
    <dxf>
      <font>
        <b val="0"/>
        <sz val="12"/>
        <color auto="1"/>
      </font>
    </dxf>
  </rfmt>
  <rfmt sheetId="1" sqref="A164" start="0" length="0">
    <dxf>
      <font>
        <b val="0"/>
        <sz val="12"/>
        <color auto="1"/>
      </font>
    </dxf>
  </rfmt>
  <rfmt sheetId="1" sqref="A165" start="0" length="0">
    <dxf>
      <font>
        <b val="0"/>
        <sz val="12"/>
        <color auto="1"/>
      </font>
    </dxf>
  </rfmt>
  <rfmt sheetId="1" sqref="A166" start="0" length="0">
    <dxf/>
  </rfmt>
  <rfmt sheetId="1" sqref="A167" start="0" length="0">
    <dxf/>
  </rfmt>
  <rfmt sheetId="1" sqref="A168" start="0" length="0">
    <dxf>
      <border outline="0">
        <left style="medium">
          <color indexed="64"/>
        </left>
      </border>
    </dxf>
  </rfmt>
  <rfmt sheetId="1" sqref="A169" start="0" length="0">
    <dxf>
      <font>
        <b val="0"/>
        <sz val="12"/>
        <color auto="1"/>
      </font>
    </dxf>
  </rfmt>
  <rfmt sheetId="1" sqref="A170" start="0" length="0">
    <dxf>
      <font>
        <b val="0"/>
        <sz val="12"/>
        <color auto="1"/>
      </font>
    </dxf>
  </rfmt>
  <rfmt sheetId="1" sqref="A171" start="0" length="0">
    <dxf>
      <font>
        <b val="0"/>
        <sz val="12"/>
        <color auto="1"/>
      </font>
    </dxf>
  </rfmt>
  <rfmt sheetId="1" sqref="A172" start="0" length="0">
    <dxf>
      <font>
        <b val="0"/>
        <sz val="12"/>
        <color auto="1"/>
      </font>
    </dxf>
  </rfmt>
  <rfmt sheetId="1" sqref="A173" start="0" length="0">
    <dxf/>
  </rfmt>
  <rfmt sheetId="1" sqref="A174" start="0" length="0">
    <dxf/>
  </rfmt>
  <rfmt sheetId="1" sqref="A175" start="0" length="0">
    <dxf/>
  </rfmt>
  <rfmt sheetId="1" sqref="A176" start="0" length="0">
    <dxf>
      <font>
        <b val="0"/>
        <sz val="12"/>
        <color auto="1"/>
      </font>
    </dxf>
  </rfmt>
  <rfmt sheetId="1" sqref="A177" start="0" length="0">
    <dxf>
      <font>
        <b val="0"/>
        <sz val="12"/>
        <color auto="1"/>
      </font>
    </dxf>
  </rfmt>
  <rfmt sheetId="1" sqref="A178" start="0" length="0">
    <dxf>
      <font>
        <b val="0"/>
        <sz val="12"/>
        <color auto="1"/>
      </font>
    </dxf>
  </rfmt>
  <rfmt sheetId="1" sqref="A179" start="0" length="0">
    <dxf>
      <font>
        <b val="0"/>
        <sz val="12"/>
        <color auto="1"/>
      </font>
    </dxf>
  </rfmt>
  <rfmt sheetId="1" sqref="A180" start="0" length="0">
    <dxf>
      <font>
        <b val="0"/>
        <sz val="12"/>
        <color auto="1"/>
      </font>
    </dxf>
  </rfmt>
  <rfmt sheetId="1" sqref="A181" start="0" length="0">
    <dxf>
      <font>
        <b val="0"/>
        <sz val="12"/>
        <color auto="1"/>
      </font>
    </dxf>
  </rfmt>
  <rfmt sheetId="1" sqref="A182" start="0" length="0">
    <dxf>
      <font>
        <b val="0"/>
        <sz val="12"/>
        <color auto="1"/>
      </font>
    </dxf>
  </rfmt>
  <rfmt sheetId="1" sqref="A183" start="0" length="0">
    <dxf/>
  </rfmt>
  <rfmt sheetId="1" sqref="A184" start="0" length="0">
    <dxf>
      <font>
        <b val="0"/>
        <sz val="12"/>
        <color auto="1"/>
      </font>
    </dxf>
  </rfmt>
  <rfmt sheetId="1" sqref="A185" start="0" length="0">
    <dxf>
      <font>
        <b val="0"/>
        <sz val="12"/>
        <color auto="1"/>
      </font>
    </dxf>
  </rfmt>
  <rfmt sheetId="1" sqref="A186" start="0" length="0">
    <dxf/>
  </rfmt>
  <rfmt sheetId="1" sqref="A187" start="0" length="0">
    <dxf>
      <font>
        <sz val="12"/>
        <color auto="1"/>
      </font>
    </dxf>
  </rfmt>
  <rfmt sheetId="1" sqref="A188" start="0" length="0">
    <dxf>
      <font>
        <sz val="12"/>
        <color auto="1"/>
      </font>
    </dxf>
  </rfmt>
  <rfmt sheetId="1" sqref="A189" start="0" length="0">
    <dxf>
      <font>
        <sz val="12"/>
        <color auto="1"/>
      </font>
    </dxf>
  </rfmt>
  <rfmt sheetId="1" sqref="A190" start="0" length="0">
    <dxf/>
  </rfmt>
  <rfmt sheetId="1" sqref="A191" start="0" length="0">
    <dxf/>
  </rfmt>
  <rfmt sheetId="1" sqref="A192" start="0" length="0">
    <dxf/>
  </rfmt>
  <rfmt sheetId="1" sqref="A193" start="0" length="0">
    <dxf/>
  </rfmt>
  <rfmt sheetId="1" sqref="A194" start="0" length="0">
    <dxf/>
  </rfmt>
  <rfmt sheetId="1" sqref="A195" start="0" length="0">
    <dxf/>
  </rfmt>
  <rfmt sheetId="1" sqref="A196" start="0" length="0">
    <dxf/>
  </rfmt>
  <rfmt sheetId="1" sqref="A197" start="0" length="0">
    <dxf/>
  </rfmt>
  <rfmt sheetId="1" sqref="A198" start="0" length="0">
    <dxf/>
  </rfmt>
  <rfmt sheetId="1" sqref="A199" start="0" length="0">
    <dxf/>
  </rfmt>
  <rfmt sheetId="1" sqref="A200" start="0" length="0">
    <dxf>
      <font>
        <b val="0"/>
        <sz val="12"/>
        <color auto="1"/>
      </font>
    </dxf>
  </rfmt>
  <rfmt sheetId="1" sqref="A201" start="0" length="0">
    <dxf/>
  </rfmt>
  <rfmt sheetId="1" sqref="A202" start="0" length="0">
    <dxf/>
  </rfmt>
  <rfmt sheetId="1" sqref="A203" start="0" length="0">
    <dxf/>
  </rfmt>
  <rfmt sheetId="1" sqref="A204" start="0" length="0">
    <dxf/>
  </rfmt>
  <rfmt sheetId="1" sqref="A205" start="0" length="0">
    <dxf/>
  </rfmt>
  <rfmt sheetId="1" sqref="A206" start="0" length="0">
    <dxf>
      <font>
        <b val="0"/>
        <sz val="12"/>
        <color auto="1"/>
      </font>
    </dxf>
  </rfmt>
  <rfmt sheetId="1" sqref="A207" start="0" length="0">
    <dxf>
      <font>
        <b val="0"/>
        <sz val="12"/>
        <color auto="1"/>
      </font>
    </dxf>
  </rfmt>
  <rfmt sheetId="1" sqref="A208" start="0" length="0">
    <dxf>
      <font>
        <b val="0"/>
        <sz val="12"/>
        <color auto="1"/>
      </font>
    </dxf>
  </rfmt>
  <rfmt sheetId="1" sqref="A209" start="0" length="0">
    <dxf>
      <font>
        <b val="0"/>
        <sz val="12"/>
        <color auto="1"/>
      </font>
    </dxf>
  </rfmt>
  <rcc rId="5577" sId="1" odxf="1" dxf="1" quotePrefix="1">
    <nc r="A210" t="inlineStr">
      <is>
        <t>206</t>
      </is>
    </nc>
    <odxf>
      <font>
        <b/>
        <sz val="12"/>
        <color auto="1"/>
      </font>
    </odxf>
    <ndxf>
      <font>
        <b val="0"/>
        <sz val="12"/>
        <color auto="1"/>
      </font>
    </ndxf>
  </rcc>
  <rfmt sheetId="1" sqref="A211" start="0" length="0">
    <dxf/>
  </rfmt>
  <rfmt sheetId="1" sqref="A212" start="0" length="0">
    <dxf/>
  </rfmt>
  <rfmt sheetId="1" sqref="A213" start="0" length="0">
    <dxf/>
  </rfmt>
  <rfmt sheetId="1" sqref="A214" start="0" length="0">
    <dxf/>
  </rfmt>
  <rfmt sheetId="1" sqref="A215" start="0" length="0">
    <dxf/>
  </rfmt>
  <rfmt sheetId="1" sqref="A216" start="0" length="0">
    <dxf/>
  </rfmt>
  <rfmt sheetId="1" sqref="A217" start="0" length="0">
    <dxf/>
  </rfmt>
  <rfmt sheetId="1" sqref="A218" start="0" length="0">
    <dxf/>
  </rfmt>
  <rfmt sheetId="1" sqref="A219" start="0" length="0">
    <dxf/>
  </rfmt>
  <rfmt sheetId="1" sqref="A220" start="0" length="0">
    <dxf/>
  </rfmt>
  <rfmt sheetId="1" sqref="A221" start="0" length="0">
    <dxf/>
  </rfmt>
  <rfmt sheetId="1" sqref="A222" start="0" length="0">
    <dxf/>
  </rfmt>
  <rfmt sheetId="1" sqref="A223" start="0" length="0">
    <dxf/>
  </rfmt>
  <rfmt sheetId="1" sqref="A224" start="0" length="0">
    <dxf/>
  </rfmt>
  <rfmt sheetId="1" sqref="A225" start="0" length="0">
    <dxf/>
  </rfmt>
  <rfmt sheetId="1" sqref="A226" start="0" length="0">
    <dxf/>
  </rfmt>
  <rfmt sheetId="1" sqref="A227" start="0" length="0">
    <dxf/>
  </rfmt>
  <rfmt sheetId="1" sqref="A228" start="0" length="0">
    <dxf/>
  </rfmt>
  <rfmt sheetId="1" sqref="A229" start="0" length="0">
    <dxf/>
  </rfmt>
  <rfmt sheetId="1" sqref="A230" start="0" length="0">
    <dxf/>
  </rfmt>
  <rfmt sheetId="1" sqref="A231" start="0" length="0">
    <dxf/>
  </rfmt>
  <rfmt sheetId="1" sqref="A232" start="0" length="0">
    <dxf/>
  </rfmt>
  <rfmt sheetId="1" sqref="A233" start="0" length="0">
    <dxf/>
  </rfmt>
  <rfmt sheetId="1" sqref="A234" start="0" length="0">
    <dxf/>
  </rfmt>
  <rfmt sheetId="1" sqref="A235" start="0" length="0">
    <dxf/>
  </rfmt>
  <rfmt sheetId="1" sqref="A236" start="0" length="0">
    <dxf/>
  </rfmt>
  <rfmt sheetId="1" sqref="A237" start="0" length="0">
    <dxf/>
  </rfmt>
  <rfmt sheetId="1" sqref="A238" start="0" length="0">
    <dxf/>
  </rfmt>
  <rfmt sheetId="1" sqref="A239" start="0" length="0">
    <dxf/>
  </rfmt>
  <rfmt sheetId="1" sqref="A240" start="0" length="0">
    <dxf/>
  </rfmt>
  <rfmt sheetId="1" sqref="A241" start="0" length="0">
    <dxf/>
  </rfmt>
  <rfmt sheetId="1" sqref="A242" start="0" length="0">
    <dxf/>
  </rfmt>
  <rfmt sheetId="1" sqref="A243" start="0" length="0">
    <dxf/>
  </rfmt>
  <rfmt sheetId="1" sqref="A244" start="0" length="0">
    <dxf/>
  </rfmt>
  <rfmt sheetId="1" sqref="A245" start="0" length="0">
    <dxf/>
  </rfmt>
  <rfmt sheetId="1" sqref="A246" start="0" length="0">
    <dxf/>
  </rfmt>
  <rfmt sheetId="1" sqref="A247" start="0" length="0">
    <dxf/>
  </rfmt>
  <rfmt sheetId="1" sqref="A248" start="0" length="0">
    <dxf/>
  </rfmt>
  <rfmt sheetId="1" sqref="A249" start="0" length="0">
    <dxf/>
  </rfmt>
  <rfmt sheetId="1" sqref="A250" start="0" length="0">
    <dxf/>
  </rfmt>
  <rfmt sheetId="1" sqref="A251" start="0" length="0">
    <dxf/>
  </rfmt>
  <rfmt sheetId="1" sqref="A252" start="0" length="0">
    <dxf/>
  </rfmt>
  <rfmt sheetId="1" sqref="A253" start="0" length="0">
    <dxf/>
  </rfmt>
  <rfmt sheetId="1" sqref="A254" start="0" length="0">
    <dxf/>
  </rfmt>
  <rfmt sheetId="1" sqref="A255" start="0" length="0">
    <dxf/>
  </rfmt>
  <rfmt sheetId="1" sqref="A256" start="0" length="0">
    <dxf/>
  </rfmt>
  <rfmt sheetId="1" sqref="A257" start="0" length="0">
    <dxf/>
  </rfmt>
  <rfmt sheetId="1" sqref="A258" start="0" length="0">
    <dxf/>
  </rfmt>
  <rfmt sheetId="1" sqref="A259" start="0" length="0">
    <dxf/>
  </rfmt>
  <rfmt sheetId="1" sqref="A260" start="0" length="0">
    <dxf/>
  </rfmt>
  <rfmt sheetId="1" sqref="A261" start="0" length="0">
    <dxf/>
  </rfmt>
  <rfmt sheetId="1" sqref="A262" start="0" length="0">
    <dxf/>
  </rfmt>
  <rfmt sheetId="1" sqref="A263" start="0" length="0">
    <dxf/>
  </rfmt>
  <rfmt sheetId="1" sqref="A264" start="0" length="0">
    <dxf/>
  </rfmt>
  <rfmt sheetId="1" sqref="A265" start="0" length="0">
    <dxf/>
  </rfmt>
  <rfmt sheetId="1" sqref="A266" start="0" length="0">
    <dxf/>
  </rfmt>
  <rfmt sheetId="1" sqref="A267" start="0" length="0">
    <dxf/>
  </rfmt>
  <rfmt sheetId="1" sqref="A268" start="0" length="0">
    <dxf/>
  </rfmt>
  <rfmt sheetId="1" sqref="A269" start="0" length="0">
    <dxf/>
  </rfmt>
  <rfmt sheetId="1" sqref="A270" start="0" length="0">
    <dxf/>
  </rfmt>
  <rfmt sheetId="1" sqref="A271" start="0" length="0">
    <dxf/>
  </rfmt>
  <rfmt sheetId="1" sqref="A272" start="0" length="0">
    <dxf/>
  </rfmt>
  <rfmt sheetId="1" sqref="A273" start="0" length="0">
    <dxf/>
  </rfmt>
  <rfmt sheetId="1" sqref="A274" start="0" length="0">
    <dxf/>
  </rfmt>
  <rfmt sheetId="1" sqref="A275" start="0" length="0">
    <dxf/>
  </rfmt>
  <rfmt sheetId="1" sqref="A276" start="0" length="0">
    <dxf/>
  </rfmt>
  <rfmt sheetId="1" sqref="A277" start="0" length="0">
    <dxf/>
  </rfmt>
  <rfmt sheetId="1" sqref="A278" start="0" length="0">
    <dxf/>
  </rfmt>
  <rfmt sheetId="1" sqref="A279" start="0" length="0">
    <dxf/>
  </rfmt>
  <rfmt sheetId="1" sqref="A280" start="0" length="0">
    <dxf/>
  </rfmt>
  <rfmt sheetId="1" sqref="A281" start="0" length="0">
    <dxf/>
  </rfmt>
  <rfmt sheetId="1" sqref="A282" start="0" length="0">
    <dxf/>
  </rfmt>
  <rfmt sheetId="1" sqref="A283" start="0" length="0">
    <dxf/>
  </rfmt>
  <rfmt sheetId="1" sqref="A284" start="0" length="0">
    <dxf/>
  </rfmt>
  <rfmt sheetId="1" sqref="A285" start="0" length="0">
    <dxf/>
  </rfmt>
  <rfmt sheetId="1" sqref="A286" start="0" length="0">
    <dxf/>
  </rfmt>
  <rfmt sheetId="1" sqref="A287" start="0" length="0">
    <dxf/>
  </rfmt>
  <rfmt sheetId="1" sqref="A288" start="0" length="0">
    <dxf/>
  </rfmt>
  <rfmt sheetId="1" sqref="A289" start="0" length="0">
    <dxf/>
  </rfmt>
  <rfmt sheetId="1" sqref="A290" start="0" length="0">
    <dxf/>
  </rfmt>
  <rfmt sheetId="1" sqref="A291" start="0" length="0">
    <dxf/>
  </rfmt>
  <rfmt sheetId="1" sqref="A292" start="0" length="0">
    <dxf/>
  </rfmt>
  <rfmt sheetId="1" sqref="A293" start="0" length="0">
    <dxf/>
  </rfmt>
  <rfmt sheetId="1" sqref="A294" start="0" length="0">
    <dxf/>
  </rfmt>
  <rfmt sheetId="1" sqref="A295" start="0" length="0">
    <dxf/>
  </rfmt>
  <rfmt sheetId="1" sqref="A296" start="0" length="0">
    <dxf/>
  </rfmt>
  <rfmt sheetId="1" sqref="A297" start="0" length="0">
    <dxf/>
  </rfmt>
  <rfmt sheetId="1" sqref="A298" start="0" length="0">
    <dxf/>
  </rfmt>
  <rfmt sheetId="1" sqref="A299" start="0" length="0">
    <dxf/>
  </rfmt>
  <rfmt sheetId="1" sqref="A300" start="0" length="0">
    <dxf/>
  </rfmt>
  <rfmt sheetId="1" sqref="A301" start="0" length="0">
    <dxf/>
  </rfmt>
  <rfmt sheetId="1" sqref="A302" start="0" length="0">
    <dxf/>
  </rfmt>
  <rfmt sheetId="1" sqref="A303" start="0" length="0">
    <dxf/>
  </rfmt>
  <rfmt sheetId="1" sqref="A304" start="0" length="0">
    <dxf/>
  </rfmt>
  <rfmt sheetId="1" sqref="A305" start="0" length="0">
    <dxf/>
  </rfmt>
  <rfmt sheetId="1" sqref="A306" start="0" length="0">
    <dxf/>
  </rfmt>
  <rfmt sheetId="1" sqref="A307" start="0" length="0">
    <dxf/>
  </rfmt>
  <rfmt sheetId="1" sqref="A308" start="0" length="0">
    <dxf/>
  </rfmt>
  <rfmt sheetId="1" sqref="A309" start="0" length="0">
    <dxf/>
  </rfmt>
  <rfmt sheetId="1" sqref="A310" start="0" length="0">
    <dxf/>
  </rfmt>
  <rfmt sheetId="1" s="1" sqref="A311" start="0" length="0">
    <dxf/>
  </rfmt>
  <rfmt sheetId="1" sqref="A312" start="0" length="0">
    <dxf/>
  </rfmt>
  <rfmt sheetId="1" sqref="A313" start="0" length="0">
    <dxf/>
  </rfmt>
  <rfmt sheetId="1" sqref="A314" start="0" length="0">
    <dxf/>
  </rfmt>
  <rfmt sheetId="1" sqref="A315" start="0" length="0">
    <dxf/>
  </rfmt>
  <rfmt sheetId="1" sqref="A316" start="0" length="0">
    <dxf/>
  </rfmt>
  <rfmt sheetId="1" sqref="A317" start="0" length="0">
    <dxf/>
  </rfmt>
  <rfmt sheetId="1" sqref="A318" start="0" length="0">
    <dxf/>
  </rfmt>
  <rfmt sheetId="1" sqref="A319" start="0" length="0">
    <dxf/>
  </rfmt>
  <rfmt sheetId="1" sqref="A320" start="0" length="0">
    <dxf/>
  </rfmt>
  <rfmt sheetId="1" sqref="A321" start="0" length="0">
    <dxf/>
  </rfmt>
  <rfmt sheetId="1" sqref="A322" start="0" length="0">
    <dxf/>
  </rfmt>
  <rfmt sheetId="1" sqref="A323" start="0" length="0">
    <dxf/>
  </rfmt>
  <rfmt sheetId="1" sqref="A324" start="0" length="0">
    <dxf/>
  </rfmt>
  <rfmt sheetId="1" sqref="A325" start="0" length="0">
    <dxf/>
  </rfmt>
  <rfmt sheetId="1" sqref="A326" start="0" length="0">
    <dxf/>
  </rfmt>
  <rfmt sheetId="1" sqref="A327" start="0" length="0">
    <dxf/>
  </rfmt>
  <rfmt sheetId="1" sqref="A328" start="0" length="0">
    <dxf/>
  </rfmt>
  <rfmt sheetId="1" sqref="A329" start="0" length="0">
    <dxf/>
  </rfmt>
  <rfmt sheetId="1" sqref="A330" start="0" length="0">
    <dxf/>
  </rfmt>
  <rfmt sheetId="1" sqref="A331" start="0" length="0">
    <dxf/>
  </rfmt>
  <rfmt sheetId="1" sqref="A332" start="0" length="0">
    <dxf/>
  </rfmt>
  <rfmt sheetId="1" sqref="A333" start="0" length="0">
    <dxf/>
  </rfmt>
  <rfmt sheetId="1" sqref="A334" start="0" length="0">
    <dxf/>
  </rfmt>
  <rfmt sheetId="1" sqref="A335" start="0" length="0">
    <dxf/>
  </rfmt>
  <rfmt sheetId="1" sqref="A336" start="0" length="0">
    <dxf/>
  </rfmt>
  <rfmt sheetId="1" sqref="A337" start="0" length="0">
    <dxf/>
  </rfmt>
  <rfmt sheetId="1" sqref="A338" start="0" length="0">
    <dxf/>
  </rfmt>
  <rfmt sheetId="1" sqref="A339" start="0" length="0">
    <dxf/>
  </rfmt>
  <rfmt sheetId="1" sqref="A340" start="0" length="0">
    <dxf/>
  </rfmt>
  <rfmt sheetId="1" sqref="A341" start="0" length="0">
    <dxf/>
  </rfmt>
  <rfmt sheetId="1" sqref="A342" start="0" length="0">
    <dxf/>
  </rfmt>
  <rfmt sheetId="1" sqref="A343" start="0" length="0">
    <dxf/>
  </rfmt>
  <rfmt sheetId="1" sqref="A344" start="0" length="0">
    <dxf/>
  </rfmt>
  <rfmt sheetId="1" sqref="A345" start="0" length="0">
    <dxf/>
  </rfmt>
  <rfmt sheetId="1" sqref="A346" start="0" length="0">
    <dxf/>
  </rfmt>
  <rfmt sheetId="1" sqref="A347" start="0" length="0">
    <dxf/>
  </rfmt>
  <rfmt sheetId="1" sqref="A348" start="0" length="0">
    <dxf/>
  </rfmt>
  <rfmt sheetId="1" sqref="A349" start="0" length="0">
    <dxf/>
  </rfmt>
  <rfmt sheetId="1" sqref="A350" start="0" length="0">
    <dxf/>
  </rfmt>
  <rfmt sheetId="1" sqref="A351" start="0" length="0">
    <dxf/>
  </rfmt>
  <rfmt sheetId="1" sqref="A352" start="0" length="0">
    <dxf/>
  </rfmt>
  <rfmt sheetId="1" sqref="A353" start="0" length="0">
    <dxf/>
  </rfmt>
  <rfmt sheetId="1" sqref="A354" start="0" length="0">
    <dxf/>
  </rfmt>
  <rfmt sheetId="1" sqref="A355" start="0" length="0">
    <dxf/>
  </rfmt>
  <rfmt sheetId="1" sqref="A356" start="0" length="0">
    <dxf/>
  </rfmt>
  <rfmt sheetId="1" sqref="A357" start="0" length="0">
    <dxf/>
  </rfmt>
  <rfmt sheetId="1" sqref="A358" start="0" length="0">
    <dxf/>
  </rfmt>
  <rfmt sheetId="1" sqref="A359" start="0" length="0">
    <dxf/>
  </rfmt>
  <rfmt sheetId="1" sqref="A360" start="0" length="0">
    <dxf/>
  </rfmt>
  <rfmt sheetId="1" sqref="A361" start="0" length="0">
    <dxf/>
  </rfmt>
  <rfmt sheetId="1" sqref="A362" start="0" length="0">
    <dxf/>
  </rfmt>
  <rfmt sheetId="1" sqref="A363" start="0" length="0">
    <dxf/>
  </rfmt>
  <rfmt sheetId="1" sqref="A364" start="0" length="0">
    <dxf/>
  </rfmt>
  <rfmt sheetId="1" sqref="A365" start="0" length="0">
    <dxf/>
  </rfmt>
  <rfmt sheetId="1" sqref="A366" start="0" length="0">
    <dxf/>
  </rfmt>
  <rfmt sheetId="1" sqref="A367" start="0" length="0">
    <dxf>
      <border outline="0">
        <left style="medium">
          <color indexed="64"/>
        </left>
      </border>
    </dxf>
  </rfmt>
  <rfmt sheetId="1" sqref="A368" start="0" length="0">
    <dxf/>
  </rfmt>
  <rfmt sheetId="1" sqref="A369" start="0" length="0">
    <dxf/>
  </rfmt>
  <rfmt sheetId="1" sqref="A370" start="0" length="0">
    <dxf>
      <border outline="0">
        <left style="medium">
          <color indexed="64"/>
        </left>
      </border>
    </dxf>
  </rfmt>
  <rfmt sheetId="1" sqref="A371" start="0" length="0">
    <dxf/>
  </rfmt>
  <rfmt sheetId="1" sqref="A372" start="0" length="0">
    <dxf/>
  </rfmt>
  <rfmt sheetId="1" sqref="A373" start="0" length="0">
    <dxf>
      <border outline="0">
        <left style="medium">
          <color indexed="64"/>
        </left>
      </border>
    </dxf>
  </rfmt>
  <rfmt sheetId="1" sqref="A374" start="0" length="0">
    <dxf/>
  </rfmt>
  <rfmt sheetId="1" sqref="A375" start="0" length="0">
    <dxf/>
  </rfmt>
  <rfmt sheetId="1" sqref="A376" start="0" length="0">
    <dxf>
      <border outline="0">
        <left style="medium">
          <color indexed="64"/>
        </left>
      </border>
    </dxf>
  </rfmt>
  <rfmt sheetId="1" sqref="A377" start="0" length="0">
    <dxf/>
  </rfmt>
  <rfmt sheetId="1" sqref="A378" start="0" length="0">
    <dxf/>
  </rfmt>
  <rfmt sheetId="1" sqref="A379" start="0" length="0">
    <dxf>
      <border outline="0">
        <left style="medium">
          <color indexed="64"/>
        </left>
      </border>
    </dxf>
  </rfmt>
  <rfmt sheetId="1" sqref="A380" start="0" length="0">
    <dxf/>
  </rfmt>
  <rfmt sheetId="1" sqref="A381" start="0" length="0">
    <dxf/>
  </rfmt>
  <rfmt sheetId="1" sqref="A382" start="0" length="0">
    <dxf/>
  </rfmt>
  <rfmt sheetId="1" sqref="A383" start="0" length="0">
    <dxf/>
  </rfmt>
  <rfmt sheetId="1" sqref="A384" start="0" length="0">
    <dxf/>
  </rfmt>
  <rfmt sheetId="1" sqref="A385" start="0" length="0">
    <dxf/>
  </rfmt>
  <rfmt sheetId="1" sqref="A386" start="0" length="0">
    <dxf/>
  </rfmt>
  <rfmt sheetId="1" sqref="A387" start="0" length="0">
    <dxf/>
  </rfmt>
  <rfmt sheetId="1" sqref="A388" start="0" length="0">
    <dxf/>
  </rfmt>
  <rfmt sheetId="1" sqref="A389" start="0" length="0">
    <dxf/>
  </rfmt>
  <rfmt sheetId="1" sqref="A390" start="0" length="0">
    <dxf>
      <font>
        <sz val="12"/>
        <color auto="1"/>
      </font>
    </dxf>
  </rfmt>
  <rfmt sheetId="1" sqref="A391" start="0" length="0">
    <dxf/>
  </rfmt>
  <rfmt sheetId="1" sqref="A392" start="0" length="0">
    <dxf/>
  </rfmt>
  <rfmt sheetId="1" sqref="A393" start="0" length="0">
    <dxf/>
  </rfmt>
  <rfmt sheetId="1" sqref="A394" start="0" length="0">
    <dxf/>
  </rfmt>
  <rfmt sheetId="1" sqref="A395" start="0" length="0">
    <dxf/>
  </rfmt>
  <rfmt sheetId="1" sqref="A396" start="0" length="0">
    <dxf>
      <border outline="0">
        <bottom style="thin">
          <color indexed="64"/>
        </bottom>
      </border>
    </dxf>
  </rfmt>
  <rfmt sheetId="1" sqref="A397" start="0" length="0">
    <dxf>
      <border outline="0">
        <left style="medium">
          <color indexed="64"/>
        </left>
      </border>
    </dxf>
  </rfmt>
  <rfmt sheetId="1" sqref="A398" start="0" length="0">
    <dxf>
      <border outline="0">
        <left style="medium">
          <color indexed="64"/>
        </left>
      </border>
    </dxf>
  </rfmt>
  <rfmt sheetId="1" sqref="A399" start="0" length="0">
    <dxf>
      <border outline="0">
        <left style="medium">
          <color indexed="64"/>
        </left>
      </border>
    </dxf>
  </rfmt>
  <rfmt sheetId="1" sqref="A400" start="0" length="0">
    <dxf>
      <border outline="0">
        <left style="medium">
          <color indexed="64"/>
        </left>
      </border>
    </dxf>
  </rfmt>
  <rfmt sheetId="1" sqref="A401" start="0" length="0">
    <dxf>
      <border outline="0">
        <left style="medium">
          <color indexed="64"/>
        </left>
      </border>
    </dxf>
  </rfmt>
  <rfmt sheetId="1" sqref="A402" start="0" length="0">
    <dxf>
      <border outline="0">
        <left style="medium">
          <color indexed="64"/>
        </left>
      </border>
    </dxf>
  </rfmt>
  <rfmt sheetId="1" sqref="A403" start="0" length="0">
    <dxf>
      <border outline="0">
        <left style="medium">
          <color indexed="64"/>
        </left>
      </border>
    </dxf>
  </rfmt>
  <rfmt sheetId="1" sqref="A404" start="0" length="0">
    <dxf>
      <border outline="0">
        <left style="medium">
          <color indexed="64"/>
        </left>
      </border>
    </dxf>
  </rfmt>
  <rrc rId="5578" sId="1" ref="A440:XFD440" action="deleteRow">
    <undo index="65535" exp="area" ref3D="1" dr="$H$1:$N$1048576" dn="Z_65B035E3_87FA_46C5_996E_864F2C8D0EBC_.wvu.Cols" sId="1"/>
    <rfmt sheetId="1" xfDxf="1" sqref="A440:XFD440" start="0" length="0"/>
    <rfmt sheetId="1" sqref="C440" start="0" length="0">
      <dxf>
        <font>
          <b/>
          <sz val="11"/>
          <color theme="1"/>
          <name val="Calibri"/>
          <family val="2"/>
          <charset val="238"/>
          <scheme val="minor"/>
        </font>
      </dxf>
    </rfmt>
    <rfmt sheetId="1" sqref="G440" start="0" length="0">
      <dxf>
        <alignment horizontal="left" vertical="top"/>
      </dxf>
    </rfmt>
    <rfmt sheetId="1" sqref="H440" start="0" length="0">
      <dxf>
        <alignment horizontal="left" vertical="top"/>
      </dxf>
    </rfmt>
    <rfmt sheetId="1" sqref="I440" start="0" length="0">
      <dxf>
        <alignment horizontal="center" vertical="top"/>
      </dxf>
    </rfmt>
    <rfmt sheetId="1" sqref="K440" start="0" length="0">
      <dxf>
        <alignment horizontal="center" vertical="top"/>
      </dxf>
    </rfmt>
    <rfmt sheetId="1" sqref="L440" start="0" length="0">
      <dxf>
        <alignment horizontal="center" vertical="top"/>
      </dxf>
    </rfmt>
    <rfmt sheetId="1" sqref="M440" start="0" length="0">
      <dxf>
        <alignment horizontal="center" vertical="top"/>
      </dxf>
    </rfmt>
    <rfmt sheetId="1" sqref="N440" start="0" length="0">
      <dxf>
        <alignment horizontal="center" vertical="top"/>
      </dxf>
    </rfmt>
    <rfmt sheetId="1" sqref="O440" start="0" length="0">
      <dxf>
        <alignment horizontal="center" vertical="top"/>
      </dxf>
    </rfmt>
    <rfmt sheetId="1" sqref="P440" start="0" length="0">
      <dxf>
        <alignment horizontal="center" vertical="top"/>
      </dxf>
    </rfmt>
    <rfmt sheetId="1" sqref="Q440" start="0" length="0">
      <dxf>
        <alignment horizontal="center" vertical="top"/>
      </dxf>
    </rfmt>
    <rfmt sheetId="1" sqref="R440" start="0" length="0">
      <dxf>
        <alignment horizontal="center" vertical="top"/>
      </dxf>
    </rfmt>
    <rcc rId="0" sId="1" dxf="1">
      <nc r="S440" t="inlineStr">
        <is>
          <t xml:space="preserve">Finanțare acordată </t>
        </is>
      </nc>
      <ndxf>
        <font>
          <b/>
          <sz val="12"/>
          <color auto="1"/>
          <name val="Calibri"/>
          <family val="2"/>
          <charset val="238"/>
          <scheme val="minor"/>
        </font>
        <numFmt numFmtId="4" formatCode="#,##0.00"/>
        <alignment horizontal="center" vertical="center" wrapText="1"/>
        <border outline="0">
          <left style="thin">
            <color indexed="64"/>
          </left>
          <bottom style="thin">
            <color indexed="64"/>
          </bottom>
        </border>
      </ndxf>
    </rcc>
    <rfmt sheetId="1" sqref="T440" start="0" length="0">
      <dxf>
        <font>
          <b/>
          <sz val="12"/>
          <color auto="1"/>
          <name val="Calibri"/>
          <family val="2"/>
          <charset val="238"/>
          <scheme val="minor"/>
        </font>
        <numFmt numFmtId="4" formatCode="#,##0.00"/>
        <alignment horizontal="center" vertical="center" wrapText="1"/>
        <border outline="0">
          <bottom style="thin">
            <color indexed="64"/>
          </bottom>
        </border>
      </dxf>
    </rfmt>
    <rfmt sheetId="1" sqref="U440" start="0" length="0">
      <dxf>
        <font>
          <b/>
          <sz val="12"/>
          <color auto="1"/>
          <name val="Calibri"/>
          <family val="2"/>
          <charset val="238"/>
          <scheme val="minor"/>
        </font>
        <numFmt numFmtId="4" formatCode="#,##0.00"/>
        <alignment horizontal="center" vertical="center" wrapText="1"/>
        <border outline="0">
          <bottom style="thin">
            <color indexed="64"/>
          </bottom>
        </border>
      </dxf>
    </rfmt>
    <rfmt sheetId="1" sqref="V440" start="0" length="0">
      <dxf>
        <font>
          <b/>
          <sz val="12"/>
          <color auto="1"/>
          <name val="Calibri"/>
          <family val="2"/>
          <charset val="238"/>
          <scheme val="minor"/>
        </font>
        <numFmt numFmtId="4" formatCode="#,##0.00"/>
        <alignment horizontal="center" vertical="center" wrapText="1"/>
        <border outline="0">
          <bottom style="thin">
            <color indexed="64"/>
          </bottom>
        </border>
      </dxf>
    </rfmt>
    <rfmt sheetId="1" sqref="W440" start="0" length="0">
      <dxf>
        <alignment horizontal="center" vertical="center" wrapText="1"/>
        <border outline="0">
          <bottom style="thin">
            <color indexed="64"/>
          </bottom>
        </border>
      </dxf>
    </rfmt>
    <rfmt sheetId="1" sqref="X440" start="0" length="0">
      <dxf>
        <alignment horizontal="center" vertical="center" wrapText="1"/>
        <border outline="0">
          <right style="thin">
            <color indexed="64"/>
          </right>
          <bottom style="thin">
            <color indexed="64"/>
          </bottom>
        </border>
      </dxf>
    </rfmt>
    <rcc rId="0" sId="1" dxf="1">
      <nc r="Y440" t="inlineStr">
        <is>
          <t>Contribuția proprie a beneficiarului</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Z440" start="0" length="0">
      <dxf>
        <font>
          <b/>
          <sz val="12"/>
          <color auto="1"/>
          <name val="Calibri"/>
          <family val="2"/>
          <charset val="238"/>
          <scheme val="minor"/>
        </font>
        <numFmt numFmtId="4" formatCode="#,##0.00"/>
        <alignment vertical="center" wrapText="1"/>
        <border outline="0">
          <left style="thin">
            <color indexed="64"/>
          </left>
          <right style="thin">
            <color indexed="64"/>
          </right>
          <bottom style="thin">
            <color indexed="64"/>
          </bottom>
        </border>
      </dxf>
    </rfmt>
    <rfmt sheetId="1" sqref="AA440" start="0" length="0">
      <dxf>
        <font>
          <b/>
          <sz val="12"/>
          <color auto="1"/>
          <name val="Calibri"/>
          <family val="2"/>
          <charset val="238"/>
          <scheme val="minor"/>
        </font>
        <numFmt numFmtId="4" formatCode="#,##0.00"/>
        <alignment vertical="center" wrapText="1"/>
        <border outline="0">
          <left style="thin">
            <color indexed="64"/>
          </left>
          <right style="thin">
            <color indexed="64"/>
          </right>
          <bottom style="thin">
            <color indexed="64"/>
          </bottom>
        </border>
      </dxf>
    </rfmt>
    <rcc rId="0" sId="1" dxf="1">
      <nc r="AB440" t="inlineStr">
        <is>
          <t>Contribuție privată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C440" start="0" length="0">
      <dxf>
        <font>
          <b/>
          <sz val="12"/>
          <color auto="1"/>
          <name val="Calibri"/>
          <family val="2"/>
          <charset val="238"/>
          <scheme val="minor"/>
        </font>
        <numFmt numFmtId="4" formatCode="#,##0.00"/>
        <alignment vertical="center" wrapText="1"/>
        <border outline="0">
          <left style="thin">
            <color indexed="64"/>
          </left>
          <right style="thin">
            <color indexed="64"/>
          </right>
          <bottom style="thin">
            <color indexed="64"/>
          </bottom>
        </border>
      </dxf>
    </rfmt>
    <rfmt sheetId="1" sqref="AD440" start="0" length="0">
      <dxf>
        <font>
          <b/>
          <sz val="12"/>
          <color auto="1"/>
          <name val="Calibri"/>
          <family val="2"/>
          <charset val="238"/>
          <scheme val="minor"/>
        </font>
        <numFmt numFmtId="4" formatCode="#,##0.00"/>
        <alignment vertical="center" wrapText="1"/>
        <border outline="0">
          <left style="thin">
            <color indexed="64"/>
          </left>
          <right style="thin">
            <color indexed="64"/>
          </right>
          <bottom style="thin">
            <color indexed="64"/>
          </bottom>
        </border>
      </dxf>
    </rfmt>
    <rcc rId="0" sId="1" dxf="1">
      <nc r="AE440" t="inlineStr">
        <is>
          <t xml:space="preserve">Valoarea eligibila </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F440" t="inlineStr">
        <is>
          <t>Cheltuieli neeligibile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G44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440"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440"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cc rId="0" sId="1" dxf="1">
      <nc r="AJ440"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K440" t="inlineStr">
        <is>
          <t>Contribuția națională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rc>
  <rrc rId="5579" sId="1" ref="A440:XFD440" action="deleteRow">
    <undo index="65535" exp="area" ref3D="1" dr="$B$1:$B$440" dn="Z_A093D1FA_1747_4946_A02E_7D721604BB07_.wvu.FilterData" sId="1"/>
    <undo index="65535" exp="area" ref3D="1" dr="$C$1:$C$440" dn="Z_7C389A6C_C379_45EF_8779_FEC15F27C7E7_.wvu.FilterData" sId="1"/>
    <undo index="65535" exp="area" ref3D="1" dr="$C$1:$C$440" dn="Z_4C2A0B30_0070_415E_A110_A9BCC2779710_.wvu.FilterData" sId="1"/>
    <undo index="65535" exp="area" ref3D="1" dr="$C$1:$C$440" dn="Z_59EBF1CB_AF85_469A_B1D0_E57CB0203158_.wvu.FilterData" sId="1"/>
    <undo index="65535" exp="area" ref3D="1" dr="$H$1:$N$1048576" dn="Z_65B035E3_87FA_46C5_996E_864F2C8D0EBC_.wvu.Cols" sId="1"/>
    <undo index="65535" exp="area" ref3D="1" dr="$C$1:$C$440" dn="Z_15F03B40_FCDD_463A_AE42_63F6121ACBED_.wvu.FilterData" sId="1"/>
    <rfmt sheetId="1" xfDxf="1" sqref="A440:XFD440" start="0" length="0"/>
    <rfmt sheetId="1" sqref="C440" start="0" length="0">
      <dxf>
        <font>
          <b/>
          <sz val="11"/>
          <color theme="1"/>
          <name val="Calibri"/>
          <family val="2"/>
          <charset val="238"/>
          <scheme val="minor"/>
        </font>
      </dxf>
    </rfmt>
    <rfmt sheetId="1" sqref="G440" start="0" length="0">
      <dxf>
        <alignment horizontal="left" vertical="top"/>
      </dxf>
    </rfmt>
    <rfmt sheetId="1" sqref="H440" start="0" length="0">
      <dxf>
        <alignment horizontal="left" vertical="top"/>
      </dxf>
    </rfmt>
    <rfmt sheetId="1" sqref="I440" start="0" length="0">
      <dxf>
        <alignment horizontal="center" vertical="top"/>
      </dxf>
    </rfmt>
    <rfmt sheetId="1" sqref="K440" start="0" length="0">
      <dxf>
        <alignment horizontal="center" vertical="top"/>
      </dxf>
    </rfmt>
    <rfmt sheetId="1" sqref="L440" start="0" length="0">
      <dxf>
        <alignment horizontal="center" vertical="top"/>
      </dxf>
    </rfmt>
    <rfmt sheetId="1" sqref="M440" start="0" length="0">
      <dxf>
        <alignment horizontal="center" vertical="top"/>
      </dxf>
    </rfmt>
    <rfmt sheetId="1" sqref="N440" start="0" length="0">
      <dxf>
        <alignment horizontal="center" vertical="top"/>
      </dxf>
    </rfmt>
    <rfmt sheetId="1" sqref="O440" start="0" length="0">
      <dxf>
        <alignment horizontal="center" vertical="top"/>
      </dxf>
    </rfmt>
    <rfmt sheetId="1" sqref="P440" start="0" length="0">
      <dxf>
        <alignment horizontal="center" vertical="top"/>
      </dxf>
    </rfmt>
    <rfmt sheetId="1" sqref="Q440" start="0" length="0">
      <dxf>
        <alignment horizontal="center" vertical="top"/>
      </dxf>
    </rfmt>
    <rfmt sheetId="1" sqref="R440" start="0" length="0">
      <dxf>
        <alignment horizontal="center" vertical="top"/>
      </dxf>
    </rfmt>
    <rcc rId="0" sId="1" dxf="1">
      <nc r="S440"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T440" t="inlineStr">
        <is>
          <t>regiune mai puțin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U440" t="inlineStr">
        <is>
          <t>regiune mai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V440" t="inlineStr">
        <is>
          <t>Buget național</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W440" t="inlineStr">
        <is>
          <t>regiune mai puțin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X440" t="inlineStr">
        <is>
          <t>regiune mai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Y44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cc rId="0" sId="1" dxf="1">
      <nc r="Z440" t="inlineStr">
        <is>
          <t>regiune mai puțin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A440" t="inlineStr">
        <is>
          <t>regiune mai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B44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C44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D44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E44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F44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G44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440"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440"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44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K44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rc>
  <rrc rId="5580" sId="1" ref="A440:XFD440" action="deleteRow">
    <undo index="65535" exp="area" ref3D="1" dr="$H$1:$N$1048576" dn="Z_65B035E3_87FA_46C5_996E_864F2C8D0EBC_.wvu.Cols" sId="1"/>
    <rfmt sheetId="1" xfDxf="1" sqref="A440:XFD440" start="0" length="0"/>
  </rrc>
  <rrc rId="5581" sId="1" ref="A440:XFD440" action="deleteRow">
    <undo index="65535" exp="ref" v="1" dr="T440" r="T444" sId="1"/>
    <undo index="65535" exp="ref" v="1" dr="AG440" r="AG442" sId="1"/>
    <undo index="65535" exp="ref" v="1" dr="AF440" r="AF442" sId="1"/>
    <undo index="65535" exp="ref" v="1" dr="AE440" r="AE442" sId="1"/>
    <undo index="65535" exp="ref" v="1" dr="AD440" r="AD442" sId="1"/>
    <undo index="65535" exp="ref" v="1" dr="AC440" r="AC442" sId="1"/>
    <undo index="65535" exp="ref" v="1" dr="AB440" r="AB442" sId="1"/>
    <undo index="65535" exp="ref" v="1" dr="AA440" r="AA442" sId="1"/>
    <undo index="65535" exp="ref" v="1" dr="Z440" r="Z442" sId="1"/>
    <undo index="65535" exp="ref" v="1" dr="Y440" r="Y442" sId="1"/>
    <undo index="65535" exp="ref" v="1" dr="X440" r="X442" sId="1"/>
    <undo index="65535" exp="ref" v="1" dr="W440" r="W442" sId="1"/>
    <undo index="65535" exp="ref" v="1" dr="V440" r="V442" sId="1"/>
    <undo index="65535" exp="ref" v="1" dr="U440" r="U442" sId="1"/>
    <undo index="65535" exp="ref" v="1" dr="T440" r="T442" sId="1"/>
    <undo index="65535" exp="ref" v="1" dr="S440" r="S442" sId="1"/>
    <undo index="65535" exp="area" ref3D="1" dr="$H$1:$N$1048576" dn="Z_65B035E3_87FA_46C5_996E_864F2C8D0EBC_.wvu.Cols" sId="1"/>
    <rfmt sheetId="1" xfDxf="1" sqref="A440:XFD440" start="0" length="0"/>
    <rfmt sheetId="1" sqref="C440" start="0" length="0">
      <dxf>
        <font>
          <b/>
          <sz val="11"/>
          <color theme="1"/>
          <name val="Calibri"/>
          <family val="2"/>
          <charset val="238"/>
          <scheme val="minor"/>
        </font>
      </dxf>
    </rfmt>
    <rfmt sheetId="1" sqref="G440" start="0" length="0">
      <dxf>
        <alignment horizontal="left" vertical="top"/>
      </dxf>
    </rfmt>
    <rfmt sheetId="1" sqref="H440" start="0" length="0">
      <dxf>
        <alignment horizontal="left" vertical="top"/>
      </dxf>
    </rfmt>
    <rfmt sheetId="1" sqref="I440" start="0" length="0">
      <dxf>
        <alignment horizontal="center" vertical="top"/>
      </dxf>
    </rfmt>
    <rfmt sheetId="1" sqref="K440" start="0" length="0">
      <dxf>
        <alignment horizontal="center" vertical="top"/>
      </dxf>
    </rfmt>
    <rfmt sheetId="1" sqref="L440" start="0" length="0">
      <dxf>
        <alignment horizontal="center" vertical="top"/>
      </dxf>
    </rfmt>
    <rfmt sheetId="1" sqref="M440" start="0" length="0">
      <dxf>
        <alignment horizontal="center" vertical="top"/>
      </dxf>
    </rfmt>
    <rfmt sheetId="1" sqref="N440" start="0" length="0">
      <dxf>
        <alignment horizontal="center" vertical="top"/>
      </dxf>
    </rfmt>
    <rfmt sheetId="1" sqref="O440" start="0" length="0">
      <dxf>
        <alignment horizontal="center" vertical="top"/>
      </dxf>
    </rfmt>
    <rfmt sheetId="1" sqref="P440" start="0" length="0">
      <dxf>
        <alignment horizontal="center" vertical="top"/>
      </dxf>
    </rfmt>
    <rfmt sheetId="1" sqref="Q440" start="0" length="0">
      <dxf>
        <alignment horizontal="center" vertical="top"/>
      </dxf>
    </rfmt>
    <rfmt sheetId="1" sqref="R440" start="0" length="0">
      <dxf>
        <alignment horizontal="center" vertical="top"/>
      </dxf>
    </rfmt>
    <rcc rId="0" sId="1">
      <nc r="S440">
        <v>4.7550999999999997</v>
      </nc>
    </rcc>
    <rcc rId="0" sId="1">
      <nc r="T440">
        <v>4.7622999999999998</v>
      </nc>
    </rcc>
    <rcc rId="0" sId="1">
      <nc r="U440">
        <v>4.7550999999999997</v>
      </nc>
    </rcc>
    <rcc rId="0" sId="1">
      <nc r="V440">
        <v>4.7550999999999997</v>
      </nc>
    </rcc>
    <rcc rId="0" sId="1">
      <nc r="W440">
        <v>4.7550999999999997</v>
      </nc>
    </rcc>
    <rcc rId="0" sId="1">
      <nc r="X440">
        <v>4.7550999999999997</v>
      </nc>
    </rcc>
    <rcc rId="0" sId="1">
      <nc r="Y440">
        <v>4.7550999999999997</v>
      </nc>
    </rcc>
    <rcc rId="0" sId="1">
      <nc r="Z440">
        <v>4.7550999999999997</v>
      </nc>
    </rcc>
    <rcc rId="0" sId="1">
      <nc r="AA440">
        <v>4.7550999999999997</v>
      </nc>
    </rcc>
    <rcc rId="0" sId="1">
      <nc r="AB440">
        <v>4.7550999999999997</v>
      </nc>
    </rcc>
    <rcc rId="0" sId="1">
      <nc r="AC440">
        <v>4.7550999999999997</v>
      </nc>
    </rcc>
    <rcc rId="0" sId="1">
      <nc r="AD440">
        <v>4.7550999999999997</v>
      </nc>
    </rcc>
    <rcc rId="0" sId="1">
      <nc r="AE440">
        <v>4.7550999999999997</v>
      </nc>
    </rcc>
    <rcc rId="0" sId="1">
      <nc r="AF440">
        <v>4.7550999999999997</v>
      </nc>
    </rcc>
    <rcc rId="0" sId="1">
      <nc r="AG440">
        <v>4.7550999999999997</v>
      </nc>
    </rcc>
    <rfmt sheetId="1" sqref="AI440" start="0" length="0">
      <dxf>
        <alignment vertical="top" wrapText="1"/>
      </dxf>
    </rfmt>
  </rrc>
  <rrc rId="5582" sId="1" ref="A440:XFD440" action="deleteRow">
    <undo index="65535" exp="area" ref3D="1" dr="$H$1:$N$1048576" dn="Z_65B035E3_87FA_46C5_996E_864F2C8D0EBC_.wvu.Cols" sId="1"/>
    <rfmt sheetId="1" xfDxf="1" sqref="A440:XFD440" start="0" length="0"/>
  </rrc>
  <rrc rId="5583" sId="1" ref="A440:XFD440" action="deleteRow">
    <undo index="65535" exp="area" ref3D="1" dr="$H$1:$N$1048576" dn="Z_65B035E3_87FA_46C5_996E_864F2C8D0EBC_.wvu.Cols" sId="1"/>
    <rfmt sheetId="1" xfDxf="1" sqref="A440:XFD440" start="0" length="0">
      <dxf>
        <numFmt numFmtId="4" formatCode="#,##0.00"/>
      </dxf>
    </rfmt>
    <rfmt sheetId="1" sqref="C440" start="0" length="0">
      <dxf>
        <font>
          <b/>
          <sz val="11"/>
          <color theme="1"/>
          <name val="Calibri"/>
          <family val="2"/>
          <charset val="238"/>
          <scheme val="minor"/>
        </font>
      </dxf>
    </rfmt>
    <rfmt sheetId="1" sqref="G440" start="0" length="0">
      <dxf>
        <alignment horizontal="left" vertical="top"/>
      </dxf>
    </rfmt>
    <rfmt sheetId="1" sqref="H440" start="0" length="0">
      <dxf>
        <alignment horizontal="left" vertical="top"/>
      </dxf>
    </rfmt>
    <rfmt sheetId="1" sqref="I440" start="0" length="0">
      <dxf>
        <alignment horizontal="center" vertical="top"/>
      </dxf>
    </rfmt>
    <rfmt sheetId="1" sqref="K440" start="0" length="0">
      <dxf>
        <alignment horizontal="center" vertical="top"/>
      </dxf>
    </rfmt>
    <rfmt sheetId="1" sqref="L440" start="0" length="0">
      <dxf>
        <alignment horizontal="center" vertical="top"/>
      </dxf>
    </rfmt>
    <rfmt sheetId="1" sqref="M440" start="0" length="0">
      <dxf>
        <alignment horizontal="center" vertical="top"/>
      </dxf>
    </rfmt>
    <rfmt sheetId="1" sqref="N440" start="0" length="0">
      <dxf>
        <alignment horizontal="center" vertical="top"/>
      </dxf>
    </rfmt>
    <rfmt sheetId="1" sqref="O440" start="0" length="0">
      <dxf>
        <alignment horizontal="center" vertical="top"/>
      </dxf>
    </rfmt>
    <rfmt sheetId="1" sqref="P440" start="0" length="0">
      <dxf>
        <alignment horizontal="center" vertical="top"/>
      </dxf>
    </rfmt>
    <rfmt sheetId="1" sqref="Q440" start="0" length="0">
      <dxf>
        <alignment horizontal="center" vertical="top"/>
      </dxf>
    </rfmt>
    <rfmt sheetId="1" sqref="R440" start="0" length="0">
      <dxf>
        <alignment horizontal="center" vertical="top"/>
      </dxf>
    </rfmt>
    <rcc rId="0" sId="1">
      <nc r="S440">
        <f>S439/#REF!</f>
      </nc>
    </rcc>
    <rcc rId="0" sId="1">
      <nc r="T440">
        <f>T439/#REF!</f>
      </nc>
    </rcc>
    <rcc rId="0" sId="1">
      <nc r="U440">
        <f>U439/#REF!</f>
      </nc>
    </rcc>
    <rcc rId="0" sId="1">
      <nc r="V440">
        <f>V439/#REF!</f>
      </nc>
    </rcc>
    <rcc rId="0" sId="1">
      <nc r="W440">
        <f>W439/#REF!</f>
      </nc>
    </rcc>
    <rcc rId="0" sId="1">
      <nc r="X440">
        <f>X439/#REF!</f>
      </nc>
    </rcc>
    <rcc rId="0" sId="1">
      <nc r="Y440">
        <f>Y439/#REF!</f>
      </nc>
    </rcc>
    <rcc rId="0" sId="1">
      <nc r="Z440">
        <f>Z439/#REF!</f>
      </nc>
    </rcc>
    <rcc rId="0" sId="1">
      <nc r="AA440">
        <f>AA439/#REF!</f>
      </nc>
    </rcc>
    <rcc rId="0" sId="1">
      <nc r="AB440">
        <f>AB439/#REF!</f>
      </nc>
    </rcc>
    <rcc rId="0" sId="1">
      <nc r="AC440">
        <f>AC439/#REF!</f>
      </nc>
    </rcc>
    <rcc rId="0" sId="1">
      <nc r="AD440">
        <f>AD439/#REF!</f>
      </nc>
    </rcc>
    <rcc rId="0" sId="1">
      <nc r="AE440">
        <f>AE439/#REF!</f>
      </nc>
    </rcc>
    <rcc rId="0" sId="1">
      <nc r="AF440">
        <f>AF439/#REF!</f>
      </nc>
    </rcc>
    <rcc rId="0" sId="1">
      <nc r="AG440">
        <f>AG439/#REF!</f>
      </nc>
    </rcc>
    <rfmt sheetId="1" sqref="AI440" start="0" length="0">
      <dxf>
        <alignment vertical="top" wrapText="1"/>
      </dxf>
    </rfmt>
  </rrc>
  <rrc rId="5584" sId="1" ref="A440:XFD440" action="deleteRow">
    <undo index="65535" exp="area" ref3D="1" dr="$C$1:$C$440" dn="Z_84FB199A_D56E_4FDD_AC4A_70CE86CD87BC_.wvu.FilterData" sId="1"/>
    <undo index="65535" exp="area" ref3D="1" dr="$H$1:$N$1048576" dn="Z_65B035E3_87FA_46C5_996E_864F2C8D0EBC_.wvu.Cols" sId="1"/>
    <rfmt sheetId="1" xfDxf="1" sqref="A440:XFD440" start="0" length="0"/>
    <rfmt sheetId="1" sqref="C440" start="0" length="0">
      <dxf>
        <font>
          <b/>
          <sz val="11"/>
          <color theme="1"/>
          <name val="Calibri"/>
          <family val="2"/>
          <charset val="238"/>
          <scheme val="minor"/>
        </font>
      </dxf>
    </rfmt>
    <rfmt sheetId="1" sqref="G440" start="0" length="0">
      <dxf>
        <alignment horizontal="left" vertical="top"/>
      </dxf>
    </rfmt>
    <rfmt sheetId="1" sqref="H440" start="0" length="0">
      <dxf>
        <alignment horizontal="left" vertical="top"/>
      </dxf>
    </rfmt>
    <rfmt sheetId="1" sqref="I440" start="0" length="0">
      <dxf>
        <alignment horizontal="center" vertical="top"/>
      </dxf>
    </rfmt>
    <rfmt sheetId="1" sqref="K440" start="0" length="0">
      <dxf>
        <alignment horizontal="center" vertical="top"/>
      </dxf>
    </rfmt>
    <rfmt sheetId="1" sqref="L440" start="0" length="0">
      <dxf>
        <alignment horizontal="center" vertical="top"/>
      </dxf>
    </rfmt>
    <rfmt sheetId="1" sqref="M440" start="0" length="0">
      <dxf>
        <alignment horizontal="center" vertical="top"/>
      </dxf>
    </rfmt>
    <rfmt sheetId="1" sqref="N440" start="0" length="0">
      <dxf>
        <alignment horizontal="center" vertical="top"/>
      </dxf>
    </rfmt>
    <rfmt sheetId="1" sqref="O440" start="0" length="0">
      <dxf>
        <alignment horizontal="center" vertical="top"/>
      </dxf>
    </rfmt>
    <rfmt sheetId="1" sqref="P440" start="0" length="0">
      <dxf>
        <alignment horizontal="center" vertical="top"/>
      </dxf>
    </rfmt>
    <rfmt sheetId="1" sqref="Q440" start="0" length="0">
      <dxf>
        <alignment horizontal="center" vertical="top"/>
      </dxf>
    </rfmt>
    <rfmt sheetId="1" sqref="R440" start="0" length="0">
      <dxf>
        <alignment horizontal="center" vertical="top"/>
      </dxf>
    </rfmt>
    <rfmt sheetId="1" sqref="AE440" start="0" length="0">
      <dxf>
        <numFmt numFmtId="166" formatCode="#,##0.00_ ;\-#,##0.00\ "/>
      </dxf>
    </rfmt>
    <rfmt sheetId="1" sqref="AI440" start="0" length="0">
      <dxf>
        <alignment vertical="top" wrapText="1"/>
      </dxf>
    </rfmt>
    <rfmt sheetId="1" sqref="AJ440" start="0" length="0">
      <dxf>
        <numFmt numFmtId="4" formatCode="#,##0.00"/>
      </dxf>
    </rfmt>
    <rfmt sheetId="1" sqref="AK440" start="0" length="0">
      <dxf>
        <numFmt numFmtId="4" formatCode="#,##0.00"/>
      </dxf>
    </rfmt>
  </rrc>
  <rrc rId="5585" sId="1" ref="A440:XFD440" action="deleteRow">
    <undo index="65535" exp="area" ref3D="1" dr="$H$1:$N$1048576" dn="Z_65B035E3_87FA_46C5_996E_864F2C8D0EBC_.wvu.Cols" sId="1"/>
    <rfmt sheetId="1" xfDxf="1" sqref="A440:XFD440" start="0" length="0"/>
    <rfmt sheetId="1" sqref="C440" start="0" length="0">
      <dxf>
        <font>
          <b/>
          <sz val="11"/>
          <color theme="1"/>
          <name val="Calibri"/>
          <family val="2"/>
          <charset val="238"/>
          <scheme val="minor"/>
        </font>
      </dxf>
    </rfmt>
    <rfmt sheetId="1" sqref="G440" start="0" length="0">
      <dxf>
        <alignment horizontal="left" vertical="top"/>
      </dxf>
    </rfmt>
    <rfmt sheetId="1" sqref="H440" start="0" length="0">
      <dxf>
        <alignment horizontal="left" vertical="top"/>
      </dxf>
    </rfmt>
    <rfmt sheetId="1" sqref="I440" start="0" length="0">
      <dxf>
        <alignment horizontal="center" vertical="top"/>
      </dxf>
    </rfmt>
    <rfmt sheetId="1" sqref="K440" start="0" length="0">
      <dxf>
        <alignment horizontal="center" vertical="top"/>
      </dxf>
    </rfmt>
    <rfmt sheetId="1" sqref="L440" start="0" length="0">
      <dxf>
        <alignment horizontal="center" vertical="top"/>
      </dxf>
    </rfmt>
    <rfmt sheetId="1" sqref="M440" start="0" length="0">
      <dxf>
        <alignment horizontal="center" vertical="top"/>
      </dxf>
    </rfmt>
    <rfmt sheetId="1" sqref="N440" start="0" length="0">
      <dxf>
        <alignment horizontal="center" vertical="top"/>
      </dxf>
    </rfmt>
    <rfmt sheetId="1" sqref="O440" start="0" length="0">
      <dxf>
        <alignment horizontal="center" vertical="top"/>
      </dxf>
    </rfmt>
    <rfmt sheetId="1" sqref="P440" start="0" length="0">
      <dxf>
        <alignment horizontal="center" vertical="top"/>
      </dxf>
    </rfmt>
    <rfmt sheetId="1" sqref="Q440" start="0" length="0">
      <dxf>
        <alignment horizontal="center" vertical="top"/>
      </dxf>
    </rfmt>
    <rfmt sheetId="1" sqref="R440" start="0" length="0">
      <dxf>
        <alignment horizontal="center" vertical="top"/>
      </dxf>
    </rfmt>
    <rcc rId="0" sId="1" dxf="1">
      <nc r="T440">
        <f>T185/#REF!</f>
      </nc>
      <ndxf>
        <numFmt numFmtId="4" formatCode="#,##0.00"/>
      </ndxf>
    </rcc>
    <rfmt sheetId="1" sqref="AI440" start="0" length="0">
      <dxf>
        <alignment vertical="top" wrapText="1"/>
      </dxf>
    </rfmt>
    <rfmt sheetId="1" sqref="AJ440" start="0" length="0">
      <dxf>
        <numFmt numFmtId="4" formatCode="#,##0.00"/>
      </dxf>
    </rfmt>
    <rfmt sheetId="1" sqref="AK440" start="0" length="0">
      <dxf>
        <numFmt numFmtId="4" formatCode="#,##0.00"/>
      </dxf>
    </rfmt>
  </rrc>
  <rcc rId="5586" sId="1">
    <oc r="AB442">
      <f>S439+V439+Y439+AB439</f>
    </oc>
    <nc r="AB442"/>
  </rcc>
  <rrc rId="5587" sId="1" ref="A210:XFD210" action="deleteRow">
    <undo index="65535" exp="area" ref3D="1" dr="$H$1:$N$1048576" dn="Z_65B035E3_87FA_46C5_996E_864F2C8D0EBC_.wvu.Cols" sId="1"/>
    <rfmt sheetId="1" xfDxf="1" sqref="A210:XFD210" start="0" length="0"/>
    <rcc rId="0" sId="1" dxf="1" quotePrefix="1">
      <nc r="A210" t="inlineStr">
        <is>
          <t>206</t>
        </is>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210" t="inlineStr">
        <is>
          <t>TOTAL CP 8 less</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2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10">
        <f>SUM(S201:S209)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210">
        <f>SUM(T201:T209)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210">
        <f>SUM(U201:U209)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210">
        <f>SUM(V201:V209)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210">
        <f>SUM(W201:W209)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210">
        <f>SUM(X201:X209)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210">
        <f>SUM(Y201:Y209)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210">
        <f>SUM(Z201:Z209)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210">
        <f>SUM(AA201:AA209)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210">
        <f>SUM(AB201:AB209)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210">
        <f>SUM(AC201:AC209)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210">
        <f>SUM(AD201:AD209)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210">
        <f>SUM(AE201:AE209)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210">
        <f>SUM(AF201:AF209)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210">
        <f>SUM(AG201:AG209)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210">
        <f>SUM(AH201:AH209)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210">
        <f>SUM(AI201:AI209)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210">
        <f>SUM(AJ201:AJ209)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210">
        <f>SUM(AK201:AK209)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cc rId="5588" sId="1" quotePrefix="1">
    <nc r="A200" t="inlineStr">
      <is>
        <t>196</t>
      </is>
    </nc>
  </rcc>
  <rrc rId="5589" sId="1" ref="A200:XFD200" action="deleteRow">
    <undo index="65535" exp="area" ref3D="1" dr="$H$1:$N$1048576" dn="Z_65B035E3_87FA_46C5_996E_864F2C8D0EBC_.wvu.Cols" sId="1"/>
    <rfmt sheetId="1" xfDxf="1" sqref="A200:XFD200" start="0" length="0"/>
    <rcc rId="0" sId="1" dxf="1" quotePrefix="1">
      <nc r="A200" t="inlineStr">
        <is>
          <t>196</t>
        </is>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200" t="inlineStr">
        <is>
          <t>TOTAL VRANCEA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20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0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00">
        <f>SUM(S198:S199)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200">
        <f>SUM(T198:T199)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200">
        <f>SUM(U198:U199)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200">
        <f>SUM(V198:V199)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200">
        <f>SUM(W198:W199)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200">
        <f>SUM(X198:X199)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200">
        <f>SUM(Y198:Y199)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200">
        <f>SUM(Z198:Z199)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200">
        <f>SUM(AA198:AA199)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200">
        <f>SUM(AB198:AB199)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200">
        <f>SUM(AC198:AC199)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200">
        <f>SUM(AD198:AD199)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200">
        <f>SUM(AE198:AE199)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200">
        <f>SUM(AF198:AF199)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200">
        <f>SUM(AG198:AG199)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20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200">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200">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200">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cc rId="5590" sId="1" quotePrefix="1">
    <oc r="A6">
      <v>2</v>
    </oc>
    <nc r="A6" t="inlineStr">
      <is>
        <t>2</t>
      </is>
    </nc>
  </rcc>
  <rcc rId="5591" sId="1" quotePrefix="1">
    <oc r="A7">
      <v>3</v>
    </oc>
    <nc r="A7" t="inlineStr">
      <is>
        <t>3</t>
      </is>
    </nc>
  </rcc>
  <rcc rId="5592" sId="1" quotePrefix="1">
    <oc r="A8">
      <v>4</v>
    </oc>
    <nc r="A8" t="inlineStr">
      <is>
        <t>4</t>
      </is>
    </nc>
  </rcc>
  <rcc rId="5593" sId="1" quotePrefix="1">
    <oc r="A9">
      <v>5</v>
    </oc>
    <nc r="A9" t="inlineStr">
      <is>
        <t>5</t>
      </is>
    </nc>
  </rcc>
  <rcc rId="5594" sId="1" quotePrefix="1">
    <oc r="A10">
      <v>6</v>
    </oc>
    <nc r="A10" t="inlineStr">
      <is>
        <t>6</t>
      </is>
    </nc>
  </rcc>
  <rcc rId="5595" sId="1" quotePrefix="1">
    <oc r="A11">
      <v>7</v>
    </oc>
    <nc r="A11" t="inlineStr">
      <is>
        <t>7</t>
      </is>
    </nc>
  </rcc>
  <rcc rId="5596" sId="1" quotePrefix="1">
    <oc r="A12">
      <v>8</v>
    </oc>
    <nc r="A12" t="inlineStr">
      <is>
        <t>8</t>
      </is>
    </nc>
  </rcc>
  <rcc rId="5597" sId="1" quotePrefix="1">
    <oc r="A13">
      <v>9</v>
    </oc>
    <nc r="A13" t="inlineStr">
      <is>
        <t>9</t>
      </is>
    </nc>
  </rcc>
  <rcc rId="5598" sId="1" quotePrefix="1">
    <oc r="A14">
      <v>10</v>
    </oc>
    <nc r="A14" t="inlineStr">
      <is>
        <t>10</t>
      </is>
    </nc>
  </rcc>
  <rcc rId="5599" sId="1" quotePrefix="1">
    <oc r="A15">
      <v>11</v>
    </oc>
    <nc r="A15" t="inlineStr">
      <is>
        <t>11</t>
      </is>
    </nc>
  </rcc>
  <rcc rId="5600" sId="1" quotePrefix="1">
    <oc r="A16">
      <v>1</v>
    </oc>
    <nc r="A16" t="inlineStr">
      <is>
        <t>12</t>
      </is>
    </nc>
  </rcc>
  <rcc rId="5601" sId="1" quotePrefix="1">
    <oc r="A17">
      <v>2</v>
    </oc>
    <nc r="A17" t="inlineStr">
      <is>
        <t>13</t>
      </is>
    </nc>
  </rcc>
  <rcc rId="5602" sId="1" quotePrefix="1">
    <oc r="A18">
      <v>3</v>
    </oc>
    <nc r="A18" t="inlineStr">
      <is>
        <t>14</t>
      </is>
    </nc>
  </rcc>
  <rcc rId="5603" sId="1" quotePrefix="1">
    <oc r="A19">
      <v>4</v>
    </oc>
    <nc r="A19" t="inlineStr">
      <is>
        <t>15</t>
      </is>
    </nc>
  </rcc>
  <rcc rId="5604" sId="1" quotePrefix="1">
    <oc r="A20">
      <v>1</v>
    </oc>
    <nc r="A20" t="inlineStr">
      <is>
        <t>16</t>
      </is>
    </nc>
  </rcc>
  <rcc rId="5605" sId="1" quotePrefix="1">
    <oc r="A21">
      <v>2</v>
    </oc>
    <nc r="A21" t="inlineStr">
      <is>
        <t>17</t>
      </is>
    </nc>
  </rcc>
  <rcc rId="5606" sId="1" quotePrefix="1">
    <oc r="A22">
      <v>3</v>
    </oc>
    <nc r="A22" t="inlineStr">
      <is>
        <t>18</t>
      </is>
    </nc>
  </rcc>
  <rcc rId="5607" sId="1" quotePrefix="1">
    <oc r="A23">
      <v>4</v>
    </oc>
    <nc r="A23" t="inlineStr">
      <is>
        <t>19</t>
      </is>
    </nc>
  </rcc>
  <rcc rId="5608" sId="1" quotePrefix="1">
    <oc r="A24">
      <v>5</v>
    </oc>
    <nc r="A24" t="inlineStr">
      <is>
        <t>20</t>
      </is>
    </nc>
  </rcc>
  <rcc rId="5609" sId="1" quotePrefix="1">
    <oc r="A25">
      <v>1</v>
    </oc>
    <nc r="A25" t="inlineStr">
      <is>
        <t>21</t>
      </is>
    </nc>
  </rcc>
  <rcc rId="5610" sId="1" quotePrefix="1">
    <oc r="A26">
      <v>2</v>
    </oc>
    <nc r="A26" t="inlineStr">
      <is>
        <t>22</t>
      </is>
    </nc>
  </rcc>
  <rcc rId="5611" sId="1" quotePrefix="1">
    <oc r="A27">
      <v>3</v>
    </oc>
    <nc r="A27" t="inlineStr">
      <is>
        <t>23</t>
      </is>
    </nc>
  </rcc>
  <rcc rId="5612" sId="1" quotePrefix="1">
    <oc r="A28">
      <v>4</v>
    </oc>
    <nc r="A28" t="inlineStr">
      <is>
        <t>24</t>
      </is>
    </nc>
  </rcc>
  <rcc rId="5613" sId="1" quotePrefix="1">
    <oc r="A29">
      <v>5</v>
    </oc>
    <nc r="A29" t="inlineStr">
      <is>
        <t>25</t>
      </is>
    </nc>
  </rcc>
  <rcc rId="5614" sId="1" quotePrefix="1">
    <oc r="A30">
      <v>1</v>
    </oc>
    <nc r="A30" t="inlineStr">
      <is>
        <t>26</t>
      </is>
    </nc>
  </rcc>
  <rcc rId="5615" sId="1" quotePrefix="1">
    <oc r="A31">
      <v>2</v>
    </oc>
    <nc r="A31" t="inlineStr">
      <is>
        <t>27</t>
      </is>
    </nc>
  </rcc>
  <rcc rId="5616" sId="1" quotePrefix="1">
    <oc r="A32">
      <v>3</v>
    </oc>
    <nc r="A32" t="inlineStr">
      <is>
        <t>28</t>
      </is>
    </nc>
  </rcc>
  <rcc rId="5617" sId="1" quotePrefix="1">
    <oc r="A33">
      <v>1</v>
    </oc>
    <nc r="A33" t="inlineStr">
      <is>
        <t>29</t>
      </is>
    </nc>
  </rcc>
  <rcc rId="5618" sId="1" quotePrefix="1">
    <oc r="A34">
      <v>2</v>
    </oc>
    <nc r="A34" t="inlineStr">
      <is>
        <t>30</t>
      </is>
    </nc>
  </rcc>
  <rcc rId="5619" sId="1" quotePrefix="1">
    <oc r="A35">
      <v>1</v>
    </oc>
    <nc r="A35" t="inlineStr">
      <is>
        <t>31</t>
      </is>
    </nc>
  </rcc>
  <rcc rId="5620" sId="1" quotePrefix="1">
    <oc r="A36">
      <v>2</v>
    </oc>
    <nc r="A36" t="inlineStr">
      <is>
        <t>32</t>
      </is>
    </nc>
  </rcc>
  <rcc rId="5621" sId="1" quotePrefix="1">
    <oc r="A37">
      <v>3</v>
    </oc>
    <nc r="A37" t="inlineStr">
      <is>
        <t>33</t>
      </is>
    </nc>
  </rcc>
  <rcc rId="5622" sId="1" quotePrefix="1">
    <oc r="A38">
      <v>4</v>
    </oc>
    <nc r="A38" t="inlineStr">
      <is>
        <t>34</t>
      </is>
    </nc>
  </rcc>
  <rcc rId="5623" sId="1" quotePrefix="1">
    <oc r="A39">
      <v>1</v>
    </oc>
    <nc r="A39" t="inlineStr">
      <is>
        <t>35</t>
      </is>
    </nc>
  </rcc>
  <rcc rId="5624" sId="1" quotePrefix="1">
    <oc r="A40">
      <v>2</v>
    </oc>
    <nc r="A40" t="inlineStr">
      <is>
        <t>36</t>
      </is>
    </nc>
  </rcc>
  <rcc rId="5625" sId="1" quotePrefix="1">
    <oc r="A41">
      <v>3</v>
    </oc>
    <nc r="A41" t="inlineStr">
      <is>
        <t>37</t>
      </is>
    </nc>
  </rcc>
  <rcc rId="5626" sId="1" quotePrefix="1">
    <oc r="A42">
      <v>4</v>
    </oc>
    <nc r="A42" t="inlineStr">
      <is>
        <t>38</t>
      </is>
    </nc>
  </rcc>
  <rcc rId="5627" sId="1" quotePrefix="1">
    <oc r="A43">
      <v>1</v>
    </oc>
    <nc r="A43" t="inlineStr">
      <is>
        <t>39</t>
      </is>
    </nc>
  </rcc>
  <rcc rId="5628" sId="1" quotePrefix="1">
    <oc r="A44">
      <v>2</v>
    </oc>
    <nc r="A44" t="inlineStr">
      <is>
        <t>40</t>
      </is>
    </nc>
  </rcc>
  <rcc rId="5629" sId="1" quotePrefix="1">
    <oc r="A45">
      <v>3</v>
    </oc>
    <nc r="A45" t="inlineStr">
      <is>
        <t>41</t>
      </is>
    </nc>
  </rcc>
  <rcc rId="5630" sId="1" quotePrefix="1">
    <oc r="A46">
      <v>4</v>
    </oc>
    <nc r="A46" t="inlineStr">
      <is>
        <t>42</t>
      </is>
    </nc>
  </rcc>
  <rcc rId="5631" sId="1" quotePrefix="1">
    <oc r="A47">
      <v>5</v>
    </oc>
    <nc r="A47" t="inlineStr">
      <is>
        <t>43</t>
      </is>
    </nc>
  </rcc>
  <rcc rId="5632" sId="1" quotePrefix="1">
    <oc r="A48">
      <v>6</v>
    </oc>
    <nc r="A48" t="inlineStr">
      <is>
        <t>44</t>
      </is>
    </nc>
  </rcc>
  <rcc rId="5633" sId="1" quotePrefix="1">
    <oc r="A49">
      <v>7</v>
    </oc>
    <nc r="A49" t="inlineStr">
      <is>
        <t>45</t>
      </is>
    </nc>
  </rcc>
  <rcc rId="5634" sId="1" quotePrefix="1">
    <oc r="A50">
      <v>1</v>
    </oc>
    <nc r="A50" t="inlineStr">
      <is>
        <t>46</t>
      </is>
    </nc>
  </rcc>
  <rcc rId="5635" sId="1" quotePrefix="1">
    <oc r="A51">
      <v>2</v>
    </oc>
    <nc r="A51" t="inlineStr">
      <is>
        <t>47</t>
      </is>
    </nc>
  </rcc>
  <rcc rId="5636" sId="1" quotePrefix="1">
    <oc r="A52">
      <v>3</v>
    </oc>
    <nc r="A52" t="inlineStr">
      <is>
        <t>48</t>
      </is>
    </nc>
  </rcc>
  <rcc rId="5637" sId="1" quotePrefix="1">
    <oc r="A53">
      <v>4</v>
    </oc>
    <nc r="A53" t="inlineStr">
      <is>
        <t>49</t>
      </is>
    </nc>
  </rcc>
  <rcc rId="5638" sId="1" quotePrefix="1">
    <oc r="A54">
      <v>5</v>
    </oc>
    <nc r="A54" t="inlineStr">
      <is>
        <t>50</t>
      </is>
    </nc>
  </rcc>
  <rcc rId="5639" sId="1" quotePrefix="1">
    <oc r="A55">
      <v>6</v>
    </oc>
    <nc r="A55" t="inlineStr">
      <is>
        <t>51</t>
      </is>
    </nc>
  </rcc>
  <rcc rId="5640" sId="1" quotePrefix="1">
    <oc r="A56">
      <v>7</v>
    </oc>
    <nc r="A56" t="inlineStr">
      <is>
        <t>52</t>
      </is>
    </nc>
  </rcc>
  <rcc rId="5641" sId="1" quotePrefix="1">
    <oc r="A57">
      <v>8</v>
    </oc>
    <nc r="A57" t="inlineStr">
      <is>
        <t>53</t>
      </is>
    </nc>
  </rcc>
  <rcc rId="5642" sId="1" quotePrefix="1">
    <oc r="A58">
      <v>9</v>
    </oc>
    <nc r="A58" t="inlineStr">
      <is>
        <t>54</t>
      </is>
    </nc>
  </rcc>
  <rcc rId="5643" sId="1" quotePrefix="1">
    <oc r="A59">
      <v>10</v>
    </oc>
    <nc r="A59" t="inlineStr">
      <is>
        <t>55</t>
      </is>
    </nc>
  </rcc>
  <rcc rId="5644" sId="1" quotePrefix="1">
    <oc r="A60">
      <v>11</v>
    </oc>
    <nc r="A60" t="inlineStr">
      <is>
        <t>56</t>
      </is>
    </nc>
  </rcc>
  <rcc rId="5645" sId="1" quotePrefix="1">
    <oc r="A61">
      <v>1</v>
    </oc>
    <nc r="A61" t="inlineStr">
      <is>
        <t>57</t>
      </is>
    </nc>
  </rcc>
  <rcc rId="5646" sId="1" quotePrefix="1">
    <oc r="A62">
      <v>2</v>
    </oc>
    <nc r="A62" t="inlineStr">
      <is>
        <t>58</t>
      </is>
    </nc>
  </rcc>
  <rcc rId="5647" sId="1" quotePrefix="1">
    <oc r="A63">
      <v>3</v>
    </oc>
    <nc r="A63" t="inlineStr">
      <is>
        <t>59</t>
      </is>
    </nc>
  </rcc>
  <rcc rId="5648" sId="1" quotePrefix="1">
    <oc r="A64">
      <v>4</v>
    </oc>
    <nc r="A64" t="inlineStr">
      <is>
        <t>60</t>
      </is>
    </nc>
  </rcc>
  <rcc rId="5649" sId="1" quotePrefix="1">
    <oc r="A65">
      <v>5</v>
    </oc>
    <nc r="A65" t="inlineStr">
      <is>
        <t>61</t>
      </is>
    </nc>
  </rcc>
  <rcc rId="5650" sId="1" quotePrefix="1">
    <oc r="A66">
      <v>6</v>
    </oc>
    <nc r="A66" t="inlineStr">
      <is>
        <t>62</t>
      </is>
    </nc>
  </rcc>
  <rcc rId="5651" sId="1" quotePrefix="1">
    <oc r="A67">
      <v>1</v>
    </oc>
    <nc r="A67" t="inlineStr">
      <is>
        <t>63</t>
      </is>
    </nc>
  </rcc>
  <rcc rId="5652" sId="1" quotePrefix="1">
    <oc r="A68">
      <v>2</v>
    </oc>
    <nc r="A68" t="inlineStr">
      <is>
        <t>64</t>
      </is>
    </nc>
  </rcc>
  <rcc rId="5653" sId="1" quotePrefix="1">
    <oc r="A69">
      <v>3</v>
    </oc>
    <nc r="A69" t="inlineStr">
      <is>
        <t>65</t>
      </is>
    </nc>
  </rcc>
  <rcc rId="5654" sId="1" quotePrefix="1">
    <oc r="A70">
      <v>4</v>
    </oc>
    <nc r="A70" t="inlineStr">
      <is>
        <t>66</t>
      </is>
    </nc>
  </rcc>
  <rcc rId="5655" sId="1" quotePrefix="1">
    <oc r="A71">
      <v>5</v>
    </oc>
    <nc r="A71" t="inlineStr">
      <is>
        <t>67</t>
      </is>
    </nc>
  </rcc>
  <rcc rId="5656" sId="1" quotePrefix="1">
    <oc r="A72">
      <v>6</v>
    </oc>
    <nc r="A72" t="inlineStr">
      <is>
        <t>68</t>
      </is>
    </nc>
  </rcc>
  <rcc rId="5657" sId="1" quotePrefix="1">
    <oc r="A73">
      <v>1</v>
    </oc>
    <nc r="A73" t="inlineStr">
      <is>
        <t>69</t>
      </is>
    </nc>
  </rcc>
  <rcc rId="5658" sId="1" quotePrefix="1">
    <oc r="A74">
      <v>2</v>
    </oc>
    <nc r="A74" t="inlineStr">
      <is>
        <t>70</t>
      </is>
    </nc>
  </rcc>
  <rcc rId="5659" sId="1" quotePrefix="1">
    <oc r="A75">
      <v>3</v>
    </oc>
    <nc r="A75" t="inlineStr">
      <is>
        <t>71</t>
      </is>
    </nc>
  </rcc>
  <rcc rId="5660" sId="1" quotePrefix="1">
    <oc r="A76">
      <v>1</v>
    </oc>
    <nc r="A76" t="inlineStr">
      <is>
        <t>72</t>
      </is>
    </nc>
  </rcc>
  <rcc rId="5661" sId="1" quotePrefix="1">
    <oc r="A77">
      <v>2</v>
    </oc>
    <nc r="A77" t="inlineStr">
      <is>
        <t>73</t>
      </is>
    </nc>
  </rcc>
  <rcc rId="5662" sId="1" quotePrefix="1">
    <oc r="A78">
      <v>3</v>
    </oc>
    <nc r="A78" t="inlineStr">
      <is>
        <t>74</t>
      </is>
    </nc>
  </rcc>
  <rcc rId="5663" sId="1" quotePrefix="1">
    <oc r="A79">
      <v>4</v>
    </oc>
    <nc r="A79" t="inlineStr">
      <is>
        <t>75</t>
      </is>
    </nc>
  </rcc>
  <rcc rId="5664" sId="1" quotePrefix="1">
    <oc r="A80">
      <v>5</v>
    </oc>
    <nc r="A80" t="inlineStr">
      <is>
        <t>76</t>
      </is>
    </nc>
  </rcc>
  <rcc rId="5665" sId="1" quotePrefix="1">
    <oc r="A81">
      <v>6</v>
    </oc>
    <nc r="A81" t="inlineStr">
      <is>
        <t>77</t>
      </is>
    </nc>
  </rcc>
  <rcc rId="5666" sId="1" quotePrefix="1">
    <oc r="A82">
      <v>7</v>
    </oc>
    <nc r="A82" t="inlineStr">
      <is>
        <t>78</t>
      </is>
    </nc>
  </rcc>
  <rcc rId="5667" sId="1" quotePrefix="1">
    <oc r="A83">
      <v>1</v>
    </oc>
    <nc r="A83" t="inlineStr">
      <is>
        <t>79</t>
      </is>
    </nc>
  </rcc>
  <rcc rId="5668" sId="1" quotePrefix="1">
    <oc r="A84">
      <v>2</v>
    </oc>
    <nc r="A84" t="inlineStr">
      <is>
        <t>80</t>
      </is>
    </nc>
  </rcc>
  <rcc rId="5669" sId="1" quotePrefix="1">
    <oc r="A85">
      <v>3</v>
    </oc>
    <nc r="A85" t="inlineStr">
      <is>
        <t>81</t>
      </is>
    </nc>
  </rcc>
  <rcc rId="5670" sId="1" quotePrefix="1">
    <oc r="A86">
      <v>4</v>
    </oc>
    <nc r="A86" t="inlineStr">
      <is>
        <t>82</t>
      </is>
    </nc>
  </rcc>
  <rcc rId="5671" sId="1" quotePrefix="1">
    <oc r="A87">
      <v>5</v>
    </oc>
    <nc r="A87" t="inlineStr">
      <is>
        <t>83</t>
      </is>
    </nc>
  </rcc>
  <rcc rId="5672" sId="1" quotePrefix="1">
    <oc r="A88">
      <v>1</v>
    </oc>
    <nc r="A88" t="inlineStr">
      <is>
        <t>84</t>
      </is>
    </nc>
  </rcc>
  <rcc rId="5673" sId="1" quotePrefix="1">
    <oc r="A89">
      <v>1</v>
    </oc>
    <nc r="A89" t="inlineStr">
      <is>
        <t>85</t>
      </is>
    </nc>
  </rcc>
  <rcc rId="5674" sId="1" quotePrefix="1">
    <oc r="A90">
      <v>2</v>
    </oc>
    <nc r="A90" t="inlineStr">
      <is>
        <t>86</t>
      </is>
    </nc>
  </rcc>
  <rcc rId="5675" sId="1" quotePrefix="1">
    <oc r="A91">
      <v>1</v>
    </oc>
    <nc r="A91" t="inlineStr">
      <is>
        <t>87</t>
      </is>
    </nc>
  </rcc>
  <rcc rId="5676" sId="1" quotePrefix="1">
    <oc r="A92">
      <v>2</v>
    </oc>
    <nc r="A92" t="inlineStr">
      <is>
        <t>88</t>
      </is>
    </nc>
  </rcc>
  <rcc rId="5677" sId="1" quotePrefix="1">
    <oc r="A93">
      <v>3</v>
    </oc>
    <nc r="A93" t="inlineStr">
      <is>
        <t>89</t>
      </is>
    </nc>
  </rcc>
  <rcc rId="5678" sId="1" quotePrefix="1">
    <oc r="A94">
      <v>3</v>
    </oc>
    <nc r="A94" t="inlineStr">
      <is>
        <t>90</t>
      </is>
    </nc>
  </rcc>
  <rcc rId="5679" sId="1" quotePrefix="1">
    <oc r="A95">
      <v>4</v>
    </oc>
    <nc r="A95" t="inlineStr">
      <is>
        <t>91</t>
      </is>
    </nc>
  </rcc>
  <rcc rId="5680" sId="1" quotePrefix="1">
    <oc r="A96">
      <v>5</v>
    </oc>
    <nc r="A96" t="inlineStr">
      <is>
        <t>92</t>
      </is>
    </nc>
  </rcc>
  <rcc rId="5681" sId="1" quotePrefix="1">
    <oc r="A97">
      <v>6</v>
    </oc>
    <nc r="A97" t="inlineStr">
      <is>
        <t>93</t>
      </is>
    </nc>
  </rcc>
  <rcc rId="5682" sId="1" quotePrefix="1">
    <oc r="A98">
      <v>7</v>
    </oc>
    <nc r="A98" t="inlineStr">
      <is>
        <t>94</t>
      </is>
    </nc>
  </rcc>
  <rcc rId="5683" sId="1" quotePrefix="1">
    <oc r="A99">
      <v>8</v>
    </oc>
    <nc r="A99" t="inlineStr">
      <is>
        <t>95</t>
      </is>
    </nc>
  </rcc>
  <rcc rId="5684" sId="1" quotePrefix="1">
    <oc r="A100">
      <v>1</v>
    </oc>
    <nc r="A100" t="inlineStr">
      <is>
        <t>96</t>
      </is>
    </nc>
  </rcc>
  <rcc rId="5685" sId="1" quotePrefix="1">
    <oc r="A101">
      <v>2</v>
    </oc>
    <nc r="A101" t="inlineStr">
      <is>
        <t>97</t>
      </is>
    </nc>
  </rcc>
  <rcc rId="5686" sId="1" quotePrefix="1">
    <oc r="A102">
      <v>3</v>
    </oc>
    <nc r="A102" t="inlineStr">
      <is>
        <t>98</t>
      </is>
    </nc>
  </rcc>
  <rcc rId="5687" sId="1" quotePrefix="1">
    <oc r="A103">
      <v>4</v>
    </oc>
    <nc r="A103" t="inlineStr">
      <is>
        <t>99</t>
      </is>
    </nc>
  </rcc>
  <rcc rId="5688" sId="1" quotePrefix="1">
    <oc r="A104">
      <v>5</v>
    </oc>
    <nc r="A104" t="inlineStr">
      <is>
        <t>100</t>
      </is>
    </nc>
  </rcc>
  <rcc rId="5689" sId="1" quotePrefix="1">
    <oc r="A105">
      <v>1</v>
    </oc>
    <nc r="A105" t="inlineStr">
      <is>
        <t>101</t>
      </is>
    </nc>
  </rcc>
  <rcc rId="5690" sId="1" quotePrefix="1">
    <oc r="A106">
      <v>2</v>
    </oc>
    <nc r="A106" t="inlineStr">
      <is>
        <t>102</t>
      </is>
    </nc>
  </rcc>
  <rcc rId="5691" sId="1" quotePrefix="1">
    <oc r="A107">
      <v>3</v>
    </oc>
    <nc r="A107" t="inlineStr">
      <is>
        <t>103</t>
      </is>
    </nc>
  </rcc>
  <rcc rId="5692" sId="1" quotePrefix="1">
    <oc r="A108">
      <v>4</v>
    </oc>
    <nc r="A108" t="inlineStr">
      <is>
        <t>104</t>
      </is>
    </nc>
  </rcc>
  <rcc rId="5693" sId="1" quotePrefix="1">
    <oc r="A109">
      <v>1</v>
    </oc>
    <nc r="A109" t="inlineStr">
      <is>
        <t>105</t>
      </is>
    </nc>
  </rcc>
  <rcc rId="5694" sId="1" quotePrefix="1">
    <oc r="A110">
      <v>2</v>
    </oc>
    <nc r="A110" t="inlineStr">
      <is>
        <t>106</t>
      </is>
    </nc>
  </rcc>
  <rcc rId="5695" sId="1" quotePrefix="1">
    <oc r="A111">
      <v>3</v>
    </oc>
    <nc r="A111" t="inlineStr">
      <is>
        <t>107</t>
      </is>
    </nc>
  </rcc>
  <rcc rId="5696" sId="1" quotePrefix="1">
    <oc r="A112">
      <v>4</v>
    </oc>
    <nc r="A112" t="inlineStr">
      <is>
        <t>108</t>
      </is>
    </nc>
  </rcc>
  <rcc rId="5697" sId="1" quotePrefix="1">
    <oc r="A113">
      <v>5</v>
    </oc>
    <nc r="A113" t="inlineStr">
      <is>
        <t>109</t>
      </is>
    </nc>
  </rcc>
  <rcc rId="5698" sId="1" quotePrefix="1">
    <oc r="A114">
      <v>6</v>
    </oc>
    <nc r="A114" t="inlineStr">
      <is>
        <t>110</t>
      </is>
    </nc>
  </rcc>
  <rcc rId="5699" sId="1" quotePrefix="1">
    <oc r="A115">
      <v>7</v>
    </oc>
    <nc r="A115" t="inlineStr">
      <is>
        <t>111</t>
      </is>
    </nc>
  </rcc>
  <rcc rId="5700" sId="1" quotePrefix="1">
    <oc r="A116">
      <v>1</v>
    </oc>
    <nc r="A116" t="inlineStr">
      <is>
        <t>112</t>
      </is>
    </nc>
  </rcc>
  <rcc rId="5701" sId="1" quotePrefix="1">
    <oc r="A117">
      <v>2</v>
    </oc>
    <nc r="A117" t="inlineStr">
      <is>
        <t>113</t>
      </is>
    </nc>
  </rcc>
  <rcc rId="5702" sId="1" quotePrefix="1">
    <oc r="A118">
      <v>3</v>
    </oc>
    <nc r="A118" t="inlineStr">
      <is>
        <t>114</t>
      </is>
    </nc>
  </rcc>
  <rcc rId="5703" sId="1" quotePrefix="1">
    <oc r="A119">
      <v>4</v>
    </oc>
    <nc r="A119" t="inlineStr">
      <is>
        <t>115</t>
      </is>
    </nc>
  </rcc>
  <rcc rId="5704" sId="1" quotePrefix="1">
    <oc r="A120">
      <v>1</v>
    </oc>
    <nc r="A120" t="inlineStr">
      <is>
        <t>116</t>
      </is>
    </nc>
  </rcc>
  <rcc rId="5705" sId="1" quotePrefix="1">
    <oc r="A121">
      <v>2</v>
    </oc>
    <nc r="A121" t="inlineStr">
      <is>
        <t>117</t>
      </is>
    </nc>
  </rcc>
  <rcc rId="5706" sId="1" quotePrefix="1">
    <oc r="A122">
      <v>3</v>
    </oc>
    <nc r="A122" t="inlineStr">
      <is>
        <t>118</t>
      </is>
    </nc>
  </rcc>
  <rcc rId="5707" sId="1" quotePrefix="1">
    <oc r="A123">
      <v>4</v>
    </oc>
    <nc r="A123" t="inlineStr">
      <is>
        <t>119</t>
      </is>
    </nc>
  </rcc>
  <rcc rId="5708" sId="1" quotePrefix="1">
    <oc r="A124">
      <v>5</v>
    </oc>
    <nc r="A124" t="inlineStr">
      <is>
        <t>120</t>
      </is>
    </nc>
  </rcc>
  <rcc rId="5709" sId="1" quotePrefix="1">
    <oc r="A125">
      <v>6</v>
    </oc>
    <nc r="A125" t="inlineStr">
      <is>
        <t>121</t>
      </is>
    </nc>
  </rcc>
  <rcc rId="5710" sId="1" quotePrefix="1">
    <oc r="A126">
      <v>7</v>
    </oc>
    <nc r="A126" t="inlineStr">
      <is>
        <t>122</t>
      </is>
    </nc>
  </rcc>
  <rcc rId="5711" sId="1" quotePrefix="1">
    <oc r="A127">
      <v>8</v>
    </oc>
    <nc r="A127" t="inlineStr">
      <is>
        <t>123</t>
      </is>
    </nc>
  </rcc>
  <rcc rId="5712" sId="1" quotePrefix="1">
    <oc r="A128">
      <v>1</v>
    </oc>
    <nc r="A128" t="inlineStr">
      <is>
        <t>124</t>
      </is>
    </nc>
  </rcc>
  <rcc rId="5713" sId="1" quotePrefix="1">
    <oc r="A129">
      <v>2</v>
    </oc>
    <nc r="A129" t="inlineStr">
      <is>
        <t>125</t>
      </is>
    </nc>
  </rcc>
  <rcc rId="5714" sId="1" quotePrefix="1">
    <oc r="A130">
      <v>3</v>
    </oc>
    <nc r="A130" t="inlineStr">
      <is>
        <t>126</t>
      </is>
    </nc>
  </rcc>
  <rcc rId="5715" sId="1" quotePrefix="1">
    <oc r="A131">
      <v>4</v>
    </oc>
    <nc r="A131" t="inlineStr">
      <is>
        <t>127</t>
      </is>
    </nc>
  </rcc>
  <rcc rId="5716" sId="1" quotePrefix="1">
    <oc r="A132">
      <v>5</v>
    </oc>
    <nc r="A132" t="inlineStr">
      <is>
        <t>128</t>
      </is>
    </nc>
  </rcc>
  <rcc rId="5717" sId="1" quotePrefix="1">
    <oc r="A133">
      <v>6</v>
    </oc>
    <nc r="A133" t="inlineStr">
      <is>
        <t>129</t>
      </is>
    </nc>
  </rcc>
  <rcc rId="5718" sId="1" quotePrefix="1">
    <oc r="A134">
      <v>1</v>
    </oc>
    <nc r="A134" t="inlineStr">
      <is>
        <t>130</t>
      </is>
    </nc>
  </rcc>
  <rcc rId="5719" sId="1" quotePrefix="1">
    <oc r="A135">
      <v>1</v>
    </oc>
    <nc r="A135" t="inlineStr">
      <is>
        <t>131</t>
      </is>
    </nc>
  </rcc>
  <rcc rId="5720" sId="1" quotePrefix="1">
    <oc r="A136">
      <v>2</v>
    </oc>
    <nc r="A136" t="inlineStr">
      <is>
        <t>132</t>
      </is>
    </nc>
  </rcc>
  <rcc rId="5721" sId="1" quotePrefix="1">
    <oc r="A137">
      <v>3</v>
    </oc>
    <nc r="A137" t="inlineStr">
      <is>
        <t>133</t>
      </is>
    </nc>
  </rcc>
  <rcc rId="5722" sId="1" quotePrefix="1">
    <oc r="A138">
      <v>1</v>
    </oc>
    <nc r="A138" t="inlineStr">
      <is>
        <t>134</t>
      </is>
    </nc>
  </rcc>
  <rcc rId="5723" sId="1" quotePrefix="1">
    <oc r="A139">
      <v>2</v>
    </oc>
    <nc r="A139" t="inlineStr">
      <is>
        <t>135</t>
      </is>
    </nc>
  </rcc>
  <rcc rId="5724" sId="1" quotePrefix="1">
    <oc r="A140">
      <v>1</v>
    </oc>
    <nc r="A140" t="inlineStr">
      <is>
        <t>136</t>
      </is>
    </nc>
  </rcc>
  <rcc rId="5725" sId="1" quotePrefix="1">
    <oc r="A141">
      <v>2</v>
    </oc>
    <nc r="A141" t="inlineStr">
      <is>
        <t>137</t>
      </is>
    </nc>
  </rcc>
  <rcc rId="5726" sId="1" quotePrefix="1">
    <oc r="A142">
      <v>3</v>
    </oc>
    <nc r="A142" t="inlineStr">
      <is>
        <t>138</t>
      </is>
    </nc>
  </rcc>
  <rcc rId="5727" sId="1" quotePrefix="1">
    <oc r="A143">
      <v>1</v>
    </oc>
    <nc r="A143" t="inlineStr">
      <is>
        <t>139</t>
      </is>
    </nc>
  </rcc>
  <rcc rId="5728" sId="1" quotePrefix="1">
    <oc r="A144">
      <v>2</v>
    </oc>
    <nc r="A144" t="inlineStr">
      <is>
        <t>140</t>
      </is>
    </nc>
  </rcc>
  <rcc rId="5729" sId="1" quotePrefix="1">
    <oc r="A145">
      <v>3</v>
    </oc>
    <nc r="A145" t="inlineStr">
      <is>
        <t>141</t>
      </is>
    </nc>
  </rcc>
  <rcc rId="5730" sId="1" quotePrefix="1">
    <oc r="A146">
      <v>4</v>
    </oc>
    <nc r="A146" t="inlineStr">
      <is>
        <t>142</t>
      </is>
    </nc>
  </rcc>
  <rcc rId="5731" sId="1" quotePrefix="1">
    <oc r="A147">
      <v>5</v>
    </oc>
    <nc r="A147" t="inlineStr">
      <is>
        <t>143</t>
      </is>
    </nc>
  </rcc>
  <rcc rId="5732" sId="1" quotePrefix="1">
    <oc r="A148">
      <v>1</v>
    </oc>
    <nc r="A148" t="inlineStr">
      <is>
        <t>144</t>
      </is>
    </nc>
  </rcc>
  <rcc rId="5733" sId="1" quotePrefix="1">
    <oc r="A149">
      <v>2</v>
    </oc>
    <nc r="A149" t="inlineStr">
      <is>
        <t>145</t>
      </is>
    </nc>
  </rcc>
  <rcc rId="5734" sId="1" quotePrefix="1">
    <oc r="A150">
      <v>3</v>
    </oc>
    <nc r="A150" t="inlineStr">
      <is>
        <t>146</t>
      </is>
    </nc>
  </rcc>
  <rcc rId="5735" sId="1" quotePrefix="1">
    <oc r="A151">
      <v>1</v>
    </oc>
    <nc r="A151" t="inlineStr">
      <is>
        <t>147</t>
      </is>
    </nc>
  </rcc>
  <rcc rId="5736" sId="1" quotePrefix="1">
    <oc r="A152">
      <v>2</v>
    </oc>
    <nc r="A152" t="inlineStr">
      <is>
        <t>148</t>
      </is>
    </nc>
  </rcc>
  <rcc rId="5737" sId="1" quotePrefix="1">
    <oc r="A153">
      <v>3</v>
    </oc>
    <nc r="A153" t="inlineStr">
      <is>
        <t>149</t>
      </is>
    </nc>
  </rcc>
  <rcc rId="5738" sId="1" quotePrefix="1">
    <oc r="A154">
      <v>1</v>
    </oc>
    <nc r="A154" t="inlineStr">
      <is>
        <t>150</t>
      </is>
    </nc>
  </rcc>
  <rcc rId="5739" sId="1" quotePrefix="1">
    <oc r="A155">
      <v>2</v>
    </oc>
    <nc r="A155" t="inlineStr">
      <is>
        <t>151</t>
      </is>
    </nc>
  </rcc>
  <rcc rId="5740" sId="1" quotePrefix="1">
    <oc r="A156">
      <v>3</v>
    </oc>
    <nc r="A156" t="inlineStr">
      <is>
        <t>152</t>
      </is>
    </nc>
  </rcc>
  <rcc rId="5741" sId="1" quotePrefix="1">
    <oc r="A157">
      <v>4</v>
    </oc>
    <nc r="A157" t="inlineStr">
      <is>
        <t>153</t>
      </is>
    </nc>
  </rcc>
  <rcc rId="5742" sId="1" quotePrefix="1">
    <oc r="A158">
      <v>5</v>
    </oc>
    <nc r="A158" t="inlineStr">
      <is>
        <t>154</t>
      </is>
    </nc>
  </rcc>
  <rcc rId="5743" sId="1" quotePrefix="1">
    <oc r="A159">
      <v>6</v>
    </oc>
    <nc r="A159" t="inlineStr">
      <is>
        <t>155</t>
      </is>
    </nc>
  </rcc>
  <rcc rId="5744" sId="1" quotePrefix="1">
    <oc r="A160">
      <v>1</v>
    </oc>
    <nc r="A160" t="inlineStr">
      <is>
        <t>156</t>
      </is>
    </nc>
  </rcc>
  <rcc rId="5745" sId="1" quotePrefix="1">
    <oc r="A161">
      <v>2</v>
    </oc>
    <nc r="A161" t="inlineStr">
      <is>
        <t>157</t>
      </is>
    </nc>
  </rcc>
  <rcc rId="5746" sId="1" quotePrefix="1">
    <oc r="A162">
      <v>3</v>
    </oc>
    <nc r="A162" t="inlineStr">
      <is>
        <t>158</t>
      </is>
    </nc>
  </rcc>
  <rcc rId="5747" sId="1" quotePrefix="1">
    <oc r="A163">
      <v>4</v>
    </oc>
    <nc r="A163" t="inlineStr">
      <is>
        <t>159</t>
      </is>
    </nc>
  </rcc>
  <rcc rId="5748" sId="1" quotePrefix="1">
    <oc r="A164">
      <v>5</v>
    </oc>
    <nc r="A164" t="inlineStr">
      <is>
        <t>160</t>
      </is>
    </nc>
  </rcc>
  <rcc rId="5749" sId="1" quotePrefix="1">
    <oc r="A165">
      <v>6</v>
    </oc>
    <nc r="A165" t="inlineStr">
      <is>
        <t>161</t>
      </is>
    </nc>
  </rcc>
  <rcc rId="5750" sId="1" quotePrefix="1">
    <oc r="A166">
      <v>1</v>
    </oc>
    <nc r="A166" t="inlineStr">
      <is>
        <t>162</t>
      </is>
    </nc>
  </rcc>
  <rcc rId="5751" sId="1" quotePrefix="1">
    <oc r="A167">
      <v>2</v>
    </oc>
    <nc r="A167" t="inlineStr">
      <is>
        <t>163</t>
      </is>
    </nc>
  </rcc>
  <rcc rId="5752" sId="1" quotePrefix="1">
    <oc r="A168">
      <v>1</v>
    </oc>
    <nc r="A168" t="inlineStr">
      <is>
        <t>164</t>
      </is>
    </nc>
  </rcc>
  <rcc rId="5753" sId="1" quotePrefix="1">
    <oc r="A169">
      <v>2</v>
    </oc>
    <nc r="A169" t="inlineStr">
      <is>
        <t>165</t>
      </is>
    </nc>
  </rcc>
  <rcc rId="5754" sId="1" quotePrefix="1">
    <oc r="A170">
      <v>3</v>
    </oc>
    <nc r="A170" t="inlineStr">
      <is>
        <t>166</t>
      </is>
    </nc>
  </rcc>
  <rcc rId="5755" sId="1" quotePrefix="1">
    <oc r="A171">
      <v>4</v>
    </oc>
    <nc r="A171" t="inlineStr">
      <is>
        <t>167</t>
      </is>
    </nc>
  </rcc>
  <rcc rId="5756" sId="1" quotePrefix="1">
    <oc r="A172">
      <v>5</v>
    </oc>
    <nc r="A172" t="inlineStr">
      <is>
        <t>168</t>
      </is>
    </nc>
  </rcc>
  <rcc rId="5757" sId="1" quotePrefix="1">
    <oc r="A173">
      <v>1</v>
    </oc>
    <nc r="A173" t="inlineStr">
      <is>
        <t>169</t>
      </is>
    </nc>
  </rcc>
  <rcc rId="5758" sId="1" quotePrefix="1">
    <oc r="A174">
      <v>2</v>
    </oc>
    <nc r="A174" t="inlineStr">
      <is>
        <t>170</t>
      </is>
    </nc>
  </rcc>
  <rcc rId="5759" sId="1" quotePrefix="1">
    <oc r="A175">
      <v>1</v>
    </oc>
    <nc r="A175" t="inlineStr">
      <is>
        <t>171</t>
      </is>
    </nc>
  </rcc>
  <rcc rId="5760" sId="1" quotePrefix="1">
    <oc r="A176">
      <v>2</v>
    </oc>
    <nc r="A176" t="inlineStr">
      <is>
        <t>172</t>
      </is>
    </nc>
  </rcc>
  <rcc rId="5761" sId="1" quotePrefix="1">
    <oc r="A177">
      <v>3</v>
    </oc>
    <nc r="A177" t="inlineStr">
      <is>
        <t>173</t>
      </is>
    </nc>
  </rcc>
  <rcc rId="5762" sId="1" quotePrefix="1">
    <oc r="A178">
      <v>4</v>
    </oc>
    <nc r="A178" t="inlineStr">
      <is>
        <t>174</t>
      </is>
    </nc>
  </rcc>
  <rcc rId="5763" sId="1" quotePrefix="1">
    <oc r="A179">
      <v>1</v>
    </oc>
    <nc r="A179" t="inlineStr">
      <is>
        <t>175</t>
      </is>
    </nc>
  </rcc>
  <rcc rId="5764" sId="1" quotePrefix="1">
    <oc r="A180">
      <v>2</v>
    </oc>
    <nc r="A180" t="inlineStr">
      <is>
        <t>176</t>
      </is>
    </nc>
  </rcc>
  <rcc rId="5765" sId="1" quotePrefix="1">
    <oc r="A181">
      <v>3</v>
    </oc>
    <nc r="A181" t="inlineStr">
      <is>
        <t>177</t>
      </is>
    </nc>
  </rcc>
  <rcc rId="5766" sId="1" quotePrefix="1">
    <oc r="A182">
      <v>4</v>
    </oc>
    <nc r="A182" t="inlineStr">
      <is>
        <t>178</t>
      </is>
    </nc>
  </rcc>
  <rcc rId="5767" sId="1" quotePrefix="1">
    <oc r="A183">
      <v>1</v>
    </oc>
    <nc r="A183" t="inlineStr">
      <is>
        <t>179</t>
      </is>
    </nc>
  </rcc>
  <rcc rId="5768" sId="1" quotePrefix="1">
    <oc r="A184">
      <v>2</v>
    </oc>
    <nc r="A184" t="inlineStr">
      <is>
        <t>180</t>
      </is>
    </nc>
  </rcc>
  <rcc rId="5769" sId="1" quotePrefix="1">
    <oc r="A185">
      <v>3</v>
    </oc>
    <nc r="A185" t="inlineStr">
      <is>
        <t>181</t>
      </is>
    </nc>
  </rcc>
  <rcc rId="5770" sId="1" quotePrefix="1">
    <oc r="A186">
      <v>1</v>
    </oc>
    <nc r="A186" t="inlineStr">
      <is>
        <t>182</t>
      </is>
    </nc>
  </rcc>
  <rcc rId="5771" sId="1" quotePrefix="1">
    <oc r="A187">
      <v>2</v>
    </oc>
    <nc r="A187" t="inlineStr">
      <is>
        <t>183</t>
      </is>
    </nc>
  </rcc>
  <rcc rId="5772" sId="1" quotePrefix="1">
    <oc r="A188">
      <v>3</v>
    </oc>
    <nc r="A188" t="inlineStr">
      <is>
        <t>184</t>
      </is>
    </nc>
  </rcc>
  <rcc rId="5773" sId="1" quotePrefix="1">
    <oc r="A189">
      <v>4</v>
    </oc>
    <nc r="A189" t="inlineStr">
      <is>
        <t>185</t>
      </is>
    </nc>
  </rcc>
  <rcc rId="5774" sId="1" quotePrefix="1">
    <oc r="A190">
      <v>1</v>
    </oc>
    <nc r="A190" t="inlineStr">
      <is>
        <t>186</t>
      </is>
    </nc>
  </rcc>
  <rcc rId="5775" sId="1" quotePrefix="1">
    <oc r="A191">
      <v>2</v>
    </oc>
    <nc r="A191" t="inlineStr">
      <is>
        <t>187</t>
      </is>
    </nc>
  </rcc>
  <rcc rId="5776" sId="1" quotePrefix="1">
    <oc r="A192">
      <v>3</v>
    </oc>
    <nc r="A192" t="inlineStr">
      <is>
        <t>188</t>
      </is>
    </nc>
  </rcc>
  <rcc rId="5777" sId="1" quotePrefix="1">
    <oc r="A193">
      <v>4</v>
    </oc>
    <nc r="A193" t="inlineStr">
      <is>
        <t>189</t>
      </is>
    </nc>
  </rcc>
  <rcc rId="5778" sId="1" quotePrefix="1">
    <oc r="A194">
      <v>5</v>
    </oc>
    <nc r="A194" t="inlineStr">
      <is>
        <t>190</t>
      </is>
    </nc>
  </rcc>
  <rcc rId="5779" sId="1" quotePrefix="1">
    <oc r="A195">
      <v>6</v>
    </oc>
    <nc r="A195" t="inlineStr">
      <is>
        <t>191</t>
      </is>
    </nc>
  </rcc>
  <rcc rId="5780" sId="1" quotePrefix="1">
    <oc r="A196">
      <v>7</v>
    </oc>
    <nc r="A196" t="inlineStr">
      <is>
        <t>192</t>
      </is>
    </nc>
  </rcc>
  <rcc rId="5781" sId="1" quotePrefix="1">
    <oc r="A197">
      <v>8</v>
    </oc>
    <nc r="A197" t="inlineStr">
      <is>
        <t>193</t>
      </is>
    </nc>
  </rcc>
  <rcc rId="5782" sId="1" quotePrefix="1">
    <oc r="A198">
      <v>1</v>
    </oc>
    <nc r="A198" t="inlineStr">
      <is>
        <t>194</t>
      </is>
    </nc>
  </rcc>
  <rcc rId="5783" sId="1" quotePrefix="1">
    <oc r="A199">
      <v>2</v>
    </oc>
    <nc r="A199" t="inlineStr">
      <is>
        <t>195</t>
      </is>
    </nc>
  </rcc>
  <rcc rId="5784" sId="1" quotePrefix="1">
    <oc r="A200">
      <v>1</v>
    </oc>
    <nc r="A200" t="inlineStr">
      <is>
        <t>196</t>
      </is>
    </nc>
  </rcc>
  <rcc rId="5785" sId="1" quotePrefix="1">
    <oc r="A201">
      <v>2</v>
    </oc>
    <nc r="A201" t="inlineStr">
      <is>
        <t>197</t>
      </is>
    </nc>
  </rcc>
  <rcc rId="5786" sId="1" quotePrefix="1">
    <oc r="A202">
      <v>3</v>
    </oc>
    <nc r="A202" t="inlineStr">
      <is>
        <t>198</t>
      </is>
    </nc>
  </rcc>
  <rcc rId="5787" sId="1" quotePrefix="1">
    <oc r="A203">
      <v>4</v>
    </oc>
    <nc r="A203" t="inlineStr">
      <is>
        <t>199</t>
      </is>
    </nc>
  </rcc>
  <rcc rId="5788" sId="1" quotePrefix="1">
    <oc r="A204">
      <v>5</v>
    </oc>
    <nc r="A204" t="inlineStr">
      <is>
        <t>200</t>
      </is>
    </nc>
  </rcc>
  <rcc rId="5789" sId="1" quotePrefix="1">
    <oc r="A205">
      <v>6</v>
    </oc>
    <nc r="A205" t="inlineStr">
      <is>
        <t>201</t>
      </is>
    </nc>
  </rcc>
  <rcc rId="5790" sId="1" quotePrefix="1">
    <oc r="A206">
      <v>7</v>
    </oc>
    <nc r="A206" t="inlineStr">
      <is>
        <t>202</t>
      </is>
    </nc>
  </rcc>
  <rcc rId="5791" sId="1" quotePrefix="1">
    <oc r="A207">
      <v>8</v>
    </oc>
    <nc r="A207" t="inlineStr">
      <is>
        <t>203</t>
      </is>
    </nc>
  </rcc>
  <rcc rId="5792" sId="1" quotePrefix="1">
    <oc r="A208">
      <v>9</v>
    </oc>
    <nc r="A208" t="inlineStr">
      <is>
        <t>204</t>
      </is>
    </nc>
  </rcc>
  <rcc rId="5793" sId="1" quotePrefix="1">
    <oc r="A209">
      <v>1</v>
    </oc>
    <nc r="A209" t="inlineStr">
      <is>
        <t>205</t>
      </is>
    </nc>
  </rcc>
  <rcc rId="5794" sId="1" quotePrefix="1">
    <oc r="A210">
      <v>2</v>
    </oc>
    <nc r="A210" t="inlineStr">
      <is>
        <t>206</t>
      </is>
    </nc>
  </rcc>
  <rcc rId="5795" sId="1" quotePrefix="1">
    <oc r="A211">
      <v>3</v>
    </oc>
    <nc r="A211" t="inlineStr">
      <is>
        <t>207</t>
      </is>
    </nc>
  </rcc>
  <rcc rId="5796" sId="1" quotePrefix="1">
    <oc r="A212">
      <v>4</v>
    </oc>
    <nc r="A212" t="inlineStr">
      <is>
        <t>208</t>
      </is>
    </nc>
  </rcc>
  <rcc rId="5797" sId="1" quotePrefix="1">
    <oc r="A213">
      <v>5</v>
    </oc>
    <nc r="A213" t="inlineStr">
      <is>
        <t>209</t>
      </is>
    </nc>
  </rcc>
  <rcc rId="5798" sId="1" quotePrefix="1">
    <oc r="A214">
      <v>6</v>
    </oc>
    <nc r="A214" t="inlineStr">
      <is>
        <t>210</t>
      </is>
    </nc>
  </rcc>
  <rcc rId="5799" sId="1" quotePrefix="1">
    <oc r="A215">
      <v>7</v>
    </oc>
    <nc r="A215" t="inlineStr">
      <is>
        <t>211</t>
      </is>
    </nc>
  </rcc>
  <rcc rId="5800" sId="1" quotePrefix="1">
    <oc r="A216">
      <v>8</v>
    </oc>
    <nc r="A216" t="inlineStr">
      <is>
        <t>212</t>
      </is>
    </nc>
  </rcc>
  <rcc rId="5801" sId="1" quotePrefix="1">
    <oc r="A217">
      <v>9</v>
    </oc>
    <nc r="A217" t="inlineStr">
      <is>
        <t>213</t>
      </is>
    </nc>
  </rcc>
  <rcc rId="5802" sId="1" quotePrefix="1">
    <oc r="A218">
      <v>10</v>
    </oc>
    <nc r="A218" t="inlineStr">
      <is>
        <t>214</t>
      </is>
    </nc>
  </rcc>
  <rcc rId="5803" sId="1" quotePrefix="1">
    <oc r="A219">
      <v>11</v>
    </oc>
    <nc r="A219" t="inlineStr">
      <is>
        <t>215</t>
      </is>
    </nc>
  </rcc>
  <rcc rId="5804" sId="1" quotePrefix="1">
    <oc r="A220">
      <v>12</v>
    </oc>
    <nc r="A220" t="inlineStr">
      <is>
        <t>216</t>
      </is>
    </nc>
  </rcc>
  <rcc rId="5805" sId="1" quotePrefix="1">
    <oc r="A221">
      <v>13</v>
    </oc>
    <nc r="A221" t="inlineStr">
      <is>
        <t>217</t>
      </is>
    </nc>
  </rcc>
  <rcc rId="5806" sId="1" quotePrefix="1">
    <oc r="A222">
      <v>14</v>
    </oc>
    <nc r="A222" t="inlineStr">
      <is>
        <t>218</t>
      </is>
    </nc>
  </rcc>
  <rcc rId="5807" sId="1" quotePrefix="1">
    <oc r="A223">
      <v>15</v>
    </oc>
    <nc r="A223" t="inlineStr">
      <is>
        <t>219</t>
      </is>
    </nc>
  </rcc>
  <rcc rId="5808" sId="1" quotePrefix="1">
    <oc r="A224">
      <v>16</v>
    </oc>
    <nc r="A224" t="inlineStr">
      <is>
        <t>220</t>
      </is>
    </nc>
  </rcc>
  <rcc rId="5809" sId="1" quotePrefix="1">
    <oc r="A225">
      <v>17</v>
    </oc>
    <nc r="A225" t="inlineStr">
      <is>
        <t>221</t>
      </is>
    </nc>
  </rcc>
  <rcc rId="5810" sId="1" quotePrefix="1">
    <oc r="A226">
      <v>18</v>
    </oc>
    <nc r="A226" t="inlineStr">
      <is>
        <t>222</t>
      </is>
    </nc>
  </rcc>
  <rcc rId="5811" sId="1" quotePrefix="1">
    <oc r="A227">
      <v>19</v>
    </oc>
    <nc r="A227" t="inlineStr">
      <is>
        <t>223</t>
      </is>
    </nc>
  </rcc>
  <rcc rId="5812" sId="1" quotePrefix="1">
    <oc r="A228">
      <v>20</v>
    </oc>
    <nc r="A228" t="inlineStr">
      <is>
        <t>224</t>
      </is>
    </nc>
  </rcc>
  <rcc rId="5813" sId="1" quotePrefix="1">
    <oc r="A229">
      <v>21</v>
    </oc>
    <nc r="A229" t="inlineStr">
      <is>
        <t>225</t>
      </is>
    </nc>
  </rcc>
  <rcc rId="5814" sId="1" quotePrefix="1">
    <oc r="A230">
      <v>22</v>
    </oc>
    <nc r="A230" t="inlineStr">
      <is>
        <t>226</t>
      </is>
    </nc>
  </rcc>
  <rcc rId="5815" sId="1" quotePrefix="1">
    <oc r="A231">
      <v>23</v>
    </oc>
    <nc r="A231" t="inlineStr">
      <is>
        <t>227</t>
      </is>
    </nc>
  </rcc>
  <rcc rId="5816" sId="1" quotePrefix="1">
    <oc r="A232">
      <v>24</v>
    </oc>
    <nc r="A232" t="inlineStr">
      <is>
        <t>228</t>
      </is>
    </nc>
  </rcc>
  <rcc rId="5817" sId="1" quotePrefix="1">
    <oc r="A233">
      <v>25</v>
    </oc>
    <nc r="A233" t="inlineStr">
      <is>
        <t>229</t>
      </is>
    </nc>
  </rcc>
  <rcc rId="5818" sId="1" quotePrefix="1">
    <oc r="A234">
      <v>26</v>
    </oc>
    <nc r="A234" t="inlineStr">
      <is>
        <t>230</t>
      </is>
    </nc>
  </rcc>
  <rcc rId="5819" sId="1" quotePrefix="1">
    <oc r="A235">
      <v>27</v>
    </oc>
    <nc r="A235" t="inlineStr">
      <is>
        <t>231</t>
      </is>
    </nc>
  </rcc>
  <rcc rId="5820" sId="1" quotePrefix="1">
    <oc r="A236">
      <v>28</v>
    </oc>
    <nc r="A236" t="inlineStr">
      <is>
        <t>232</t>
      </is>
    </nc>
  </rcc>
  <rcc rId="5821" sId="1" quotePrefix="1">
    <oc r="A237">
      <v>29</v>
    </oc>
    <nc r="A237" t="inlineStr">
      <is>
        <t>233</t>
      </is>
    </nc>
  </rcc>
  <rcc rId="5822" sId="1" quotePrefix="1">
    <oc r="A238">
      <v>30</v>
    </oc>
    <nc r="A238" t="inlineStr">
      <is>
        <t>234</t>
      </is>
    </nc>
  </rcc>
  <rcc rId="5823" sId="1" quotePrefix="1">
    <oc r="A239">
      <v>31</v>
    </oc>
    <nc r="A239" t="inlineStr">
      <is>
        <t>235</t>
      </is>
    </nc>
  </rcc>
  <rcc rId="5824" sId="1" quotePrefix="1">
    <oc r="A240">
      <v>32</v>
    </oc>
    <nc r="A240" t="inlineStr">
      <is>
        <t>236</t>
      </is>
    </nc>
  </rcc>
  <rcc rId="5825" sId="1" quotePrefix="1">
    <oc r="A241">
      <v>33</v>
    </oc>
    <nc r="A241" t="inlineStr">
      <is>
        <t>237</t>
      </is>
    </nc>
  </rcc>
  <rcc rId="5826" sId="1" quotePrefix="1">
    <oc r="A242">
      <v>34</v>
    </oc>
    <nc r="A242" t="inlineStr">
      <is>
        <t>238</t>
      </is>
    </nc>
  </rcc>
  <rcc rId="5827" sId="1" quotePrefix="1">
    <oc r="A243">
      <v>35</v>
    </oc>
    <nc r="A243" t="inlineStr">
      <is>
        <t>239</t>
      </is>
    </nc>
  </rcc>
  <rcc rId="5828" sId="1" quotePrefix="1">
    <oc r="A244">
      <v>36</v>
    </oc>
    <nc r="A244" t="inlineStr">
      <is>
        <t>240</t>
      </is>
    </nc>
  </rcc>
  <rcc rId="5829" sId="1" quotePrefix="1">
    <oc r="A245">
      <v>37</v>
    </oc>
    <nc r="A245" t="inlineStr">
      <is>
        <t>241</t>
      </is>
    </nc>
  </rcc>
  <rcc rId="5830" sId="1" quotePrefix="1">
    <oc r="A246">
      <v>38</v>
    </oc>
    <nc r="A246" t="inlineStr">
      <is>
        <t>242</t>
      </is>
    </nc>
  </rcc>
  <rcc rId="5831" sId="1" quotePrefix="1">
    <oc r="A247">
      <v>39</v>
    </oc>
    <nc r="A247" t="inlineStr">
      <is>
        <t>243</t>
      </is>
    </nc>
  </rcc>
  <rcc rId="5832" sId="1" quotePrefix="1">
    <oc r="A248">
      <v>40</v>
    </oc>
    <nc r="A248" t="inlineStr">
      <is>
        <t>244</t>
      </is>
    </nc>
  </rcc>
  <rcc rId="5833" sId="1" quotePrefix="1">
    <oc r="A249">
      <v>41</v>
    </oc>
    <nc r="A249" t="inlineStr">
      <is>
        <t>245</t>
      </is>
    </nc>
  </rcc>
  <rcc rId="5834" sId="1" quotePrefix="1">
    <oc r="A250">
      <v>42</v>
    </oc>
    <nc r="A250" t="inlineStr">
      <is>
        <t>246</t>
      </is>
    </nc>
  </rcc>
  <rcc rId="5835" sId="1" quotePrefix="1">
    <oc r="A251">
      <v>43</v>
    </oc>
    <nc r="A251" t="inlineStr">
      <is>
        <t>247</t>
      </is>
    </nc>
  </rcc>
  <rcc rId="5836" sId="1" quotePrefix="1">
    <oc r="A252">
      <v>44</v>
    </oc>
    <nc r="A252" t="inlineStr">
      <is>
        <t>248</t>
      </is>
    </nc>
  </rcc>
  <rcc rId="5837" sId="1" quotePrefix="1">
    <oc r="A253">
      <v>45</v>
    </oc>
    <nc r="A253" t="inlineStr">
      <is>
        <t>249</t>
      </is>
    </nc>
  </rcc>
  <rcc rId="5838" sId="1" quotePrefix="1">
    <oc r="A254">
      <v>46</v>
    </oc>
    <nc r="A254" t="inlineStr">
      <is>
        <t>250</t>
      </is>
    </nc>
  </rcc>
  <rcc rId="5839" sId="1" quotePrefix="1">
    <oc r="A255">
      <v>47</v>
    </oc>
    <nc r="A255" t="inlineStr">
      <is>
        <t>251</t>
      </is>
    </nc>
  </rcc>
  <rcc rId="5840" sId="1" quotePrefix="1">
    <oc r="A256">
      <v>48</v>
    </oc>
    <nc r="A256" t="inlineStr">
      <is>
        <t>252</t>
      </is>
    </nc>
  </rcc>
  <rcc rId="5841" sId="1" quotePrefix="1">
    <oc r="A257">
      <v>49</v>
    </oc>
    <nc r="A257" t="inlineStr">
      <is>
        <t>253</t>
      </is>
    </nc>
  </rcc>
  <rcc rId="5842" sId="1" quotePrefix="1">
    <oc r="A258">
      <v>50</v>
    </oc>
    <nc r="A258" t="inlineStr">
      <is>
        <t>254</t>
      </is>
    </nc>
  </rcc>
  <rcc rId="5843" sId="1" quotePrefix="1">
    <oc r="A259">
      <v>51</v>
    </oc>
    <nc r="A259" t="inlineStr">
      <is>
        <t>255</t>
      </is>
    </nc>
  </rcc>
  <rcc rId="5844" sId="1" quotePrefix="1">
    <oc r="A260">
      <v>52</v>
    </oc>
    <nc r="A260" t="inlineStr">
      <is>
        <t>256</t>
      </is>
    </nc>
  </rcc>
  <rcc rId="5845" sId="1" quotePrefix="1">
    <oc r="A261">
      <v>53</v>
    </oc>
    <nc r="A261" t="inlineStr">
      <is>
        <t>257</t>
      </is>
    </nc>
  </rcc>
  <rcc rId="5846" sId="1" quotePrefix="1">
    <oc r="A262">
      <v>54</v>
    </oc>
    <nc r="A262" t="inlineStr">
      <is>
        <t>258</t>
      </is>
    </nc>
  </rcc>
  <rcc rId="5847" sId="1" quotePrefix="1">
    <oc r="A263">
      <v>55</v>
    </oc>
    <nc r="A263" t="inlineStr">
      <is>
        <t>259</t>
      </is>
    </nc>
  </rcc>
  <rcc rId="5848" sId="1" quotePrefix="1">
    <oc r="A264">
      <v>56</v>
    </oc>
    <nc r="A264" t="inlineStr">
      <is>
        <t>260</t>
      </is>
    </nc>
  </rcc>
  <rcc rId="5849" sId="1" quotePrefix="1">
    <oc r="A265">
      <v>67</v>
    </oc>
    <nc r="A265" t="inlineStr">
      <is>
        <t>261</t>
      </is>
    </nc>
  </rcc>
  <rcc rId="5850" sId="1" quotePrefix="1">
    <oc r="A266">
      <v>58</v>
    </oc>
    <nc r="A266" t="inlineStr">
      <is>
        <t>262</t>
      </is>
    </nc>
  </rcc>
  <rcc rId="5851" sId="1" quotePrefix="1">
    <oc r="A267">
      <v>59</v>
    </oc>
    <nc r="A267" t="inlineStr">
      <is>
        <t>263</t>
      </is>
    </nc>
  </rcc>
  <rcc rId="5852" sId="1" quotePrefix="1">
    <oc r="A268">
      <v>60</v>
    </oc>
    <nc r="A268" t="inlineStr">
      <is>
        <t>264</t>
      </is>
    </nc>
  </rcc>
  <rcc rId="5853" sId="1" quotePrefix="1">
    <oc r="A269">
      <v>61</v>
    </oc>
    <nc r="A269" t="inlineStr">
      <is>
        <t>265</t>
      </is>
    </nc>
  </rcc>
  <rcc rId="5854" sId="1" quotePrefix="1">
    <oc r="A270">
      <v>62</v>
    </oc>
    <nc r="A270" t="inlineStr">
      <is>
        <t>266</t>
      </is>
    </nc>
  </rcc>
  <rcc rId="5855" sId="1" quotePrefix="1">
    <oc r="A271">
      <v>63</v>
    </oc>
    <nc r="A271" t="inlineStr">
      <is>
        <t>267</t>
      </is>
    </nc>
  </rcc>
  <rcc rId="5856" sId="1" quotePrefix="1">
    <oc r="A272">
      <v>64</v>
    </oc>
    <nc r="A272" t="inlineStr">
      <is>
        <t>268</t>
      </is>
    </nc>
  </rcc>
  <rcc rId="5857" sId="1" quotePrefix="1">
    <oc r="A273">
      <v>65</v>
    </oc>
    <nc r="A273" t="inlineStr">
      <is>
        <t>269</t>
      </is>
    </nc>
  </rcc>
  <rcc rId="5858" sId="1" quotePrefix="1">
    <oc r="A274">
      <v>66</v>
    </oc>
    <nc r="A274" t="inlineStr">
      <is>
        <t>270</t>
      </is>
    </nc>
  </rcc>
  <rcc rId="5859" sId="1" quotePrefix="1">
    <oc r="A275">
      <v>67</v>
    </oc>
    <nc r="A275" t="inlineStr">
      <is>
        <t>271</t>
      </is>
    </nc>
  </rcc>
  <rcc rId="5860" sId="1" quotePrefix="1">
    <oc r="A276">
      <v>68</v>
    </oc>
    <nc r="A276" t="inlineStr">
      <is>
        <t>272</t>
      </is>
    </nc>
  </rcc>
  <rcc rId="5861" sId="1" quotePrefix="1">
    <oc r="A277">
      <v>69</v>
    </oc>
    <nc r="A277" t="inlineStr">
      <is>
        <t>273</t>
      </is>
    </nc>
  </rcc>
  <rcc rId="5862" sId="1" quotePrefix="1">
    <oc r="A278">
      <v>70</v>
    </oc>
    <nc r="A278" t="inlineStr">
      <is>
        <t>274</t>
      </is>
    </nc>
  </rcc>
  <rcc rId="5863" sId="1" quotePrefix="1">
    <oc r="A279">
      <v>71</v>
    </oc>
    <nc r="A279" t="inlineStr">
      <is>
        <t>275</t>
      </is>
    </nc>
  </rcc>
  <rcc rId="5864" sId="1" quotePrefix="1">
    <oc r="A280">
      <v>72</v>
    </oc>
    <nc r="A280" t="inlineStr">
      <is>
        <t>276</t>
      </is>
    </nc>
  </rcc>
  <rcc rId="5865" sId="1" quotePrefix="1">
    <oc r="A281">
      <v>73</v>
    </oc>
    <nc r="A281" t="inlineStr">
      <is>
        <t>277</t>
      </is>
    </nc>
  </rcc>
  <rcc rId="5866" sId="1" quotePrefix="1">
    <oc r="A282">
      <v>74</v>
    </oc>
    <nc r="A282" t="inlineStr">
      <is>
        <t>278</t>
      </is>
    </nc>
  </rcc>
  <rcc rId="5867" sId="1" quotePrefix="1">
    <oc r="A283">
      <v>75</v>
    </oc>
    <nc r="A283" t="inlineStr">
      <is>
        <t>279</t>
      </is>
    </nc>
  </rcc>
  <rcc rId="5868" sId="1" quotePrefix="1">
    <oc r="A284">
      <v>76</v>
    </oc>
    <nc r="A284" t="inlineStr">
      <is>
        <t>280</t>
      </is>
    </nc>
  </rcc>
  <rcc rId="5869" sId="1" quotePrefix="1">
    <oc r="A285">
      <v>77</v>
    </oc>
    <nc r="A285" t="inlineStr">
      <is>
        <t>281</t>
      </is>
    </nc>
  </rcc>
  <rcc rId="5870" sId="1" quotePrefix="1">
    <oc r="A286">
      <v>78</v>
    </oc>
    <nc r="A286" t="inlineStr">
      <is>
        <t>282</t>
      </is>
    </nc>
  </rcc>
  <rcc rId="5871" sId="1" quotePrefix="1">
    <oc r="A287">
      <v>79</v>
    </oc>
    <nc r="A287" t="inlineStr">
      <is>
        <t>283</t>
      </is>
    </nc>
  </rcc>
  <rcc rId="5872" sId="1" quotePrefix="1">
    <oc r="A288">
      <v>80</v>
    </oc>
    <nc r="A288" t="inlineStr">
      <is>
        <t>284</t>
      </is>
    </nc>
  </rcc>
  <rcc rId="5873" sId="1" quotePrefix="1">
    <oc r="A289">
      <v>81</v>
    </oc>
    <nc r="A289" t="inlineStr">
      <is>
        <t>285</t>
      </is>
    </nc>
  </rcc>
  <rcc rId="5874" sId="1" quotePrefix="1">
    <oc r="A290">
      <v>82</v>
    </oc>
    <nc r="A290" t="inlineStr">
      <is>
        <t>286</t>
      </is>
    </nc>
  </rcc>
  <rcc rId="5875" sId="1" quotePrefix="1">
    <oc r="A291">
      <v>83</v>
    </oc>
    <nc r="A291" t="inlineStr">
      <is>
        <t>287</t>
      </is>
    </nc>
  </rcc>
  <rcc rId="5876" sId="1" quotePrefix="1">
    <oc r="A292">
      <v>84</v>
    </oc>
    <nc r="A292" t="inlineStr">
      <is>
        <t>288</t>
      </is>
    </nc>
  </rcc>
  <rcc rId="5877" sId="1" quotePrefix="1">
    <oc r="A293">
      <v>85</v>
    </oc>
    <nc r="A293" t="inlineStr">
      <is>
        <t>289</t>
      </is>
    </nc>
  </rcc>
  <rcc rId="5878" sId="1" quotePrefix="1">
    <oc r="A294">
      <v>86</v>
    </oc>
    <nc r="A294" t="inlineStr">
      <is>
        <t>290</t>
      </is>
    </nc>
  </rcc>
  <rcc rId="5879" sId="1" quotePrefix="1">
    <oc r="A295">
      <v>87</v>
    </oc>
    <nc r="A295" t="inlineStr">
      <is>
        <t>291</t>
      </is>
    </nc>
  </rcc>
  <rcc rId="5880" sId="1" quotePrefix="1">
    <oc r="A296">
      <v>88</v>
    </oc>
    <nc r="A296" t="inlineStr">
      <is>
        <t>292</t>
      </is>
    </nc>
  </rcc>
  <rcc rId="5881" sId="1" quotePrefix="1">
    <oc r="A297">
      <v>89</v>
    </oc>
    <nc r="A297" t="inlineStr">
      <is>
        <t>293</t>
      </is>
    </nc>
  </rcc>
  <rcc rId="5882" sId="1" quotePrefix="1">
    <oc r="A298">
      <v>90</v>
    </oc>
    <nc r="A298" t="inlineStr">
      <is>
        <t>294</t>
      </is>
    </nc>
  </rcc>
  <rcc rId="5883" sId="1" quotePrefix="1">
    <oc r="A299">
      <v>91</v>
    </oc>
    <nc r="A299" t="inlineStr">
      <is>
        <t>295</t>
      </is>
    </nc>
  </rcc>
  <rcc rId="5884" sId="1" quotePrefix="1">
    <oc r="A300">
      <v>92</v>
    </oc>
    <nc r="A300" t="inlineStr">
      <is>
        <t>296</t>
      </is>
    </nc>
  </rcc>
  <rcc rId="5885" sId="1" quotePrefix="1">
    <oc r="A301">
      <v>93</v>
    </oc>
    <nc r="A301" t="inlineStr">
      <is>
        <t>297</t>
      </is>
    </nc>
  </rcc>
  <rcc rId="5886" sId="1" quotePrefix="1">
    <oc r="A302">
      <v>94</v>
    </oc>
    <nc r="A302" t="inlineStr">
      <is>
        <t>298</t>
      </is>
    </nc>
  </rcc>
  <rcc rId="5887" sId="1" quotePrefix="1">
    <oc r="A303">
      <v>95</v>
    </oc>
    <nc r="A303" t="inlineStr">
      <is>
        <t>299</t>
      </is>
    </nc>
  </rcc>
  <rcc rId="5888" sId="1" quotePrefix="1">
    <oc r="A304">
      <v>96</v>
    </oc>
    <nc r="A304" t="inlineStr">
      <is>
        <t>300</t>
      </is>
    </nc>
  </rcc>
  <rcc rId="5889" sId="1" quotePrefix="1">
    <oc r="A305">
      <v>97</v>
    </oc>
    <nc r="A305" t="inlineStr">
      <is>
        <t>301</t>
      </is>
    </nc>
  </rcc>
  <rcc rId="5890" sId="1" quotePrefix="1">
    <oc r="A306">
      <v>98</v>
    </oc>
    <nc r="A306" t="inlineStr">
      <is>
        <t>302</t>
      </is>
    </nc>
  </rcc>
  <rcc rId="5891" sId="1" quotePrefix="1">
    <oc r="A307">
      <v>99</v>
    </oc>
    <nc r="A307" t="inlineStr">
      <is>
        <t>303</t>
      </is>
    </nc>
  </rcc>
  <rcc rId="5892" sId="1" quotePrefix="1">
    <oc r="A308">
      <v>100</v>
    </oc>
    <nc r="A308" t="inlineStr">
      <is>
        <t>304</t>
      </is>
    </nc>
  </rcc>
  <rcc rId="5893" sId="1" quotePrefix="1">
    <oc r="A309">
      <v>101</v>
    </oc>
    <nc r="A309" t="inlineStr">
      <is>
        <t>305</t>
      </is>
    </nc>
  </rcc>
  <rcc rId="5894" sId="1" quotePrefix="1">
    <oc r="A310">
      <v>102</v>
    </oc>
    <nc r="A310" t="inlineStr">
      <is>
        <t>306</t>
      </is>
    </nc>
  </rcc>
  <rcc rId="5895" sId="1" quotePrefix="1">
    <oc r="A311">
      <v>103</v>
    </oc>
    <nc r="A311" t="inlineStr">
      <is>
        <t>307</t>
      </is>
    </nc>
  </rcc>
  <rcc rId="5896" sId="1" quotePrefix="1">
    <oc r="A312">
      <v>104</v>
    </oc>
    <nc r="A312" t="inlineStr">
      <is>
        <t>308</t>
      </is>
    </nc>
  </rcc>
  <rcc rId="5897" sId="1" quotePrefix="1">
    <oc r="A313">
      <v>105</v>
    </oc>
    <nc r="A313" t="inlineStr">
      <is>
        <t>309</t>
      </is>
    </nc>
  </rcc>
  <rcc rId="5898" sId="1" quotePrefix="1">
    <oc r="A314">
      <v>106</v>
    </oc>
    <nc r="A314" t="inlineStr">
      <is>
        <t>310</t>
      </is>
    </nc>
  </rcc>
  <rcc rId="5899" sId="1" quotePrefix="1">
    <oc r="A315">
      <v>107</v>
    </oc>
    <nc r="A315" t="inlineStr">
      <is>
        <t>311</t>
      </is>
    </nc>
  </rcc>
  <rcc rId="5900" sId="1" quotePrefix="1">
    <oc r="A316">
      <v>108</v>
    </oc>
    <nc r="A316" t="inlineStr">
      <is>
        <t>312</t>
      </is>
    </nc>
  </rcc>
  <rcc rId="5901" sId="1" quotePrefix="1">
    <oc r="A317">
      <v>109</v>
    </oc>
    <nc r="A317" t="inlineStr">
      <is>
        <t>313</t>
      </is>
    </nc>
  </rcc>
  <rcc rId="5902" sId="1" quotePrefix="1">
    <oc r="A318">
      <v>110</v>
    </oc>
    <nc r="A318" t="inlineStr">
      <is>
        <t>314</t>
      </is>
    </nc>
  </rcc>
  <rcc rId="5903" sId="1" quotePrefix="1">
    <oc r="A319">
      <v>111</v>
    </oc>
    <nc r="A319" t="inlineStr">
      <is>
        <t>315</t>
      </is>
    </nc>
  </rcc>
  <rcc rId="5904" sId="1" quotePrefix="1">
    <oc r="A320">
      <v>112</v>
    </oc>
    <nc r="A320" t="inlineStr">
      <is>
        <t>316</t>
      </is>
    </nc>
  </rcc>
  <rcc rId="5905" sId="1" quotePrefix="1">
    <oc r="A321">
      <v>113</v>
    </oc>
    <nc r="A321" t="inlineStr">
      <is>
        <t>317</t>
      </is>
    </nc>
  </rcc>
  <rcc rId="5906" sId="1" quotePrefix="1">
    <oc r="A322">
      <v>114</v>
    </oc>
    <nc r="A322" t="inlineStr">
      <is>
        <t>318</t>
      </is>
    </nc>
  </rcc>
  <rcc rId="5907" sId="1" quotePrefix="1">
    <oc r="A323">
      <v>115</v>
    </oc>
    <nc r="A323" t="inlineStr">
      <is>
        <t>319</t>
      </is>
    </nc>
  </rcc>
  <rcc rId="5908" sId="1" quotePrefix="1">
    <oc r="A324">
      <v>116</v>
    </oc>
    <nc r="A324" t="inlineStr">
      <is>
        <t>320</t>
      </is>
    </nc>
  </rcc>
  <rcc rId="5909" sId="1" quotePrefix="1">
    <oc r="A325">
      <v>117</v>
    </oc>
    <nc r="A325" t="inlineStr">
      <is>
        <t>321</t>
      </is>
    </nc>
  </rcc>
  <rcc rId="5910" sId="1" quotePrefix="1">
    <oc r="A326">
      <v>118</v>
    </oc>
    <nc r="A326" t="inlineStr">
      <is>
        <t>322</t>
      </is>
    </nc>
  </rcc>
  <rcc rId="5911" sId="1" quotePrefix="1">
    <oc r="A327">
      <v>119</v>
    </oc>
    <nc r="A327" t="inlineStr">
      <is>
        <t>323</t>
      </is>
    </nc>
  </rcc>
  <rcc rId="5912" sId="1" quotePrefix="1">
    <oc r="A328">
      <v>120</v>
    </oc>
    <nc r="A328" t="inlineStr">
      <is>
        <t>324</t>
      </is>
    </nc>
  </rcc>
  <rcc rId="5913" sId="1" quotePrefix="1">
    <oc r="A329">
      <v>121</v>
    </oc>
    <nc r="A329" t="inlineStr">
      <is>
        <t>325</t>
      </is>
    </nc>
  </rcc>
  <rcc rId="5914" sId="1" quotePrefix="1">
    <oc r="A330">
      <v>122</v>
    </oc>
    <nc r="A330" t="inlineStr">
      <is>
        <t>326</t>
      </is>
    </nc>
  </rcc>
  <rcc rId="5915" sId="1" quotePrefix="1">
    <oc r="A331">
      <v>123</v>
    </oc>
    <nc r="A331" t="inlineStr">
      <is>
        <t>327</t>
      </is>
    </nc>
  </rcc>
  <rcc rId="5916" sId="1" quotePrefix="1">
    <oc r="A332">
      <v>124</v>
    </oc>
    <nc r="A332" t="inlineStr">
      <is>
        <t>328</t>
      </is>
    </nc>
  </rcc>
  <rcc rId="5917" sId="1" quotePrefix="1">
    <oc r="A333">
      <v>125</v>
    </oc>
    <nc r="A333" t="inlineStr">
      <is>
        <t>329</t>
      </is>
    </nc>
  </rcc>
  <rcc rId="5918" sId="1" quotePrefix="1">
    <oc r="A334">
      <v>126</v>
    </oc>
    <nc r="A334" t="inlineStr">
      <is>
        <t>330</t>
      </is>
    </nc>
  </rcc>
  <rcc rId="5919" sId="1" quotePrefix="1">
    <oc r="A335">
      <v>127</v>
    </oc>
    <nc r="A335" t="inlineStr">
      <is>
        <t>331</t>
      </is>
    </nc>
  </rcc>
  <rcc rId="5920" sId="1" quotePrefix="1">
    <oc r="A336">
      <v>128</v>
    </oc>
    <nc r="A336" t="inlineStr">
      <is>
        <t>332</t>
      </is>
    </nc>
  </rcc>
  <rcc rId="5921" sId="1" quotePrefix="1">
    <oc r="A337">
      <v>129</v>
    </oc>
    <nc r="A337" t="inlineStr">
      <is>
        <t>333</t>
      </is>
    </nc>
  </rcc>
  <rcc rId="5922" sId="1" quotePrefix="1">
    <oc r="A338">
      <v>130</v>
    </oc>
    <nc r="A338" t="inlineStr">
      <is>
        <t>334</t>
      </is>
    </nc>
  </rcc>
  <rcc rId="5923" sId="1" quotePrefix="1">
    <oc r="A339">
      <v>131</v>
    </oc>
    <nc r="A339" t="inlineStr">
      <is>
        <t>335</t>
      </is>
    </nc>
  </rcc>
  <rcc rId="5924" sId="1" quotePrefix="1">
    <oc r="A340">
      <v>132</v>
    </oc>
    <nc r="A340" t="inlineStr">
      <is>
        <t>336</t>
      </is>
    </nc>
  </rcc>
  <rcc rId="5925" sId="1" quotePrefix="1">
    <oc r="A341">
      <v>133</v>
    </oc>
    <nc r="A341" t="inlineStr">
      <is>
        <t>337</t>
      </is>
    </nc>
  </rcc>
  <rcc rId="5926" sId="1" quotePrefix="1">
    <oc r="A342">
      <v>134</v>
    </oc>
    <nc r="A342" t="inlineStr">
      <is>
        <t>338</t>
      </is>
    </nc>
  </rcc>
  <rcc rId="5927" sId="1" quotePrefix="1">
    <oc r="A343">
      <v>135</v>
    </oc>
    <nc r="A343" t="inlineStr">
      <is>
        <t>339</t>
      </is>
    </nc>
  </rcc>
  <rcc rId="5928" sId="1" quotePrefix="1">
    <oc r="A344">
      <v>136</v>
    </oc>
    <nc r="A344" t="inlineStr">
      <is>
        <t>340</t>
      </is>
    </nc>
  </rcc>
  <rcc rId="5929" sId="1" quotePrefix="1">
    <oc r="A345">
      <v>137</v>
    </oc>
    <nc r="A345" t="inlineStr">
      <is>
        <t>341</t>
      </is>
    </nc>
  </rcc>
  <rcc rId="5930" sId="1" quotePrefix="1">
    <oc r="A346">
      <v>138</v>
    </oc>
    <nc r="A346" t="inlineStr">
      <is>
        <t>342</t>
      </is>
    </nc>
  </rcc>
  <rcc rId="5931" sId="1" quotePrefix="1">
    <oc r="A347">
      <v>139</v>
    </oc>
    <nc r="A347" t="inlineStr">
      <is>
        <t>343</t>
      </is>
    </nc>
  </rcc>
  <rcc rId="5932" sId="1" quotePrefix="1">
    <oc r="A348">
      <v>140</v>
    </oc>
    <nc r="A348" t="inlineStr">
      <is>
        <t>344</t>
      </is>
    </nc>
  </rcc>
  <rcc rId="5933" sId="1" quotePrefix="1">
    <oc r="A349">
      <v>141</v>
    </oc>
    <nc r="A349" t="inlineStr">
      <is>
        <t>345</t>
      </is>
    </nc>
  </rcc>
  <rcc rId="5934" sId="1" quotePrefix="1">
    <oc r="A350">
      <v>142</v>
    </oc>
    <nc r="A350" t="inlineStr">
      <is>
        <t>346</t>
      </is>
    </nc>
  </rcc>
  <rcc rId="5935" sId="1" quotePrefix="1">
    <oc r="A351">
      <v>143</v>
    </oc>
    <nc r="A351" t="inlineStr">
      <is>
        <t>347</t>
      </is>
    </nc>
  </rcc>
  <rcc rId="5936" sId="1" quotePrefix="1">
    <oc r="A352">
      <v>144</v>
    </oc>
    <nc r="A352" t="inlineStr">
      <is>
        <t>348</t>
      </is>
    </nc>
  </rcc>
  <rcc rId="5937" sId="1" quotePrefix="1">
    <oc r="A353">
      <v>145</v>
    </oc>
    <nc r="A353" t="inlineStr">
      <is>
        <t>349</t>
      </is>
    </nc>
  </rcc>
  <rcc rId="5938" sId="1" quotePrefix="1">
    <oc r="A354">
      <v>146</v>
    </oc>
    <nc r="A354" t="inlineStr">
      <is>
        <t>350</t>
      </is>
    </nc>
  </rcc>
  <rcc rId="5939" sId="1" quotePrefix="1">
    <oc r="A355">
      <v>147</v>
    </oc>
    <nc r="A355" t="inlineStr">
      <is>
        <t>351</t>
      </is>
    </nc>
  </rcc>
  <rcc rId="5940" sId="1" quotePrefix="1">
    <oc r="A356">
      <v>148</v>
    </oc>
    <nc r="A356" t="inlineStr">
      <is>
        <t>352</t>
      </is>
    </nc>
  </rcc>
  <rcc rId="5941" sId="1" quotePrefix="1">
    <oc r="A357">
      <v>149</v>
    </oc>
    <nc r="A357" t="inlineStr">
      <is>
        <t>353</t>
      </is>
    </nc>
  </rcc>
  <rcc rId="5942" sId="1" quotePrefix="1">
    <oc r="A358">
      <v>150</v>
    </oc>
    <nc r="A358" t="inlineStr">
      <is>
        <t>354</t>
      </is>
    </nc>
  </rcc>
  <rcc rId="5943" sId="1" quotePrefix="1">
    <oc r="A359">
      <v>151</v>
    </oc>
    <nc r="A359" t="inlineStr">
      <is>
        <t>355</t>
      </is>
    </nc>
  </rcc>
  <rcc rId="5944" sId="1" quotePrefix="1">
    <oc r="A360">
      <v>152</v>
    </oc>
    <nc r="A360" t="inlineStr">
      <is>
        <t>356</t>
      </is>
    </nc>
  </rcc>
  <rcc rId="5945" sId="1" quotePrefix="1">
    <oc r="A361">
      <v>153</v>
    </oc>
    <nc r="A361" t="inlineStr">
      <is>
        <t>357</t>
      </is>
    </nc>
  </rcc>
  <rcc rId="5946" sId="1" quotePrefix="1">
    <oc r="A362">
      <v>154</v>
    </oc>
    <nc r="A362" t="inlineStr">
      <is>
        <t>358</t>
      </is>
    </nc>
  </rcc>
  <rcc rId="5947" sId="1" quotePrefix="1">
    <oc r="A363">
      <v>155</v>
    </oc>
    <nc r="A363" t="inlineStr">
      <is>
        <t>359</t>
      </is>
    </nc>
  </rcc>
  <rcc rId="5948" sId="1" quotePrefix="1">
    <oc r="A364">
      <v>156</v>
    </oc>
    <nc r="A364" t="inlineStr">
      <is>
        <t>360</t>
      </is>
    </nc>
  </rcc>
  <rcc rId="5949" sId="1" quotePrefix="1">
    <oc r="A365">
      <v>157</v>
    </oc>
    <nc r="A365" t="inlineStr">
      <is>
        <t>361</t>
      </is>
    </nc>
  </rcc>
  <rcc rId="5950" sId="1" quotePrefix="1">
    <oc r="A366">
      <v>158</v>
    </oc>
    <nc r="A366" t="inlineStr">
      <is>
        <t>362</t>
      </is>
    </nc>
  </rcc>
  <rcc rId="5951" sId="1" quotePrefix="1">
    <oc r="A367">
      <v>159</v>
    </oc>
    <nc r="A367" t="inlineStr">
      <is>
        <t>363</t>
      </is>
    </nc>
  </rcc>
  <rcc rId="5952" sId="1" quotePrefix="1">
    <oc r="A368">
      <v>160</v>
    </oc>
    <nc r="A368" t="inlineStr">
      <is>
        <t>364</t>
      </is>
    </nc>
  </rcc>
  <rcc rId="5953" sId="1" quotePrefix="1">
    <oc r="A369">
      <v>161</v>
    </oc>
    <nc r="A369" t="inlineStr">
      <is>
        <t>365</t>
      </is>
    </nc>
  </rcc>
  <rcc rId="5954" sId="1" quotePrefix="1">
    <oc r="A370">
      <v>162</v>
    </oc>
    <nc r="A370" t="inlineStr">
      <is>
        <t>366</t>
      </is>
    </nc>
  </rcc>
  <rcc rId="5955" sId="1" quotePrefix="1">
    <oc r="A371">
      <v>163</v>
    </oc>
    <nc r="A371" t="inlineStr">
      <is>
        <t>367</t>
      </is>
    </nc>
  </rcc>
  <rcc rId="5956" sId="1" quotePrefix="1">
    <oc r="A372">
      <v>164</v>
    </oc>
    <nc r="A372" t="inlineStr">
      <is>
        <t>368</t>
      </is>
    </nc>
  </rcc>
  <rcc rId="5957" sId="1" quotePrefix="1">
    <oc r="A373">
      <v>165</v>
    </oc>
    <nc r="A373" t="inlineStr">
      <is>
        <t>369</t>
      </is>
    </nc>
  </rcc>
  <rcc rId="5958" sId="1" quotePrefix="1">
    <oc r="A374">
      <v>166</v>
    </oc>
    <nc r="A374" t="inlineStr">
      <is>
        <t>370</t>
      </is>
    </nc>
  </rcc>
  <rcc rId="5959" sId="1" quotePrefix="1">
    <oc r="A375">
      <v>167</v>
    </oc>
    <nc r="A375" t="inlineStr">
      <is>
        <t>371</t>
      </is>
    </nc>
  </rcc>
  <rcc rId="5960" sId="1" quotePrefix="1">
    <oc r="A376">
      <v>168</v>
    </oc>
    <nc r="A376" t="inlineStr">
      <is>
        <t>372</t>
      </is>
    </nc>
  </rcc>
  <rcc rId="5961" sId="1" quotePrefix="1">
    <oc r="A377">
      <v>169</v>
    </oc>
    <nc r="A377" t="inlineStr">
      <is>
        <t>373</t>
      </is>
    </nc>
  </rcc>
  <rcc rId="5962" sId="1" quotePrefix="1">
    <oc r="A378">
      <v>170</v>
    </oc>
    <nc r="A378" t="inlineStr">
      <is>
        <t>374</t>
      </is>
    </nc>
  </rcc>
  <rcc rId="5963" sId="1" quotePrefix="1">
    <oc r="A379">
      <v>171</v>
    </oc>
    <nc r="A379" t="inlineStr">
      <is>
        <t>375</t>
      </is>
    </nc>
  </rcc>
  <rcc rId="5964" sId="1" quotePrefix="1">
    <oc r="A380">
      <v>172</v>
    </oc>
    <nc r="A380" t="inlineStr">
      <is>
        <t>376</t>
      </is>
    </nc>
  </rcc>
  <rcc rId="5965" sId="1" quotePrefix="1">
    <oc r="A381">
      <v>173</v>
    </oc>
    <nc r="A381" t="inlineStr">
      <is>
        <t>377</t>
      </is>
    </nc>
  </rcc>
  <rcc rId="5966" sId="1" quotePrefix="1">
    <oc r="A382">
      <v>174</v>
    </oc>
    <nc r="A382" t="inlineStr">
      <is>
        <t>378</t>
      </is>
    </nc>
  </rcc>
  <rcc rId="5967" sId="1" quotePrefix="1">
    <oc r="A383">
      <v>175</v>
    </oc>
    <nc r="A383" t="inlineStr">
      <is>
        <t>379</t>
      </is>
    </nc>
  </rcc>
  <rcc rId="5968" sId="1" quotePrefix="1">
    <oc r="A384">
      <v>176</v>
    </oc>
    <nc r="A384" t="inlineStr">
      <is>
        <t>380</t>
      </is>
    </nc>
  </rcc>
  <rcc rId="5969" sId="1" quotePrefix="1">
    <oc r="A385">
      <v>177</v>
    </oc>
    <nc r="A385" t="inlineStr">
      <is>
        <t>381</t>
      </is>
    </nc>
  </rcc>
  <rcc rId="5970" sId="1" quotePrefix="1">
    <oc r="A386">
      <v>178</v>
    </oc>
    <nc r="A386" t="inlineStr">
      <is>
        <t>382</t>
      </is>
    </nc>
  </rcc>
  <rcc rId="5971" sId="1" quotePrefix="1">
    <oc r="A387">
      <v>179</v>
    </oc>
    <nc r="A387" t="inlineStr">
      <is>
        <t>383</t>
      </is>
    </nc>
  </rcc>
  <rcc rId="5972" sId="1" quotePrefix="1">
    <oc r="A388">
      <v>180</v>
    </oc>
    <nc r="A388" t="inlineStr">
      <is>
        <t>384</t>
      </is>
    </nc>
  </rcc>
  <rcc rId="5973" sId="1" quotePrefix="1">
    <oc r="A389">
      <v>181</v>
    </oc>
    <nc r="A389" t="inlineStr">
      <is>
        <t>385</t>
      </is>
    </nc>
  </rcc>
  <rcc rId="5974" sId="1" quotePrefix="1">
    <oc r="A390">
      <v>182</v>
    </oc>
    <nc r="A390" t="inlineStr">
      <is>
        <t>386</t>
      </is>
    </nc>
  </rcc>
  <rcc rId="5975" sId="1" quotePrefix="1">
    <oc r="A391">
      <v>183</v>
    </oc>
    <nc r="A391" t="inlineStr">
      <is>
        <t>387</t>
      </is>
    </nc>
  </rcc>
  <rcc rId="5976" sId="1" quotePrefix="1">
    <oc r="A392">
      <v>184</v>
    </oc>
    <nc r="A392" t="inlineStr">
      <is>
        <t>388</t>
      </is>
    </nc>
  </rcc>
  <rcc rId="5977" sId="1" quotePrefix="1">
    <oc r="A393">
      <v>185</v>
    </oc>
    <nc r="A393" t="inlineStr">
      <is>
        <t>389</t>
      </is>
    </nc>
  </rcc>
  <rcc rId="5978" sId="1" quotePrefix="1">
    <oc r="A394">
      <v>186</v>
    </oc>
    <nc r="A394" t="inlineStr">
      <is>
        <t>390</t>
      </is>
    </nc>
  </rcc>
  <rcc rId="5979" sId="1" quotePrefix="1">
    <oc r="A395">
      <v>187</v>
    </oc>
    <nc r="A395" t="inlineStr">
      <is>
        <t>391</t>
      </is>
    </nc>
  </rcc>
  <rcc rId="5980" sId="1" quotePrefix="1">
    <oc r="A396">
      <v>188</v>
    </oc>
    <nc r="A396" t="inlineStr">
      <is>
        <t>392</t>
      </is>
    </nc>
  </rcc>
  <rcc rId="5981" sId="1" quotePrefix="1">
    <oc r="A397">
      <v>189</v>
    </oc>
    <nc r="A397" t="inlineStr">
      <is>
        <t>393</t>
      </is>
    </nc>
  </rcc>
  <rcc rId="5982" sId="1" quotePrefix="1">
    <oc r="A398">
      <v>190</v>
    </oc>
    <nc r="A398" t="inlineStr">
      <is>
        <t>394</t>
      </is>
    </nc>
  </rcc>
  <rcc rId="5983" sId="1" quotePrefix="1">
    <oc r="A399">
      <v>191</v>
    </oc>
    <nc r="A399" t="inlineStr">
      <is>
        <t>395</t>
      </is>
    </nc>
  </rcc>
  <rcc rId="5984" sId="1" quotePrefix="1">
    <oc r="A400">
      <v>192</v>
    </oc>
    <nc r="A400" t="inlineStr">
      <is>
        <t>396</t>
      </is>
    </nc>
  </rcc>
  <rcc rId="5985" sId="1" quotePrefix="1">
    <oc r="A401">
      <v>193</v>
    </oc>
    <nc r="A401" t="inlineStr">
      <is>
        <t>397</t>
      </is>
    </nc>
  </rcc>
  <rcc rId="5986" sId="1" quotePrefix="1">
    <oc r="A402">
      <v>194</v>
    </oc>
    <nc r="A402" t="inlineStr">
      <is>
        <t>398</t>
      </is>
    </nc>
  </rcc>
  <rcc rId="5987" sId="1">
    <oc r="AE132">
      <f>S132+V132+Y132+#REF!</f>
    </oc>
    <nc r="AE132">
      <f>S132+V132+Y132+AB132</f>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54" sId="1">
    <oc r="AH55" t="inlineStr">
      <is>
        <t xml:space="preserve"> în implementare</t>
      </is>
    </oc>
    <nc r="AH55" t="inlineStr">
      <is>
        <t>Finalizat</t>
      </is>
    </nc>
  </rcc>
  <rcc rId="4555" sId="1">
    <oc r="AH78" t="inlineStr">
      <is>
        <t xml:space="preserve"> în implementare</t>
      </is>
    </oc>
    <nc r="AH78" t="inlineStr">
      <is>
        <t>Finalizat</t>
      </is>
    </nc>
  </rcc>
  <rcc rId="4556" sId="1">
    <oc r="AH94" t="inlineStr">
      <is>
        <t xml:space="preserve"> în implementare</t>
      </is>
    </oc>
    <nc r="AH94" t="inlineStr">
      <is>
        <t>Finalizat</t>
      </is>
    </nc>
  </rcc>
  <rcc rId="4557" sId="1">
    <oc r="AH113" t="inlineStr">
      <is>
        <t xml:space="preserve"> în implementare</t>
      </is>
    </oc>
    <nc r="AH113" t="inlineStr">
      <is>
        <t>Finalizat</t>
      </is>
    </nc>
  </rcc>
  <rcc rId="4558" sId="1">
    <oc r="AH146" t="inlineStr">
      <is>
        <t xml:space="preserve"> în implementare</t>
      </is>
    </oc>
    <nc r="AH146" t="inlineStr">
      <is>
        <t>Finalizat</t>
      </is>
    </nc>
  </rcc>
  <rcc rId="4559" sId="1">
    <oc r="AH189" t="inlineStr">
      <is>
        <t xml:space="preserve"> în implementare</t>
      </is>
    </oc>
    <nc r="AH189" t="inlineStr">
      <is>
        <t>Finalizat</t>
      </is>
    </nc>
  </rcc>
  <rcc rId="4560" sId="1">
    <oc r="AH201" t="inlineStr">
      <is>
        <t xml:space="preserve"> în implementare</t>
      </is>
    </oc>
    <nc r="AH201" t="inlineStr">
      <is>
        <t>Finalizat</t>
      </is>
    </nc>
  </rcc>
  <rcc rId="4561" sId="1">
    <oc r="AH322" t="inlineStr">
      <is>
        <t>finalizat</t>
      </is>
    </oc>
    <nc r="AH322" t="inlineStr">
      <is>
        <t>Finalizat</t>
      </is>
    </nc>
  </rcc>
  <rcv guid="{FE50EAC0-52A5-4C33-B973-65E93D03D3EA}" action="delete"/>
  <rdn rId="0" localSheetId="1" customView="1" name="Z_FE50EAC0_52A5_4C33_B973_65E93D03D3EA_.wvu.PrintArea" hidden="1" oldHidden="1">
    <formula>Sheet1!$A$1:$AL$485</formula>
    <oldFormula>Sheet1!$A$1:$AL$485</oldFormula>
  </rdn>
  <rdn rId="0" localSheetId="1" customView="1" name="Z_FE50EAC0_52A5_4C33_B973_65E93D03D3EA_.wvu.FilterData" hidden="1" oldHidden="1">
    <formula>Sheet1!$A$1:$AL$452</formula>
    <oldFormula>Sheet1!$A$1:$AL$452</oldFormula>
  </rdn>
  <rcv guid="{FE50EAC0-52A5-4C33-B973-65E93D03D3EA}"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88" sId="1">
    <oc r="AE403">
      <f>SUM(AE209:AE402)</f>
    </oc>
    <nc r="AE403">
      <f>SUM(AE5:AE402)</f>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64" sId="1" numFmtId="19">
    <oc r="L269">
      <v>43812</v>
    </oc>
    <nc r="L269">
      <v>43995</v>
    </nc>
  </rcc>
  <rcc rId="4565" sId="1">
    <oc r="AI269" t="inlineStr">
      <is>
        <t>AA1 / 09.06.2017                                       AA2/12.10.2018</t>
      </is>
    </oc>
    <nc r="AI269" t="inlineStr">
      <is>
        <t xml:space="preserve">AA3/22.07.2019             </t>
      </is>
    </nc>
  </rcc>
  <rcv guid="{A5B1481C-EF26-486A-984F-85CDDC2FD94F}" action="delete"/>
  <rdn rId="0" localSheetId="1" customView="1" name="Z_A5B1481C_EF26_486A_984F_85CDDC2FD94F_.wvu.PrintArea" hidden="1" oldHidden="1">
    <formula>Sheet1!$A$1:$AL$485</formula>
    <oldFormula>Sheet1!$A$1:$AL$485</oldFormula>
  </rdn>
  <rdn rId="0" localSheetId="1" customView="1" name="Z_A5B1481C_EF26_486A_984F_85CDDC2FD94F_.wvu.FilterData" hidden="1" oldHidden="1">
    <formula>Sheet1!$A$6:$DG$452</formula>
    <oldFormula>Sheet1!$A$6:$DG$452</oldFormula>
  </rdn>
  <rcv guid="{A5B1481C-EF26-486A-984F-85CDDC2FD94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68" sId="1" numFmtId="4">
    <oc r="T433">
      <v>2020933.92</v>
    </oc>
    <nc r="T433">
      <v>2020933.91</v>
    </nc>
  </rcc>
  <rcc rId="4569" sId="1" numFmtId="4">
    <oc r="X433">
      <v>56375.28</v>
    </oc>
    <nc r="X433">
      <v>56375.26</v>
    </nc>
  </rcc>
  <rcc rId="4570" sId="1" numFmtId="4">
    <oc r="Z433">
      <v>193536.02499999999</v>
    </oc>
    <nc r="Z433">
      <v>206284.41</v>
    </nc>
  </rcc>
  <rcc rId="4571" sId="1" numFmtId="4">
    <oc r="AA433">
      <v>64910.83</v>
    </oc>
    <nc r="AA433">
      <v>68162.47</v>
    </nc>
  </rcc>
  <rcv guid="{901F9774-8BE7-424D-87C2-1026F3FA2E93}" action="delete"/>
  <rdn rId="0" localSheetId="1" customView="1" name="Z_901F9774_8BE7_424D_87C2_1026F3FA2E93_.wvu.PrintArea" hidden="1" oldHidden="1">
    <formula>Sheet1!$A$1:$AL$485</formula>
    <oldFormula>Sheet1!$A$1:$AL$485</oldFormula>
  </rdn>
  <rdn rId="0" localSheetId="1" customView="1" name="Z_901F9774_8BE7_424D_87C2_1026F3FA2E93_.wvu.FilterData" hidden="1" oldHidden="1">
    <formula>Sheet1!$C$1:$C$492</formula>
    <oldFormula>Sheet1!$C$1:$C$492</oldFormula>
  </rdn>
  <rcv guid="{901F9774-8BE7-424D-87C2-1026F3FA2E9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74" sId="1">
    <oc r="AB433">
      <f>AC433+AD433</f>
    </oc>
    <nc r="AB433"/>
  </rcc>
  <rcc rId="4575" sId="1" numFmtId="4">
    <oc r="AC433">
      <v>12748.37</v>
    </oc>
    <nc r="AC433"/>
  </rcc>
  <rcc rId="4576" sId="1" numFmtId="4">
    <oc r="AD433">
      <v>3251.63</v>
    </oc>
    <nc r="AD433"/>
  </rcc>
  <rcc rId="4577" sId="1" numFmtId="4">
    <oc r="T433">
      <v>2020933.91</v>
    </oc>
    <nc r="T433">
      <v>2020933.92</v>
    </nc>
  </rcc>
  <rcv guid="{901F9774-8BE7-424D-87C2-1026F3FA2E93}" action="delete"/>
  <rdn rId="0" localSheetId="1" customView="1" name="Z_901F9774_8BE7_424D_87C2_1026F3FA2E93_.wvu.PrintArea" hidden="1" oldHidden="1">
    <formula>Sheet1!$A$1:$AL$485</formula>
    <oldFormula>Sheet1!$A$1:$AL$485</oldFormula>
  </rdn>
  <rdn rId="0" localSheetId="1" customView="1" name="Z_901F9774_8BE7_424D_87C2_1026F3FA2E93_.wvu.FilterData" hidden="1" oldHidden="1">
    <formula>Sheet1!$C$1:$C$496</formula>
    <oldFormula>Sheet1!$C$1:$C$492</oldFormula>
  </rdn>
  <rcv guid="{901F9774-8BE7-424D-87C2-1026F3FA2E93}"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80" sId="1" numFmtId="4">
    <nc r="AC433">
      <v>0</v>
    </nc>
  </rcc>
  <rcc rId="4581" sId="1" numFmtId="4">
    <nc r="AD433">
      <v>0</v>
    </nc>
  </rcc>
  <rcc rId="4582" sId="1" numFmtId="4">
    <nc r="AB433">
      <f>AC433+AD433</f>
    </nc>
  </rcc>
  <rcc rId="4583" sId="1" numFmtId="4">
    <oc r="AC432">
      <v>22187.98</v>
    </oc>
    <nc r="AC432">
      <v>0</v>
    </nc>
  </rcc>
  <rcc rId="4584" sId="1" numFmtId="4">
    <oc r="Z432">
      <v>321408.51</v>
    </oc>
    <nc r="Z432">
      <v>343596.49</v>
    </nc>
  </rcc>
  <rcc rId="4585" sId="1" numFmtId="4">
    <oc r="AA432">
      <v>109306.03</v>
    </oc>
    <nc r="AA432">
      <v>114965.37</v>
    </nc>
  </rcc>
  <rcc rId="4586" sId="1" numFmtId="4">
    <oc r="AD432">
      <v>5659.34</v>
    </oc>
    <nc r="AD432">
      <v>0</v>
    </nc>
  </rcc>
  <rcv guid="{901F9774-8BE7-424D-87C2-1026F3FA2E93}" action="delete"/>
  <rdn rId="0" localSheetId="1" customView="1" name="Z_901F9774_8BE7_424D_87C2_1026F3FA2E93_.wvu.PrintArea" hidden="1" oldHidden="1">
    <formula>Sheet1!$A$1:$AL$485</formula>
    <oldFormula>Sheet1!$A$1:$AL$485</oldFormula>
  </rdn>
  <rdn rId="0" localSheetId="1" customView="1" name="Z_901F9774_8BE7_424D_87C2_1026F3FA2E93_.wvu.FilterData" hidden="1" oldHidden="1">
    <formula>Sheet1!$C$1:$C$496</formula>
    <oldFormula>Sheet1!$C$1:$C$496</oldFormula>
  </rdn>
  <rcv guid="{901F9774-8BE7-424D-87C2-1026F3FA2E93}"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40"/>
  <sheetViews>
    <sheetView tabSelected="1" zoomScale="85" zoomScaleNormal="55" workbookViewId="0">
      <selection activeCell="J1" sqref="J1:J3"/>
    </sheetView>
  </sheetViews>
  <sheetFormatPr defaultColWidth="9.140625" defaultRowHeight="15" x14ac:dyDescent="0.25"/>
  <cols>
    <col min="1" max="1" width="11.7109375" style="12" customWidth="1"/>
    <col min="2" max="2" width="13.140625" style="12" bestFit="1" customWidth="1"/>
    <col min="3" max="3" width="11.28515625" style="284" bestFit="1" customWidth="1"/>
    <col min="4" max="4" width="11.42578125" style="12" customWidth="1"/>
    <col min="5" max="5" width="14.28515625" style="12" customWidth="1"/>
    <col min="6" max="6" width="18.5703125" style="12" customWidth="1"/>
    <col min="7" max="7" width="46.140625" style="285" customWidth="1"/>
    <col min="8" max="8" width="26" style="285" customWidth="1"/>
    <col min="9" max="9" width="23.85546875" style="286" customWidth="1"/>
    <col min="10" max="10" width="69.7109375" style="12" customWidth="1"/>
    <col min="11" max="11" width="20.5703125" style="286" customWidth="1"/>
    <col min="12" max="12" width="20" style="286" customWidth="1"/>
    <col min="13" max="13" width="24.28515625" style="286" customWidth="1"/>
    <col min="14" max="14" width="24.42578125" style="286" customWidth="1"/>
    <col min="15" max="15" width="31.85546875" style="286" customWidth="1"/>
    <col min="16" max="16" width="20.140625" style="286" customWidth="1"/>
    <col min="17" max="17" width="17" style="286" customWidth="1"/>
    <col min="18" max="18" width="29.140625" style="286" customWidth="1"/>
    <col min="19" max="21" width="21.85546875" style="12" customWidth="1"/>
    <col min="22" max="22" width="18.7109375" style="12" customWidth="1"/>
    <col min="23" max="23" width="24" style="12" customWidth="1"/>
    <col min="24" max="24" width="15" style="12" customWidth="1"/>
    <col min="25" max="26" width="19.42578125" style="12" customWidth="1"/>
    <col min="27" max="27" width="19.85546875" style="12" customWidth="1"/>
    <col min="28" max="28" width="19.5703125" style="12" customWidth="1"/>
    <col min="29" max="29" width="20" style="12" customWidth="1"/>
    <col min="30" max="30" width="13.42578125" style="12" customWidth="1"/>
    <col min="31" max="31" width="29" style="12" customWidth="1"/>
    <col min="32" max="32" width="16" style="12" customWidth="1"/>
    <col min="33" max="33" width="21.85546875" style="12" customWidth="1"/>
    <col min="34" max="34" width="27.7109375" style="12" bestFit="1" customWidth="1"/>
    <col min="35" max="35" width="25" style="157" customWidth="1"/>
    <col min="36" max="36" width="18.28515625" style="12" bestFit="1" customWidth="1"/>
    <col min="37" max="37" width="22.42578125" style="12" bestFit="1" customWidth="1"/>
    <col min="38" max="40" width="9.140625" style="12"/>
    <col min="41" max="41" width="10" style="12" bestFit="1" customWidth="1"/>
    <col min="42" max="16384" width="9.140625" style="12"/>
  </cols>
  <sheetData>
    <row r="1" spans="1:37" ht="15.75" x14ac:dyDescent="0.25">
      <c r="A1" s="316" t="s">
        <v>0</v>
      </c>
      <c r="B1" s="330" t="s">
        <v>436</v>
      </c>
      <c r="C1" s="325" t="s">
        <v>159</v>
      </c>
      <c r="D1" s="323" t="s">
        <v>160</v>
      </c>
      <c r="E1" s="323" t="s">
        <v>9</v>
      </c>
      <c r="F1" s="323" t="s">
        <v>164</v>
      </c>
      <c r="G1" s="319" t="s">
        <v>1</v>
      </c>
      <c r="H1" s="321" t="s">
        <v>15</v>
      </c>
      <c r="I1" s="327" t="s">
        <v>191</v>
      </c>
      <c r="J1" s="323" t="s">
        <v>17</v>
      </c>
      <c r="K1" s="323" t="s">
        <v>16</v>
      </c>
      <c r="L1" s="323" t="s">
        <v>18</v>
      </c>
      <c r="M1" s="323" t="s">
        <v>19</v>
      </c>
      <c r="N1" s="323" t="s">
        <v>2</v>
      </c>
      <c r="O1" s="323" t="s">
        <v>20</v>
      </c>
      <c r="P1" s="323" t="s">
        <v>3</v>
      </c>
      <c r="Q1" s="323" t="s">
        <v>4</v>
      </c>
      <c r="R1" s="323" t="s">
        <v>21</v>
      </c>
      <c r="S1" s="334" t="s">
        <v>10</v>
      </c>
      <c r="T1" s="335"/>
      <c r="U1" s="335"/>
      <c r="V1" s="335"/>
      <c r="W1" s="335"/>
      <c r="X1" s="335"/>
      <c r="Y1" s="335"/>
      <c r="Z1" s="336"/>
      <c r="AA1" s="336"/>
      <c r="AB1" s="337"/>
      <c r="AC1" s="314" t="s">
        <v>4</v>
      </c>
      <c r="AD1" s="314"/>
      <c r="AE1" s="342" t="s">
        <v>158</v>
      </c>
      <c r="AF1" s="315"/>
      <c r="AG1" s="342" t="s">
        <v>5</v>
      </c>
      <c r="AH1" s="346" t="s">
        <v>14</v>
      </c>
      <c r="AI1" s="346" t="s">
        <v>6</v>
      </c>
      <c r="AJ1" s="342" t="s">
        <v>23</v>
      </c>
      <c r="AK1" s="343"/>
    </row>
    <row r="2" spans="1:37" ht="15.75" x14ac:dyDescent="0.25">
      <c r="A2" s="317"/>
      <c r="B2" s="331"/>
      <c r="C2" s="326"/>
      <c r="D2" s="324"/>
      <c r="E2" s="324"/>
      <c r="F2" s="324"/>
      <c r="G2" s="320"/>
      <c r="H2" s="322"/>
      <c r="I2" s="328"/>
      <c r="J2" s="324"/>
      <c r="K2" s="324"/>
      <c r="L2" s="324"/>
      <c r="M2" s="324"/>
      <c r="N2" s="324"/>
      <c r="O2" s="324"/>
      <c r="P2" s="324"/>
      <c r="Q2" s="324"/>
      <c r="R2" s="324"/>
      <c r="S2" s="338" t="s">
        <v>11</v>
      </c>
      <c r="T2" s="339"/>
      <c r="U2" s="339"/>
      <c r="V2" s="339"/>
      <c r="W2" s="340"/>
      <c r="X2" s="341"/>
      <c r="Y2" s="333" t="s">
        <v>13</v>
      </c>
      <c r="Z2" s="10"/>
      <c r="AA2" s="10"/>
      <c r="AB2" s="344" t="s">
        <v>22</v>
      </c>
      <c r="AC2" s="10"/>
      <c r="AD2" s="10"/>
      <c r="AE2" s="333"/>
      <c r="AF2" s="333" t="s">
        <v>7</v>
      </c>
      <c r="AG2" s="333"/>
      <c r="AH2" s="347"/>
      <c r="AI2" s="347"/>
      <c r="AJ2" s="333" t="s">
        <v>8</v>
      </c>
      <c r="AK2" s="333" t="s">
        <v>24</v>
      </c>
    </row>
    <row r="3" spans="1:37" ht="32.25" thickBot="1" x14ac:dyDescent="0.3">
      <c r="A3" s="318"/>
      <c r="B3" s="332"/>
      <c r="C3" s="326"/>
      <c r="D3" s="324"/>
      <c r="E3" s="324"/>
      <c r="F3" s="324"/>
      <c r="G3" s="320"/>
      <c r="H3" s="322"/>
      <c r="I3" s="329"/>
      <c r="J3" s="324"/>
      <c r="K3" s="324"/>
      <c r="L3" s="324"/>
      <c r="M3" s="324"/>
      <c r="N3" s="324"/>
      <c r="O3" s="324"/>
      <c r="P3" s="324"/>
      <c r="Q3" s="324"/>
      <c r="R3" s="324"/>
      <c r="S3" s="10" t="s">
        <v>8</v>
      </c>
      <c r="T3" s="10" t="s">
        <v>184</v>
      </c>
      <c r="U3" s="10" t="s">
        <v>183</v>
      </c>
      <c r="V3" s="10" t="s">
        <v>12</v>
      </c>
      <c r="W3" s="10" t="s">
        <v>184</v>
      </c>
      <c r="X3" s="10" t="s">
        <v>183</v>
      </c>
      <c r="Y3" s="333"/>
      <c r="Z3" s="10" t="s">
        <v>184</v>
      </c>
      <c r="AA3" s="10" t="s">
        <v>183</v>
      </c>
      <c r="AB3" s="345"/>
      <c r="AC3" s="10" t="s">
        <v>184</v>
      </c>
      <c r="AD3" s="10" t="s">
        <v>183</v>
      </c>
      <c r="AE3" s="333"/>
      <c r="AF3" s="333"/>
      <c r="AG3" s="333"/>
      <c r="AH3" s="347"/>
      <c r="AI3" s="347"/>
      <c r="AJ3" s="333"/>
      <c r="AK3" s="333"/>
    </row>
    <row r="4" spans="1:37" ht="15.75" x14ac:dyDescent="0.25">
      <c r="A4" s="14">
        <v>0</v>
      </c>
      <c r="B4" s="15"/>
      <c r="C4" s="16">
        <v>1</v>
      </c>
      <c r="D4" s="17" t="s">
        <v>179</v>
      </c>
      <c r="E4" s="17">
        <v>2</v>
      </c>
      <c r="F4" s="17">
        <v>3</v>
      </c>
      <c r="G4" s="17">
        <v>4</v>
      </c>
      <c r="H4" s="17">
        <v>5</v>
      </c>
      <c r="I4" s="17">
        <v>6</v>
      </c>
      <c r="J4" s="17">
        <v>7</v>
      </c>
      <c r="K4" s="17">
        <v>8</v>
      </c>
      <c r="L4" s="17">
        <v>9</v>
      </c>
      <c r="M4" s="17">
        <v>10</v>
      </c>
      <c r="N4" s="17">
        <v>11</v>
      </c>
      <c r="O4" s="17">
        <v>12</v>
      </c>
      <c r="P4" s="17">
        <v>13</v>
      </c>
      <c r="Q4" s="17">
        <v>14</v>
      </c>
      <c r="R4" s="17">
        <v>15</v>
      </c>
      <c r="S4" s="18">
        <v>16</v>
      </c>
      <c r="T4" s="18"/>
      <c r="U4" s="18"/>
      <c r="V4" s="18">
        <v>17</v>
      </c>
      <c r="W4" s="18"/>
      <c r="X4" s="18"/>
      <c r="Y4" s="18">
        <v>18</v>
      </c>
      <c r="Z4" s="13"/>
      <c r="AA4" s="13"/>
      <c r="AB4" s="18">
        <v>19</v>
      </c>
      <c r="AC4" s="18"/>
      <c r="AD4" s="18"/>
      <c r="AE4" s="13" t="s">
        <v>180</v>
      </c>
      <c r="AF4" s="19">
        <v>20</v>
      </c>
      <c r="AG4" s="19">
        <v>21</v>
      </c>
      <c r="AH4" s="19">
        <v>22</v>
      </c>
      <c r="AI4" s="19">
        <v>23</v>
      </c>
      <c r="AJ4" s="19">
        <v>24</v>
      </c>
      <c r="AK4" s="19">
        <v>25</v>
      </c>
    </row>
    <row r="5" spans="1:37" ht="409.5" x14ac:dyDescent="0.25">
      <c r="A5" s="348" t="s">
        <v>1594</v>
      </c>
      <c r="B5" s="20">
        <v>110755</v>
      </c>
      <c r="C5" s="16">
        <v>121</v>
      </c>
      <c r="D5" s="3" t="s">
        <v>172</v>
      </c>
      <c r="E5" s="21" t="s">
        <v>967</v>
      </c>
      <c r="F5" s="22" t="s">
        <v>331</v>
      </c>
      <c r="G5" s="23" t="s">
        <v>255</v>
      </c>
      <c r="H5" s="23" t="s">
        <v>256</v>
      </c>
      <c r="I5" s="24" t="s">
        <v>185</v>
      </c>
      <c r="J5" s="25" t="s">
        <v>514</v>
      </c>
      <c r="K5" s="5">
        <v>43145</v>
      </c>
      <c r="L5" s="5">
        <v>43630</v>
      </c>
      <c r="M5" s="4">
        <f t="shared" ref="M5:M11" si="0">S5/AE5*100</f>
        <v>84.999999517641427</v>
      </c>
      <c r="N5" s="3">
        <v>7</v>
      </c>
      <c r="O5" s="3" t="s">
        <v>265</v>
      </c>
      <c r="P5" s="3" t="s">
        <v>259</v>
      </c>
      <c r="Q5" s="8" t="s">
        <v>212</v>
      </c>
      <c r="R5" s="24" t="s">
        <v>36</v>
      </c>
      <c r="S5" s="2">
        <f t="shared" ref="S5:S7" si="1">T5+U5</f>
        <v>352434.92</v>
      </c>
      <c r="T5" s="26">
        <v>352434.92</v>
      </c>
      <c r="U5" s="2">
        <v>0</v>
      </c>
      <c r="V5" s="27">
        <f t="shared" ref="V5:V12" si="2">W5+X5</f>
        <v>53844.59</v>
      </c>
      <c r="W5" s="26">
        <v>53844.59</v>
      </c>
      <c r="X5" s="27">
        <v>0</v>
      </c>
      <c r="Y5" s="27">
        <f t="shared" ref="Y5" si="3">Z5+AA5</f>
        <v>8349.81</v>
      </c>
      <c r="Z5" s="26">
        <v>8349.81</v>
      </c>
      <c r="AA5" s="27">
        <v>0</v>
      </c>
      <c r="AB5" s="28">
        <f>AC5+AD5</f>
        <v>0</v>
      </c>
      <c r="AC5" s="28"/>
      <c r="AD5" s="28"/>
      <c r="AE5" s="28">
        <f>S5+V5+Y5+AB5</f>
        <v>414629.32</v>
      </c>
      <c r="AF5" s="28">
        <v>0</v>
      </c>
      <c r="AG5" s="28">
        <f t="shared" ref="AG5:AG11" si="4">AE5+AF5</f>
        <v>414629.32</v>
      </c>
      <c r="AH5" s="29" t="s">
        <v>1072</v>
      </c>
      <c r="AI5" s="30" t="s">
        <v>185</v>
      </c>
      <c r="AJ5" s="1">
        <f>18251.2+30807.23+59702.3+126620.25</f>
        <v>235380.98</v>
      </c>
      <c r="AK5" s="31">
        <f>2788.4+4706.69+9121.25+19344.9</f>
        <v>35961.240000000005</v>
      </c>
    </row>
    <row r="6" spans="1:37" ht="157.5" x14ac:dyDescent="0.25">
      <c r="A6" s="348" t="s">
        <v>1595</v>
      </c>
      <c r="B6" s="3">
        <v>109854</v>
      </c>
      <c r="C6" s="16">
        <v>116</v>
      </c>
      <c r="D6" s="3" t="s">
        <v>173</v>
      </c>
      <c r="E6" s="21" t="s">
        <v>967</v>
      </c>
      <c r="F6" s="22" t="s">
        <v>331</v>
      </c>
      <c r="G6" s="33" t="s">
        <v>356</v>
      </c>
      <c r="H6" s="23" t="s">
        <v>357</v>
      </c>
      <c r="I6" s="24" t="s">
        <v>357</v>
      </c>
      <c r="J6" s="34" t="s">
        <v>360</v>
      </c>
      <c r="K6" s="5">
        <v>43186</v>
      </c>
      <c r="L6" s="5">
        <v>43551</v>
      </c>
      <c r="M6" s="4">
        <f t="shared" si="0"/>
        <v>85.000000944809514</v>
      </c>
      <c r="N6" s="3">
        <v>7</v>
      </c>
      <c r="O6" s="3" t="s">
        <v>265</v>
      </c>
      <c r="P6" s="3" t="s">
        <v>358</v>
      </c>
      <c r="Q6" s="8" t="s">
        <v>212</v>
      </c>
      <c r="R6" s="3" t="s">
        <v>36</v>
      </c>
      <c r="S6" s="27">
        <f t="shared" si="1"/>
        <v>359860.9</v>
      </c>
      <c r="T6" s="2">
        <v>359860.9</v>
      </c>
      <c r="U6" s="2">
        <v>0</v>
      </c>
      <c r="V6" s="27">
        <f t="shared" si="2"/>
        <v>55037.54</v>
      </c>
      <c r="W6" s="2">
        <v>55037.54</v>
      </c>
      <c r="X6" s="2">
        <v>0</v>
      </c>
      <c r="Y6" s="27">
        <f>Z6+AA6</f>
        <v>8467.32</v>
      </c>
      <c r="Z6" s="2">
        <v>8467.32</v>
      </c>
      <c r="AA6" s="2">
        <v>0</v>
      </c>
      <c r="AB6" s="28">
        <f t="shared" ref="AB6:AB12" si="5">AC6+AD6</f>
        <v>0</v>
      </c>
      <c r="AC6" s="2"/>
      <c r="AD6" s="2"/>
      <c r="AE6" s="2">
        <f>S6+V6+Y6+AB6</f>
        <v>423365.76</v>
      </c>
      <c r="AF6" s="2">
        <v>0</v>
      </c>
      <c r="AG6" s="2">
        <f t="shared" si="4"/>
        <v>423365.76</v>
      </c>
      <c r="AH6" s="29" t="s">
        <v>1072</v>
      </c>
      <c r="AI6" s="30" t="s">
        <v>349</v>
      </c>
      <c r="AJ6" s="1">
        <f>21516.9+45941.89+93672.06+106670.77</f>
        <v>267801.62</v>
      </c>
      <c r="AK6" s="31">
        <f>3290.82+7026.4+14326.31+16314.36</f>
        <v>40957.89</v>
      </c>
    </row>
    <row r="7" spans="1:37" ht="362.25" x14ac:dyDescent="0.25">
      <c r="A7" s="348" t="s">
        <v>1596</v>
      </c>
      <c r="B7" s="15">
        <v>119560</v>
      </c>
      <c r="C7" s="16">
        <v>471</v>
      </c>
      <c r="D7" s="3" t="s">
        <v>843</v>
      </c>
      <c r="E7" s="24" t="s">
        <v>1040</v>
      </c>
      <c r="F7" s="22" t="s">
        <v>543</v>
      </c>
      <c r="G7" s="21" t="s">
        <v>608</v>
      </c>
      <c r="H7" s="24" t="s">
        <v>607</v>
      </c>
      <c r="I7" s="24" t="s">
        <v>337</v>
      </c>
      <c r="J7" s="21" t="s">
        <v>609</v>
      </c>
      <c r="K7" s="7">
        <v>43265</v>
      </c>
      <c r="L7" s="7">
        <v>43752</v>
      </c>
      <c r="M7" s="4">
        <f t="shared" si="0"/>
        <v>84.216178284166972</v>
      </c>
      <c r="N7" s="3">
        <v>7</v>
      </c>
      <c r="O7" s="3" t="s">
        <v>265</v>
      </c>
      <c r="P7" s="3" t="s">
        <v>610</v>
      </c>
      <c r="Q7" s="8" t="s">
        <v>212</v>
      </c>
      <c r="R7" s="3" t="s">
        <v>36</v>
      </c>
      <c r="S7" s="27">
        <f t="shared" si="1"/>
        <v>336316.07</v>
      </c>
      <c r="T7" s="2">
        <v>336316.07</v>
      </c>
      <c r="U7" s="2">
        <v>0</v>
      </c>
      <c r="V7" s="27">
        <f t="shared" si="2"/>
        <v>55045.45</v>
      </c>
      <c r="W7" s="2">
        <v>55045.45</v>
      </c>
      <c r="X7" s="2">
        <v>0</v>
      </c>
      <c r="Y7" s="27">
        <f t="shared" ref="Y7:Y14" si="6">Z7+AA7</f>
        <v>7987.01</v>
      </c>
      <c r="Z7" s="2">
        <v>7987.01</v>
      </c>
      <c r="AA7" s="2">
        <v>0</v>
      </c>
      <c r="AB7" s="28">
        <f t="shared" si="5"/>
        <v>0</v>
      </c>
      <c r="AC7" s="2">
        <v>0</v>
      </c>
      <c r="AD7" s="2">
        <v>0</v>
      </c>
      <c r="AE7" s="2">
        <f t="shared" ref="AE7:AE12" si="7">S7+V7+Y7</f>
        <v>399348.53</v>
      </c>
      <c r="AF7" s="2"/>
      <c r="AG7" s="2">
        <f t="shared" si="4"/>
        <v>399348.53</v>
      </c>
      <c r="AH7" s="29" t="s">
        <v>586</v>
      </c>
      <c r="AI7" s="30" t="s">
        <v>349</v>
      </c>
      <c r="AJ7" s="1">
        <f>49080.06+14949.98+41134.39-2384.82+15898.81+15022.21+13804.48</f>
        <v>147505.10999999999</v>
      </c>
      <c r="AK7" s="31">
        <f>3856+2638.23+7747.66+2384.82+2297.51+2436.08</f>
        <v>21360.300000000003</v>
      </c>
    </row>
    <row r="8" spans="1:37" ht="189" x14ac:dyDescent="0.25">
      <c r="A8" s="348" t="s">
        <v>1597</v>
      </c>
      <c r="B8" s="15">
        <v>117934</v>
      </c>
      <c r="C8" s="16">
        <v>417</v>
      </c>
      <c r="D8" s="17" t="s">
        <v>684</v>
      </c>
      <c r="E8" s="21" t="s">
        <v>704</v>
      </c>
      <c r="F8" s="22" t="s">
        <v>611</v>
      </c>
      <c r="G8" s="21" t="s">
        <v>659</v>
      </c>
      <c r="H8" s="24" t="s">
        <v>607</v>
      </c>
      <c r="I8" s="17" t="s">
        <v>185</v>
      </c>
      <c r="J8" s="21" t="s">
        <v>660</v>
      </c>
      <c r="K8" s="7">
        <v>43275</v>
      </c>
      <c r="L8" s="7">
        <v>43765</v>
      </c>
      <c r="M8" s="4">
        <f t="shared" si="0"/>
        <v>84.999998780098935</v>
      </c>
      <c r="N8" s="3">
        <v>7</v>
      </c>
      <c r="O8" s="3" t="s">
        <v>265</v>
      </c>
      <c r="P8" s="3" t="s">
        <v>610</v>
      </c>
      <c r="Q8" s="8" t="s">
        <v>212</v>
      </c>
      <c r="R8" s="3" t="s">
        <v>36</v>
      </c>
      <c r="S8" s="27">
        <f>T8+U8</f>
        <v>243872.23</v>
      </c>
      <c r="T8" s="2">
        <v>243872.23</v>
      </c>
      <c r="U8" s="2">
        <v>0</v>
      </c>
      <c r="V8" s="27">
        <f t="shared" si="2"/>
        <v>37298.080000000002</v>
      </c>
      <c r="W8" s="2">
        <v>37298.080000000002</v>
      </c>
      <c r="X8" s="2">
        <v>0</v>
      </c>
      <c r="Y8" s="27">
        <f t="shared" si="6"/>
        <v>5738.2</v>
      </c>
      <c r="Z8" s="2">
        <v>5738.2</v>
      </c>
      <c r="AA8" s="2">
        <v>0</v>
      </c>
      <c r="AB8" s="28">
        <f t="shared" si="5"/>
        <v>0</v>
      </c>
      <c r="AC8" s="35">
        <v>0</v>
      </c>
      <c r="AD8" s="35">
        <v>0</v>
      </c>
      <c r="AE8" s="2">
        <f t="shared" si="7"/>
        <v>286908.51</v>
      </c>
      <c r="AF8" s="2">
        <v>0</v>
      </c>
      <c r="AG8" s="2">
        <f t="shared" si="4"/>
        <v>286908.51</v>
      </c>
      <c r="AH8" s="29" t="s">
        <v>586</v>
      </c>
      <c r="AI8" s="36"/>
      <c r="AJ8" s="2">
        <f>25442.69+26921.69+6885.52+62783.93</f>
        <v>122033.82999999999</v>
      </c>
      <c r="AK8" s="2">
        <f>3248.16+4760.51+1053.08+9602.24</f>
        <v>18663.989999999998</v>
      </c>
    </row>
    <row r="9" spans="1:37" ht="252" x14ac:dyDescent="0.25">
      <c r="A9" s="348" t="s">
        <v>1598</v>
      </c>
      <c r="B9" s="37">
        <v>118740</v>
      </c>
      <c r="C9" s="24">
        <v>436</v>
      </c>
      <c r="D9" s="24" t="s">
        <v>684</v>
      </c>
      <c r="E9" s="21" t="s">
        <v>704</v>
      </c>
      <c r="F9" s="22" t="s">
        <v>611</v>
      </c>
      <c r="G9" s="38" t="s">
        <v>905</v>
      </c>
      <c r="H9" s="24" t="s">
        <v>256</v>
      </c>
      <c r="I9" s="17" t="s">
        <v>185</v>
      </c>
      <c r="J9" s="21" t="s">
        <v>906</v>
      </c>
      <c r="K9" s="7">
        <v>43321</v>
      </c>
      <c r="L9" s="7">
        <v>43808</v>
      </c>
      <c r="M9" s="4">
        <f t="shared" si="0"/>
        <v>85.000000362805537</v>
      </c>
      <c r="N9" s="3">
        <v>7</v>
      </c>
      <c r="O9" s="3" t="s">
        <v>265</v>
      </c>
      <c r="P9" s="3" t="s">
        <v>259</v>
      </c>
      <c r="Q9" s="8" t="s">
        <v>212</v>
      </c>
      <c r="R9" s="3" t="s">
        <v>36</v>
      </c>
      <c r="S9" s="27">
        <f t="shared" ref="S9:S11" si="8">T9+U9</f>
        <v>234285.28</v>
      </c>
      <c r="T9" s="2">
        <v>234285.28</v>
      </c>
      <c r="U9" s="2">
        <v>0</v>
      </c>
      <c r="V9" s="27">
        <f t="shared" si="2"/>
        <v>35831.870000000003</v>
      </c>
      <c r="W9" s="2">
        <v>35831.870000000003</v>
      </c>
      <c r="X9" s="2"/>
      <c r="Y9" s="27">
        <f t="shared" si="6"/>
        <v>5512.59</v>
      </c>
      <c r="Z9" s="2">
        <v>5512.59</v>
      </c>
      <c r="AA9" s="2">
        <v>0</v>
      </c>
      <c r="AB9" s="28">
        <f t="shared" si="5"/>
        <v>0</v>
      </c>
      <c r="AC9" s="35">
        <v>0</v>
      </c>
      <c r="AD9" s="35">
        <v>0</v>
      </c>
      <c r="AE9" s="2">
        <f t="shared" si="7"/>
        <v>275629.74000000005</v>
      </c>
      <c r="AF9" s="2"/>
      <c r="AG9" s="2">
        <f t="shared" si="4"/>
        <v>275629.74000000005</v>
      </c>
      <c r="AH9" s="29" t="s">
        <v>586</v>
      </c>
      <c r="AI9" s="36"/>
      <c r="AJ9" s="2">
        <f>11570.2+74831.96</f>
        <v>86402.16</v>
      </c>
      <c r="AK9" s="2">
        <f>1769.56+11444.89</f>
        <v>13214.449999999999</v>
      </c>
    </row>
    <row r="10" spans="1:37" ht="220.5" x14ac:dyDescent="0.25">
      <c r="A10" s="348" t="s">
        <v>1599</v>
      </c>
      <c r="B10" s="37">
        <v>119862</v>
      </c>
      <c r="C10" s="24">
        <v>483</v>
      </c>
      <c r="D10" s="24" t="s">
        <v>172</v>
      </c>
      <c r="E10" s="24" t="s">
        <v>1040</v>
      </c>
      <c r="F10" s="24" t="s">
        <v>543</v>
      </c>
      <c r="G10" s="38" t="s">
        <v>928</v>
      </c>
      <c r="H10" s="24" t="s">
        <v>929</v>
      </c>
      <c r="I10" s="17" t="s">
        <v>185</v>
      </c>
      <c r="J10" s="21" t="s">
        <v>930</v>
      </c>
      <c r="K10" s="7">
        <v>43325</v>
      </c>
      <c r="L10" s="7">
        <v>43629</v>
      </c>
      <c r="M10" s="4">
        <f t="shared" si="0"/>
        <v>84.999998288155666</v>
      </c>
      <c r="N10" s="3">
        <v>7</v>
      </c>
      <c r="O10" s="3" t="s">
        <v>931</v>
      </c>
      <c r="P10" s="3" t="s">
        <v>932</v>
      </c>
      <c r="Q10" s="8" t="s">
        <v>212</v>
      </c>
      <c r="R10" s="3" t="s">
        <v>36</v>
      </c>
      <c r="S10" s="27">
        <f t="shared" si="8"/>
        <v>223443.21</v>
      </c>
      <c r="T10" s="2">
        <v>223443.21</v>
      </c>
      <c r="U10" s="2">
        <v>0</v>
      </c>
      <c r="V10" s="27">
        <f t="shared" si="2"/>
        <v>34173.67</v>
      </c>
      <c r="W10" s="2">
        <v>34173.67</v>
      </c>
      <c r="X10" s="2">
        <v>0</v>
      </c>
      <c r="Y10" s="27">
        <f t="shared" si="6"/>
        <v>5257.4900000000007</v>
      </c>
      <c r="Z10" s="2">
        <v>5257.4900000000007</v>
      </c>
      <c r="AA10" s="2">
        <v>0</v>
      </c>
      <c r="AB10" s="28">
        <f t="shared" si="5"/>
        <v>0</v>
      </c>
      <c r="AC10" s="39">
        <v>0</v>
      </c>
      <c r="AD10" s="39">
        <v>0</v>
      </c>
      <c r="AE10" s="2">
        <f t="shared" si="7"/>
        <v>262874.37</v>
      </c>
      <c r="AF10" s="2"/>
      <c r="AG10" s="2">
        <f t="shared" si="4"/>
        <v>262874.37</v>
      </c>
      <c r="AH10" s="29" t="s">
        <v>1072</v>
      </c>
      <c r="AI10" s="36"/>
      <c r="AJ10" s="40">
        <f>24006.26+36929.64+11537.62+59157.12</f>
        <v>131630.63999999998</v>
      </c>
      <c r="AK10" s="1">
        <f>3671.55+5648.06+1764.58+9047.56</f>
        <v>20131.75</v>
      </c>
    </row>
    <row r="11" spans="1:37" ht="204.75" x14ac:dyDescent="0.25">
      <c r="A11" s="348" t="s">
        <v>1600</v>
      </c>
      <c r="B11" s="37">
        <v>126492</v>
      </c>
      <c r="C11" s="24">
        <v>568</v>
      </c>
      <c r="D11" s="24" t="s">
        <v>177</v>
      </c>
      <c r="E11" s="24" t="s">
        <v>1040</v>
      </c>
      <c r="F11" s="24" t="s">
        <v>1133</v>
      </c>
      <c r="G11" s="38" t="s">
        <v>1216</v>
      </c>
      <c r="H11" s="24" t="s">
        <v>1317</v>
      </c>
      <c r="I11" s="17" t="s">
        <v>185</v>
      </c>
      <c r="J11" s="21" t="s">
        <v>1217</v>
      </c>
      <c r="K11" s="7">
        <v>43462</v>
      </c>
      <c r="L11" s="7">
        <v>44132</v>
      </c>
      <c r="M11" s="4">
        <f t="shared" si="0"/>
        <v>85.000000278232704</v>
      </c>
      <c r="N11" s="3">
        <v>7</v>
      </c>
      <c r="O11" s="3" t="s">
        <v>931</v>
      </c>
      <c r="P11" s="3" t="s">
        <v>358</v>
      </c>
      <c r="Q11" s="8" t="s">
        <v>212</v>
      </c>
      <c r="R11" s="3" t="s">
        <v>36</v>
      </c>
      <c r="S11" s="27">
        <f t="shared" si="8"/>
        <v>1221998.73</v>
      </c>
      <c r="T11" s="2">
        <v>1221998.73</v>
      </c>
      <c r="U11" s="2">
        <v>0</v>
      </c>
      <c r="V11" s="27">
        <f t="shared" si="2"/>
        <v>186893.92</v>
      </c>
      <c r="W11" s="2">
        <v>186893.92</v>
      </c>
      <c r="X11" s="2">
        <v>0</v>
      </c>
      <c r="Y11" s="27">
        <f t="shared" si="6"/>
        <v>28752.91</v>
      </c>
      <c r="Z11" s="2">
        <v>28752.91</v>
      </c>
      <c r="AA11" s="2">
        <v>0</v>
      </c>
      <c r="AB11" s="28">
        <f t="shared" si="5"/>
        <v>0</v>
      </c>
      <c r="AC11" s="39">
        <v>0</v>
      </c>
      <c r="AD11" s="39">
        <v>0</v>
      </c>
      <c r="AE11" s="2">
        <f t="shared" si="7"/>
        <v>1437645.5599999998</v>
      </c>
      <c r="AF11" s="2"/>
      <c r="AG11" s="2">
        <f t="shared" si="4"/>
        <v>1437645.5599999998</v>
      </c>
      <c r="AH11" s="29" t="s">
        <v>586</v>
      </c>
      <c r="AI11" s="36"/>
      <c r="AJ11" s="40">
        <v>30000</v>
      </c>
      <c r="AK11" s="1">
        <v>0</v>
      </c>
    </row>
    <row r="12" spans="1:37" ht="409.5" x14ac:dyDescent="0.25">
      <c r="A12" s="348" t="s">
        <v>1601</v>
      </c>
      <c r="B12" s="37">
        <v>126520</v>
      </c>
      <c r="C12" s="24">
        <v>550</v>
      </c>
      <c r="D12" s="24" t="s">
        <v>177</v>
      </c>
      <c r="E12" s="24" t="s">
        <v>1040</v>
      </c>
      <c r="F12" s="24" t="s">
        <v>1133</v>
      </c>
      <c r="G12" s="38" t="s">
        <v>1252</v>
      </c>
      <c r="H12" s="24" t="s">
        <v>1254</v>
      </c>
      <c r="I12" s="17" t="s">
        <v>185</v>
      </c>
      <c r="J12" s="41" t="s">
        <v>1253</v>
      </c>
      <c r="K12" s="7">
        <v>43504</v>
      </c>
      <c r="L12" s="7">
        <v>44294</v>
      </c>
      <c r="M12" s="4">
        <f t="shared" ref="M12" si="9">S12/AE12*100</f>
        <v>84.999999104679475</v>
      </c>
      <c r="N12" s="3">
        <v>7</v>
      </c>
      <c r="O12" s="3" t="s">
        <v>931</v>
      </c>
      <c r="P12" s="3" t="s">
        <v>358</v>
      </c>
      <c r="Q12" s="8" t="s">
        <v>212</v>
      </c>
      <c r="R12" s="3" t="s">
        <v>36</v>
      </c>
      <c r="S12" s="27">
        <f t="shared" ref="S12:S15" si="10">T12+U12</f>
        <v>2231044.54</v>
      </c>
      <c r="T12" s="2">
        <v>2231044.54</v>
      </c>
      <c r="U12" s="2">
        <v>0</v>
      </c>
      <c r="V12" s="27">
        <f t="shared" si="2"/>
        <v>341218.6</v>
      </c>
      <c r="W12" s="2">
        <v>341218.6</v>
      </c>
      <c r="X12" s="2">
        <v>0</v>
      </c>
      <c r="Y12" s="27">
        <f t="shared" si="6"/>
        <v>52495.17</v>
      </c>
      <c r="Z12" s="2">
        <v>52495.17</v>
      </c>
      <c r="AA12" s="2">
        <v>0</v>
      </c>
      <c r="AB12" s="28">
        <f t="shared" si="5"/>
        <v>0</v>
      </c>
      <c r="AC12" s="39">
        <v>0</v>
      </c>
      <c r="AD12" s="39">
        <v>0</v>
      </c>
      <c r="AE12" s="2">
        <f t="shared" si="7"/>
        <v>2624758.31</v>
      </c>
      <c r="AF12" s="2"/>
      <c r="AG12" s="2">
        <f t="shared" ref="AG12:AG15" si="11">AE12+AF12</f>
        <v>2624758.31</v>
      </c>
      <c r="AH12" s="29" t="s">
        <v>586</v>
      </c>
      <c r="AI12" s="36" t="s">
        <v>1472</v>
      </c>
      <c r="AJ12" s="40">
        <v>0</v>
      </c>
      <c r="AK12" s="1">
        <v>0</v>
      </c>
    </row>
    <row r="13" spans="1:37" ht="378" x14ac:dyDescent="0.25">
      <c r="A13" s="348" t="s">
        <v>1602</v>
      </c>
      <c r="B13" s="37">
        <v>126539</v>
      </c>
      <c r="C13" s="24">
        <v>574</v>
      </c>
      <c r="D13" s="24" t="s">
        <v>174</v>
      </c>
      <c r="E13" s="24" t="s">
        <v>967</v>
      </c>
      <c r="F13" s="24" t="s">
        <v>1133</v>
      </c>
      <c r="G13" s="38" t="s">
        <v>1325</v>
      </c>
      <c r="H13" s="24" t="s">
        <v>256</v>
      </c>
      <c r="I13" s="17" t="s">
        <v>185</v>
      </c>
      <c r="J13" s="41" t="s">
        <v>1326</v>
      </c>
      <c r="K13" s="7">
        <v>43552</v>
      </c>
      <c r="L13" s="7">
        <v>44467</v>
      </c>
      <c r="M13" s="4">
        <f>S13/AE13*100</f>
        <v>85.000000056453686</v>
      </c>
      <c r="N13" s="3">
        <v>7</v>
      </c>
      <c r="O13" s="3" t="s">
        <v>265</v>
      </c>
      <c r="P13" s="3" t="s">
        <v>259</v>
      </c>
      <c r="Q13" s="8" t="s">
        <v>212</v>
      </c>
      <c r="R13" s="3" t="s">
        <v>36</v>
      </c>
      <c r="S13" s="27">
        <f t="shared" si="10"/>
        <v>3011318.02</v>
      </c>
      <c r="T13" s="2">
        <v>3011318.02</v>
      </c>
      <c r="U13" s="2">
        <v>0</v>
      </c>
      <c r="V13" s="27">
        <f t="shared" ref="V13:V15" si="12">W13+X13</f>
        <v>460554.52</v>
      </c>
      <c r="W13" s="2">
        <v>460554.52</v>
      </c>
      <c r="X13" s="2">
        <v>0</v>
      </c>
      <c r="Y13" s="27">
        <f t="shared" si="6"/>
        <v>70854.539999999994</v>
      </c>
      <c r="Z13" s="2">
        <v>70854.539999999994</v>
      </c>
      <c r="AA13" s="2">
        <v>0</v>
      </c>
      <c r="AB13" s="28">
        <f>AC13+AD13</f>
        <v>0</v>
      </c>
      <c r="AC13" s="39">
        <v>0</v>
      </c>
      <c r="AD13" s="39">
        <v>0</v>
      </c>
      <c r="AE13" s="2">
        <f>S13+V13+Y13+AB13</f>
        <v>3542727.08</v>
      </c>
      <c r="AF13" s="2">
        <v>65688</v>
      </c>
      <c r="AG13" s="2">
        <f t="shared" si="11"/>
        <v>3608415.08</v>
      </c>
      <c r="AH13" s="29" t="s">
        <v>586</v>
      </c>
      <c r="AI13" s="36" t="s">
        <v>185</v>
      </c>
      <c r="AJ13" s="40">
        <v>0</v>
      </c>
      <c r="AK13" s="1">
        <v>0</v>
      </c>
    </row>
    <row r="14" spans="1:37" ht="409.5" x14ac:dyDescent="0.25">
      <c r="A14" s="348" t="s">
        <v>1603</v>
      </c>
      <c r="B14" s="37">
        <v>126063</v>
      </c>
      <c r="C14" s="24">
        <v>512</v>
      </c>
      <c r="D14" s="24" t="s">
        <v>171</v>
      </c>
      <c r="E14" s="24" t="s">
        <v>967</v>
      </c>
      <c r="F14" s="24" t="s">
        <v>1133</v>
      </c>
      <c r="G14" s="42" t="s">
        <v>1334</v>
      </c>
      <c r="H14" s="24" t="s">
        <v>607</v>
      </c>
      <c r="I14" s="24" t="s">
        <v>782</v>
      </c>
      <c r="J14" s="41" t="s">
        <v>1335</v>
      </c>
      <c r="K14" s="7">
        <v>43552</v>
      </c>
      <c r="L14" s="7">
        <v>44467</v>
      </c>
      <c r="M14" s="4">
        <f t="shared" ref="M14:M15" si="13">S14/AE14*100</f>
        <v>84.408145121705388</v>
      </c>
      <c r="N14" s="3">
        <v>7</v>
      </c>
      <c r="O14" s="3" t="s">
        <v>265</v>
      </c>
      <c r="P14" s="3" t="s">
        <v>610</v>
      </c>
      <c r="Q14" s="8" t="s">
        <v>212</v>
      </c>
      <c r="R14" s="3" t="s">
        <v>36</v>
      </c>
      <c r="S14" s="27">
        <f t="shared" si="10"/>
        <v>2846403.24</v>
      </c>
      <c r="T14" s="2">
        <v>2846403.24</v>
      </c>
      <c r="U14" s="2">
        <v>0</v>
      </c>
      <c r="V14" s="27">
        <f t="shared" si="12"/>
        <v>458343.2</v>
      </c>
      <c r="W14" s="2">
        <v>458343.2</v>
      </c>
      <c r="X14" s="2">
        <v>0</v>
      </c>
      <c r="Y14" s="27">
        <f t="shared" si="6"/>
        <v>43963.23</v>
      </c>
      <c r="Z14" s="2">
        <v>43963.23</v>
      </c>
      <c r="AA14" s="2">
        <v>0</v>
      </c>
      <c r="AB14" s="28">
        <f t="shared" ref="AB14:AB15" si="14">AC14+AD14</f>
        <v>23480.58</v>
      </c>
      <c r="AC14" s="39">
        <v>23480.58</v>
      </c>
      <c r="AD14" s="39">
        <v>0</v>
      </c>
      <c r="AE14" s="2">
        <f t="shared" ref="AE14" si="15">S14+V14+Y14+AB14</f>
        <v>3372190.2500000005</v>
      </c>
      <c r="AF14" s="2">
        <v>0</v>
      </c>
      <c r="AG14" s="2">
        <f t="shared" si="11"/>
        <v>3372190.2500000005</v>
      </c>
      <c r="AH14" s="29" t="s">
        <v>586</v>
      </c>
      <c r="AI14" s="36" t="s">
        <v>185</v>
      </c>
      <c r="AJ14" s="40">
        <v>337218</v>
      </c>
      <c r="AK14" s="1">
        <v>0</v>
      </c>
    </row>
    <row r="15" spans="1:37" ht="157.5" x14ac:dyDescent="0.25">
      <c r="A15" s="348" t="s">
        <v>1604</v>
      </c>
      <c r="B15" s="37">
        <v>128599</v>
      </c>
      <c r="C15" s="24">
        <v>637</v>
      </c>
      <c r="D15" s="24" t="s">
        <v>174</v>
      </c>
      <c r="E15" s="21" t="s">
        <v>967</v>
      </c>
      <c r="F15" s="24" t="s">
        <v>1416</v>
      </c>
      <c r="G15" s="42" t="s">
        <v>1477</v>
      </c>
      <c r="H15" s="24" t="s">
        <v>1317</v>
      </c>
      <c r="I15" s="24" t="s">
        <v>185</v>
      </c>
      <c r="J15" s="41" t="s">
        <v>1478</v>
      </c>
      <c r="K15" s="7">
        <v>43634</v>
      </c>
      <c r="L15" s="7">
        <v>44365</v>
      </c>
      <c r="M15" s="4">
        <f t="shared" si="13"/>
        <v>85</v>
      </c>
      <c r="N15" s="3">
        <v>7</v>
      </c>
      <c r="O15" s="3" t="s">
        <v>931</v>
      </c>
      <c r="P15" s="3" t="s">
        <v>358</v>
      </c>
      <c r="Q15" s="8" t="s">
        <v>212</v>
      </c>
      <c r="R15" s="3" t="s">
        <v>36</v>
      </c>
      <c r="S15" s="27">
        <f t="shared" si="10"/>
        <v>848667.88</v>
      </c>
      <c r="T15" s="2">
        <v>848667.88</v>
      </c>
      <c r="U15" s="2">
        <v>0</v>
      </c>
      <c r="V15" s="27">
        <f t="shared" si="12"/>
        <v>129796.26</v>
      </c>
      <c r="W15" s="2">
        <v>129796.26</v>
      </c>
      <c r="X15" s="2">
        <v>0</v>
      </c>
      <c r="Y15" s="27">
        <f t="shared" ref="Y15" si="16">Z15+AA15</f>
        <v>19968.66</v>
      </c>
      <c r="Z15" s="2">
        <v>19968.66</v>
      </c>
      <c r="AA15" s="2">
        <v>0</v>
      </c>
      <c r="AB15" s="28">
        <f t="shared" si="14"/>
        <v>0</v>
      </c>
      <c r="AC15" s="39">
        <v>0</v>
      </c>
      <c r="AD15" s="39">
        <v>0</v>
      </c>
      <c r="AE15" s="2">
        <f t="shared" ref="AE15" si="17">S15+V15+Y15</f>
        <v>998432.8</v>
      </c>
      <c r="AF15" s="2">
        <v>0</v>
      </c>
      <c r="AG15" s="2">
        <f t="shared" si="11"/>
        <v>998432.8</v>
      </c>
      <c r="AH15" s="29" t="s">
        <v>586</v>
      </c>
      <c r="AI15" s="36"/>
      <c r="AJ15" s="40">
        <v>0</v>
      </c>
      <c r="AK15" s="1">
        <v>0</v>
      </c>
    </row>
    <row r="16" spans="1:37" ht="204.75" x14ac:dyDescent="0.25">
      <c r="A16" s="348" t="s">
        <v>1605</v>
      </c>
      <c r="B16" s="20">
        <v>120637</v>
      </c>
      <c r="C16" s="16">
        <v>86</v>
      </c>
      <c r="D16" s="3" t="s">
        <v>171</v>
      </c>
      <c r="E16" s="21" t="s">
        <v>967</v>
      </c>
      <c r="F16" s="22" t="s">
        <v>331</v>
      </c>
      <c r="G16" s="23" t="s">
        <v>272</v>
      </c>
      <c r="H16" s="24" t="s">
        <v>273</v>
      </c>
      <c r="I16" s="3" t="s">
        <v>185</v>
      </c>
      <c r="J16" s="25" t="s">
        <v>1285</v>
      </c>
      <c r="K16" s="5">
        <v>43145</v>
      </c>
      <c r="L16" s="5">
        <v>43510</v>
      </c>
      <c r="M16" s="4">
        <f t="shared" ref="M16:M18" si="18">S16/AE16*100</f>
        <v>85.000001183738732</v>
      </c>
      <c r="N16" s="3">
        <v>5</v>
      </c>
      <c r="O16" s="3" t="s">
        <v>274</v>
      </c>
      <c r="P16" s="3" t="s">
        <v>274</v>
      </c>
      <c r="Q16" s="44" t="s">
        <v>212</v>
      </c>
      <c r="R16" s="3" t="s">
        <v>36</v>
      </c>
      <c r="S16" s="2">
        <f t="shared" ref="S16:S18" si="19">T16+U16</f>
        <v>359031.93</v>
      </c>
      <c r="T16" s="26">
        <v>359031.93</v>
      </c>
      <c r="U16" s="2">
        <v>0</v>
      </c>
      <c r="V16" s="2">
        <f t="shared" ref="V16:V18" si="20">W16+X16</f>
        <v>54910.76</v>
      </c>
      <c r="W16" s="2">
        <v>54910.76</v>
      </c>
      <c r="X16" s="2">
        <v>0</v>
      </c>
      <c r="Y16" s="2">
        <f t="shared" ref="Y16:Y18" si="21">Z16+AA16</f>
        <v>8447.81</v>
      </c>
      <c r="Z16" s="2">
        <v>8447.81</v>
      </c>
      <c r="AA16" s="2">
        <v>0</v>
      </c>
      <c r="AB16" s="2">
        <f>AC16+AD16</f>
        <v>0</v>
      </c>
      <c r="AC16" s="2"/>
      <c r="AD16" s="2"/>
      <c r="AE16" s="2">
        <f>S16+V16+Y16+AB16</f>
        <v>422390.5</v>
      </c>
      <c r="AF16" s="2">
        <v>0</v>
      </c>
      <c r="AG16" s="2">
        <f t="shared" ref="AG16:AG18" si="22">AE16+AF16</f>
        <v>422390.5</v>
      </c>
      <c r="AH16" s="29" t="s">
        <v>1072</v>
      </c>
      <c r="AI16" s="30" t="s">
        <v>185</v>
      </c>
      <c r="AJ16" s="1">
        <f>50.58+71118.57+211342.81</f>
        <v>282511.96000000002</v>
      </c>
      <c r="AK16" s="31">
        <f>7.73+10876.95+32323.01</f>
        <v>43207.69</v>
      </c>
    </row>
    <row r="17" spans="1:37" ht="141.75" x14ac:dyDescent="0.25">
      <c r="A17" s="348" t="s">
        <v>1606</v>
      </c>
      <c r="B17" s="20">
        <v>119520</v>
      </c>
      <c r="C17" s="20">
        <v>465</v>
      </c>
      <c r="D17" s="20" t="s">
        <v>684</v>
      </c>
      <c r="E17" s="24" t="s">
        <v>1040</v>
      </c>
      <c r="F17" s="21" t="s">
        <v>543</v>
      </c>
      <c r="G17" s="21" t="s">
        <v>757</v>
      </c>
      <c r="H17" s="24" t="s">
        <v>758</v>
      </c>
      <c r="I17" s="24" t="s">
        <v>759</v>
      </c>
      <c r="J17" s="21" t="s">
        <v>760</v>
      </c>
      <c r="K17" s="7">
        <v>43292</v>
      </c>
      <c r="L17" s="7">
        <v>43780</v>
      </c>
      <c r="M17" s="4">
        <f t="shared" si="18"/>
        <v>85.000001465751467</v>
      </c>
      <c r="N17" s="17">
        <v>5</v>
      </c>
      <c r="O17" s="3" t="s">
        <v>274</v>
      </c>
      <c r="P17" s="3" t="s">
        <v>274</v>
      </c>
      <c r="Q17" s="17" t="s">
        <v>212</v>
      </c>
      <c r="R17" s="3" t="s">
        <v>36</v>
      </c>
      <c r="S17" s="2">
        <f t="shared" si="19"/>
        <v>231962.93</v>
      </c>
      <c r="T17" s="31">
        <v>231962.93</v>
      </c>
      <c r="U17" s="45">
        <v>0</v>
      </c>
      <c r="V17" s="2">
        <f t="shared" si="20"/>
        <v>35476.67</v>
      </c>
      <c r="W17" s="31">
        <v>35476.67</v>
      </c>
      <c r="X17" s="45">
        <v>0</v>
      </c>
      <c r="Y17" s="2">
        <f t="shared" si="21"/>
        <v>5457.96</v>
      </c>
      <c r="Z17" s="31">
        <v>5457.96</v>
      </c>
      <c r="AA17" s="31">
        <v>0</v>
      </c>
      <c r="AB17" s="2">
        <f t="shared" ref="AB17:AB18" si="23">AC17+AD17</f>
        <v>0</v>
      </c>
      <c r="AC17" s="39">
        <v>0</v>
      </c>
      <c r="AD17" s="39">
        <v>0</v>
      </c>
      <c r="AE17" s="2">
        <f t="shared" ref="AE17:AE18" si="24">S17+V17+Y17+AB17</f>
        <v>272897.56</v>
      </c>
      <c r="AF17" s="36">
        <v>0</v>
      </c>
      <c r="AG17" s="2">
        <f t="shared" si="22"/>
        <v>272897.56</v>
      </c>
      <c r="AH17" s="29" t="s">
        <v>586</v>
      </c>
      <c r="AI17" s="36" t="s">
        <v>185</v>
      </c>
      <c r="AJ17" s="1">
        <v>24243.73</v>
      </c>
      <c r="AK17" s="31">
        <v>3707.87</v>
      </c>
    </row>
    <row r="18" spans="1:37" s="50" customFormat="1" ht="141.75" x14ac:dyDescent="0.25">
      <c r="A18" s="348" t="s">
        <v>1607</v>
      </c>
      <c r="B18" s="37">
        <v>116692</v>
      </c>
      <c r="C18" s="24">
        <v>408</v>
      </c>
      <c r="D18" s="24" t="s">
        <v>843</v>
      </c>
      <c r="E18" s="21" t="s">
        <v>704</v>
      </c>
      <c r="F18" s="21" t="s">
        <v>611</v>
      </c>
      <c r="G18" s="21" t="s">
        <v>907</v>
      </c>
      <c r="H18" s="24" t="s">
        <v>758</v>
      </c>
      <c r="I18" s="24" t="s">
        <v>185</v>
      </c>
      <c r="J18" s="46" t="s">
        <v>908</v>
      </c>
      <c r="K18" s="7">
        <v>43321</v>
      </c>
      <c r="L18" s="7">
        <v>43720</v>
      </c>
      <c r="M18" s="47">
        <f t="shared" si="18"/>
        <v>85.000000534892237</v>
      </c>
      <c r="N18" s="24">
        <v>5</v>
      </c>
      <c r="O18" s="3" t="s">
        <v>274</v>
      </c>
      <c r="P18" s="3" t="s">
        <v>274</v>
      </c>
      <c r="Q18" s="17" t="s">
        <v>212</v>
      </c>
      <c r="R18" s="3" t="s">
        <v>36</v>
      </c>
      <c r="S18" s="28">
        <f t="shared" si="19"/>
        <v>317821.02</v>
      </c>
      <c r="T18" s="1">
        <v>317821.02</v>
      </c>
      <c r="U18" s="48">
        <v>0</v>
      </c>
      <c r="V18" s="28">
        <f t="shared" si="20"/>
        <v>48607.91</v>
      </c>
      <c r="W18" s="1">
        <v>48607.91</v>
      </c>
      <c r="X18" s="48">
        <v>0</v>
      </c>
      <c r="Y18" s="28">
        <f t="shared" si="21"/>
        <v>7478.15</v>
      </c>
      <c r="Z18" s="1">
        <v>7478.15</v>
      </c>
      <c r="AA18" s="1">
        <v>0</v>
      </c>
      <c r="AB18" s="28">
        <f t="shared" si="23"/>
        <v>0</v>
      </c>
      <c r="AC18" s="39">
        <v>0</v>
      </c>
      <c r="AD18" s="39">
        <v>0</v>
      </c>
      <c r="AE18" s="28">
        <f t="shared" si="24"/>
        <v>373907.08000000007</v>
      </c>
      <c r="AF18" s="29">
        <v>0</v>
      </c>
      <c r="AG18" s="28">
        <f t="shared" si="22"/>
        <v>373907.08000000007</v>
      </c>
      <c r="AH18" s="29" t="s">
        <v>586</v>
      </c>
      <c r="AI18" s="36" t="s">
        <v>185</v>
      </c>
      <c r="AJ18" s="1">
        <v>8730.06</v>
      </c>
      <c r="AK18" s="1">
        <v>1335.19</v>
      </c>
    </row>
    <row r="19" spans="1:37" s="50" customFormat="1" ht="409.5" x14ac:dyDescent="0.25">
      <c r="A19" s="348" t="s">
        <v>1608</v>
      </c>
      <c r="B19" s="37">
        <v>126495</v>
      </c>
      <c r="C19" s="24">
        <v>558</v>
      </c>
      <c r="D19" s="24" t="s">
        <v>174</v>
      </c>
      <c r="E19" s="21" t="s">
        <v>967</v>
      </c>
      <c r="F19" s="21" t="s">
        <v>1133</v>
      </c>
      <c r="G19" s="21" t="s">
        <v>1369</v>
      </c>
      <c r="H19" s="24" t="s">
        <v>273</v>
      </c>
      <c r="I19" s="24" t="s">
        <v>185</v>
      </c>
      <c r="J19" s="46" t="s">
        <v>1370</v>
      </c>
      <c r="K19" s="7">
        <v>43570</v>
      </c>
      <c r="L19" s="7">
        <v>44423</v>
      </c>
      <c r="M19" s="47">
        <f t="shared" ref="M19" si="25">S19/AE19*100</f>
        <v>85</v>
      </c>
      <c r="N19" s="24">
        <v>5</v>
      </c>
      <c r="O19" s="3" t="s">
        <v>274</v>
      </c>
      <c r="P19" s="3" t="s">
        <v>274</v>
      </c>
      <c r="Q19" s="17" t="s">
        <v>212</v>
      </c>
      <c r="R19" s="3" t="s">
        <v>36</v>
      </c>
      <c r="S19" s="28">
        <f t="shared" ref="S19" si="26">T19+U19</f>
        <v>3025356.04</v>
      </c>
      <c r="T19" s="1">
        <v>3025356.04</v>
      </c>
      <c r="U19" s="48">
        <v>0</v>
      </c>
      <c r="V19" s="28">
        <f t="shared" ref="V19" si="27">W19+X19</f>
        <v>462701.51</v>
      </c>
      <c r="W19" s="1">
        <v>462701.51</v>
      </c>
      <c r="X19" s="48">
        <v>0</v>
      </c>
      <c r="Y19" s="28">
        <f t="shared" ref="Y19" si="28">Z19+AA19</f>
        <v>71184.850000000006</v>
      </c>
      <c r="Z19" s="1">
        <v>71184.850000000006</v>
      </c>
      <c r="AA19" s="1">
        <v>0</v>
      </c>
      <c r="AB19" s="28">
        <f>AC19+AD19</f>
        <v>0</v>
      </c>
      <c r="AC19" s="39"/>
      <c r="AD19" s="39"/>
      <c r="AE19" s="28">
        <f>S19+V19+Y19+AB19</f>
        <v>3559242.4</v>
      </c>
      <c r="AF19" s="29">
        <v>0</v>
      </c>
      <c r="AG19" s="28">
        <f t="shared" ref="AG19" si="29">AE19+AF19</f>
        <v>3559242.4</v>
      </c>
      <c r="AH19" s="29" t="s">
        <v>871</v>
      </c>
      <c r="AI19" s="36"/>
      <c r="AJ19" s="1">
        <v>0</v>
      </c>
      <c r="AK19" s="1">
        <v>0</v>
      </c>
    </row>
    <row r="20" spans="1:37" ht="189" x14ac:dyDescent="0.25">
      <c r="A20" s="348" t="s">
        <v>1609</v>
      </c>
      <c r="B20" s="20">
        <v>120652</v>
      </c>
      <c r="C20" s="16">
        <v>91</v>
      </c>
      <c r="D20" s="3" t="s">
        <v>173</v>
      </c>
      <c r="E20" s="21" t="s">
        <v>967</v>
      </c>
      <c r="F20" s="22" t="s">
        <v>331</v>
      </c>
      <c r="G20" s="23" t="s">
        <v>239</v>
      </c>
      <c r="H20" s="23" t="s">
        <v>244</v>
      </c>
      <c r="I20" s="3" t="s">
        <v>185</v>
      </c>
      <c r="J20" s="51" t="s">
        <v>245</v>
      </c>
      <c r="K20" s="5">
        <v>43145</v>
      </c>
      <c r="L20" s="5">
        <v>43510</v>
      </c>
      <c r="M20" s="4">
        <f t="shared" ref="M20:M27" si="30">S20/AE20*100</f>
        <v>84.999999389755786</v>
      </c>
      <c r="N20" s="3">
        <v>3</v>
      </c>
      <c r="O20" s="3" t="s">
        <v>241</v>
      </c>
      <c r="P20" s="3" t="s">
        <v>243</v>
      </c>
      <c r="Q20" s="44" t="s">
        <v>212</v>
      </c>
      <c r="R20" s="3" t="s">
        <v>36</v>
      </c>
      <c r="S20" s="2">
        <f t="shared" ref="S20" si="31">T20+U20</f>
        <v>348221.24</v>
      </c>
      <c r="T20" s="2">
        <v>348221.24</v>
      </c>
      <c r="U20" s="2">
        <v>0</v>
      </c>
      <c r="V20" s="2">
        <f t="shared" ref="V20:V27" si="32">W20+X20</f>
        <v>53257.37</v>
      </c>
      <c r="W20" s="2">
        <v>53257.37</v>
      </c>
      <c r="X20" s="2">
        <v>0</v>
      </c>
      <c r="Y20" s="2">
        <f t="shared" ref="Y20:Y27" si="33">Z20+AA20</f>
        <v>8193.44</v>
      </c>
      <c r="Z20" s="2">
        <v>8193.44</v>
      </c>
      <c r="AA20" s="2">
        <v>0</v>
      </c>
      <c r="AB20" s="2">
        <f>AC20+AD20</f>
        <v>0</v>
      </c>
      <c r="AC20" s="2"/>
      <c r="AD20" s="2"/>
      <c r="AE20" s="2">
        <f>S20+V20+Y20+AB20</f>
        <v>409672.05</v>
      </c>
      <c r="AF20" s="2">
        <v>0</v>
      </c>
      <c r="AG20" s="2">
        <f t="shared" ref="AG20:AG27" si="34">AE20+AF20</f>
        <v>409672.05</v>
      </c>
      <c r="AH20" s="29" t="s">
        <v>1072</v>
      </c>
      <c r="AI20" s="30" t="s">
        <v>1124</v>
      </c>
      <c r="AJ20" s="1">
        <f>12919.73+21747.25+49513.87-529.62+197106.06+10487.81+43247.58</f>
        <v>334492.68000000005</v>
      </c>
      <c r="AK20" s="52">
        <f>12122.18+529.62+30287.56+1604.02+6614.33</f>
        <v>51157.71</v>
      </c>
    </row>
    <row r="21" spans="1:37" ht="173.25" x14ac:dyDescent="0.25">
      <c r="A21" s="348" t="s">
        <v>1610</v>
      </c>
      <c r="B21" s="20">
        <v>118191</v>
      </c>
      <c r="C21" s="53">
        <v>423</v>
      </c>
      <c r="D21" s="3" t="s">
        <v>684</v>
      </c>
      <c r="E21" s="21" t="s">
        <v>704</v>
      </c>
      <c r="F21" s="22" t="s">
        <v>611</v>
      </c>
      <c r="G21" s="23" t="s">
        <v>698</v>
      </c>
      <c r="H21" s="21" t="s">
        <v>699</v>
      </c>
      <c r="I21" s="24"/>
      <c r="J21" s="25" t="s">
        <v>700</v>
      </c>
      <c r="K21" s="5">
        <v>43284</v>
      </c>
      <c r="L21" s="5">
        <v>43649</v>
      </c>
      <c r="M21" s="4">
        <f t="shared" si="30"/>
        <v>85.000001358659858</v>
      </c>
      <c r="N21" s="3">
        <v>3</v>
      </c>
      <c r="O21" s="3" t="s">
        <v>241</v>
      </c>
      <c r="P21" s="3" t="s">
        <v>243</v>
      </c>
      <c r="Q21" s="8" t="s">
        <v>212</v>
      </c>
      <c r="R21" s="24" t="s">
        <v>36</v>
      </c>
      <c r="S21" s="54">
        <v>250246.6</v>
      </c>
      <c r="T21" s="1">
        <v>250246.6</v>
      </c>
      <c r="U21" s="2">
        <v>0</v>
      </c>
      <c r="V21" s="54">
        <f t="shared" si="32"/>
        <v>38273</v>
      </c>
      <c r="W21" s="55">
        <v>38273</v>
      </c>
      <c r="X21" s="2">
        <v>0</v>
      </c>
      <c r="Y21" s="54">
        <v>5888.16</v>
      </c>
      <c r="Z21" s="2">
        <v>5888.16</v>
      </c>
      <c r="AA21" s="2">
        <v>0</v>
      </c>
      <c r="AB21" s="2">
        <f t="shared" ref="AB21:AB31" si="35">AC21+AD21</f>
        <v>0</v>
      </c>
      <c r="AC21" s="2">
        <v>0</v>
      </c>
      <c r="AD21" s="2">
        <v>0</v>
      </c>
      <c r="AE21" s="2">
        <f>S21+V21+Y21</f>
        <v>294407.75999999995</v>
      </c>
      <c r="AF21" s="2"/>
      <c r="AG21" s="2">
        <f t="shared" si="34"/>
        <v>294407.75999999995</v>
      </c>
      <c r="AH21" s="29" t="s">
        <v>1072</v>
      </c>
      <c r="AI21" s="56" t="s">
        <v>185</v>
      </c>
      <c r="AJ21" s="57">
        <f>36499+66741.15+31009.7</f>
        <v>134249.85</v>
      </c>
      <c r="AK21" s="31">
        <f>5582.2+10207.47+4742.66</f>
        <v>20532.329999999998</v>
      </c>
    </row>
    <row r="22" spans="1:37" ht="157.5" x14ac:dyDescent="0.25">
      <c r="A22" s="348" t="s">
        <v>1611</v>
      </c>
      <c r="B22" s="15">
        <v>118741</v>
      </c>
      <c r="C22" s="16">
        <v>459</v>
      </c>
      <c r="D22" s="17" t="s">
        <v>172</v>
      </c>
      <c r="E22" s="24" t="s">
        <v>1040</v>
      </c>
      <c r="F22" s="21" t="s">
        <v>543</v>
      </c>
      <c r="G22" s="21" t="s">
        <v>729</v>
      </c>
      <c r="H22" s="21" t="s">
        <v>730</v>
      </c>
      <c r="I22" s="17" t="s">
        <v>185</v>
      </c>
      <c r="J22" s="21" t="s">
        <v>731</v>
      </c>
      <c r="K22" s="5">
        <v>43290</v>
      </c>
      <c r="L22" s="7">
        <v>43778</v>
      </c>
      <c r="M22" s="4">
        <f t="shared" si="30"/>
        <v>85.00000356420064</v>
      </c>
      <c r="N22" s="3">
        <v>3</v>
      </c>
      <c r="O22" s="7" t="s">
        <v>241</v>
      </c>
      <c r="P22" s="7" t="s">
        <v>243</v>
      </c>
      <c r="Q22" s="7" t="s">
        <v>212</v>
      </c>
      <c r="R22" s="3" t="s">
        <v>36</v>
      </c>
      <c r="S22" s="27">
        <v>512737.71</v>
      </c>
      <c r="T22" s="2">
        <v>512737.71</v>
      </c>
      <c r="U22" s="2">
        <v>0</v>
      </c>
      <c r="V22" s="27">
        <v>78418.69</v>
      </c>
      <c r="W22" s="2">
        <v>78418.69</v>
      </c>
      <c r="X22" s="2">
        <v>0</v>
      </c>
      <c r="Y22" s="2">
        <v>12064.41</v>
      </c>
      <c r="Z22" s="2">
        <v>12064.41</v>
      </c>
      <c r="AA22" s="2">
        <v>0</v>
      </c>
      <c r="AB22" s="2">
        <f t="shared" si="35"/>
        <v>0</v>
      </c>
      <c r="AC22" s="2">
        <v>0</v>
      </c>
      <c r="AD22" s="2">
        <v>0</v>
      </c>
      <c r="AE22" s="2">
        <f>S22+V22+Y22</f>
        <v>603220.81000000006</v>
      </c>
      <c r="AF22" s="36"/>
      <c r="AG22" s="2">
        <f t="shared" si="34"/>
        <v>603220.81000000006</v>
      </c>
      <c r="AH22" s="29" t="s">
        <v>586</v>
      </c>
      <c r="AI22" s="36"/>
      <c r="AJ22" s="31">
        <f>37011.15+21320.94+41999.8</f>
        <v>100331.89</v>
      </c>
      <c r="AK22" s="31">
        <f>5660.53+3260.85+6423.49</f>
        <v>15344.869999999999</v>
      </c>
    </row>
    <row r="23" spans="1:37" ht="204.75" x14ac:dyDescent="0.25">
      <c r="A23" s="348" t="s">
        <v>1612</v>
      </c>
      <c r="B23" s="15">
        <v>126349</v>
      </c>
      <c r="C23" s="16">
        <v>566</v>
      </c>
      <c r="D23" s="17" t="s">
        <v>175</v>
      </c>
      <c r="E23" s="24" t="s">
        <v>1040</v>
      </c>
      <c r="F23" s="21" t="s">
        <v>1133</v>
      </c>
      <c r="G23" s="21" t="s">
        <v>1233</v>
      </c>
      <c r="H23" s="21" t="s">
        <v>699</v>
      </c>
      <c r="I23" s="17" t="s">
        <v>185</v>
      </c>
      <c r="J23" s="21" t="s">
        <v>1234</v>
      </c>
      <c r="K23" s="5">
        <v>43482</v>
      </c>
      <c r="L23" s="7">
        <v>44212</v>
      </c>
      <c r="M23" s="4">
        <f t="shared" ref="M23" si="36">S23/AE23*100</f>
        <v>85.000000750761799</v>
      </c>
      <c r="N23" s="3">
        <v>3</v>
      </c>
      <c r="O23" s="7" t="s">
        <v>241</v>
      </c>
      <c r="P23" s="7" t="s">
        <v>243</v>
      </c>
      <c r="Q23" s="7" t="s">
        <v>212</v>
      </c>
      <c r="R23" s="3" t="s">
        <v>36</v>
      </c>
      <c r="S23" s="27">
        <f>T23+U23</f>
        <v>3396550.05</v>
      </c>
      <c r="T23" s="2">
        <v>3396550.05</v>
      </c>
      <c r="U23" s="2">
        <v>0</v>
      </c>
      <c r="V23" s="27">
        <f>W23+X23</f>
        <v>519472.32</v>
      </c>
      <c r="W23" s="2">
        <v>519472.32</v>
      </c>
      <c r="X23" s="2">
        <v>0</v>
      </c>
      <c r="Y23" s="2">
        <f>Z23+AA23</f>
        <v>79918.83</v>
      </c>
      <c r="Z23" s="2">
        <v>79918.83</v>
      </c>
      <c r="AA23" s="2">
        <v>0</v>
      </c>
      <c r="AB23" s="2">
        <f>AC23+AD23</f>
        <v>0</v>
      </c>
      <c r="AC23" s="2">
        <v>0</v>
      </c>
      <c r="AD23" s="2">
        <v>0</v>
      </c>
      <c r="AE23" s="2">
        <f>S23+V23+Y23+AB23</f>
        <v>3995941.1999999997</v>
      </c>
      <c r="AF23" s="36">
        <v>0</v>
      </c>
      <c r="AG23" s="2">
        <f>AE23+AF23</f>
        <v>3995941.1999999997</v>
      </c>
      <c r="AH23" s="29" t="s">
        <v>586</v>
      </c>
      <c r="AI23" s="36"/>
      <c r="AJ23" s="31">
        <v>5464.65</v>
      </c>
      <c r="AK23" s="31">
        <v>835.77</v>
      </c>
    </row>
    <row r="24" spans="1:37" ht="189" x14ac:dyDescent="0.25">
      <c r="A24" s="348" t="s">
        <v>1613</v>
      </c>
      <c r="B24" s="15">
        <v>128987</v>
      </c>
      <c r="C24" s="16">
        <v>649</v>
      </c>
      <c r="D24" s="17" t="s">
        <v>163</v>
      </c>
      <c r="E24" s="21" t="s">
        <v>967</v>
      </c>
      <c r="F24" s="58" t="s">
        <v>1416</v>
      </c>
      <c r="G24" s="59" t="s">
        <v>1454</v>
      </c>
      <c r="H24" s="23" t="s">
        <v>730</v>
      </c>
      <c r="I24" s="17" t="s">
        <v>185</v>
      </c>
      <c r="J24" s="21" t="s">
        <v>1455</v>
      </c>
      <c r="K24" s="5">
        <v>43626</v>
      </c>
      <c r="L24" s="7">
        <v>44540</v>
      </c>
      <c r="M24" s="4">
        <f>S24/AE24*100</f>
        <v>85.000000101931988</v>
      </c>
      <c r="N24" s="3">
        <v>3</v>
      </c>
      <c r="O24" s="7" t="s">
        <v>241</v>
      </c>
      <c r="P24" s="7" t="s">
        <v>243</v>
      </c>
      <c r="Q24" s="7" t="s">
        <v>212</v>
      </c>
      <c r="R24" s="3" t="s">
        <v>36</v>
      </c>
      <c r="S24" s="27">
        <f>T24+U24</f>
        <v>2501668.17</v>
      </c>
      <c r="T24" s="2">
        <v>2501668.17</v>
      </c>
      <c r="U24" s="2">
        <v>0</v>
      </c>
      <c r="V24" s="27">
        <f>W24+X24</f>
        <v>382608.07</v>
      </c>
      <c r="W24" s="2">
        <v>382608.07</v>
      </c>
      <c r="X24" s="2">
        <v>0</v>
      </c>
      <c r="Y24" s="2">
        <f>Z24+AA24</f>
        <v>58862.78</v>
      </c>
      <c r="Z24" s="2">
        <v>58862.78</v>
      </c>
      <c r="AA24" s="2">
        <v>0</v>
      </c>
      <c r="AB24" s="2">
        <f>AC24+AD24</f>
        <v>0</v>
      </c>
      <c r="AC24" s="2">
        <v>0</v>
      </c>
      <c r="AD24" s="2">
        <v>0</v>
      </c>
      <c r="AE24" s="2">
        <f>S24+V24+Y24+AB24</f>
        <v>2943139.0199999996</v>
      </c>
      <c r="AF24" s="60">
        <v>0</v>
      </c>
      <c r="AG24" s="2">
        <f>AE24+AF24</f>
        <v>2943139.0199999996</v>
      </c>
      <c r="AH24" s="29" t="s">
        <v>586</v>
      </c>
      <c r="AI24" s="36" t="s">
        <v>185</v>
      </c>
      <c r="AJ24" s="31"/>
      <c r="AK24" s="31"/>
    </row>
    <row r="25" spans="1:37" ht="220.5" x14ac:dyDescent="0.25">
      <c r="A25" s="348" t="s">
        <v>1614</v>
      </c>
      <c r="B25" s="15">
        <v>119613</v>
      </c>
      <c r="C25" s="16">
        <v>461</v>
      </c>
      <c r="D25" s="17" t="s">
        <v>684</v>
      </c>
      <c r="E25" s="24" t="s">
        <v>1040</v>
      </c>
      <c r="F25" s="21" t="s">
        <v>543</v>
      </c>
      <c r="G25" s="21" t="s">
        <v>898</v>
      </c>
      <c r="H25" s="24" t="s">
        <v>899</v>
      </c>
      <c r="I25" s="17" t="s">
        <v>185</v>
      </c>
      <c r="J25" s="21" t="s">
        <v>900</v>
      </c>
      <c r="K25" s="5">
        <v>43320</v>
      </c>
      <c r="L25" s="7">
        <v>43646</v>
      </c>
      <c r="M25" s="24">
        <f t="shared" si="30"/>
        <v>85.00000179686964</v>
      </c>
      <c r="N25" s="24">
        <v>1</v>
      </c>
      <c r="O25" s="24" t="s">
        <v>345</v>
      </c>
      <c r="P25" s="24" t="s">
        <v>345</v>
      </c>
      <c r="Q25" s="7" t="s">
        <v>212</v>
      </c>
      <c r="R25" s="3" t="s">
        <v>36</v>
      </c>
      <c r="S25" s="28">
        <f t="shared" ref="S25" si="37">T25+U25</f>
        <v>236522.45</v>
      </c>
      <c r="T25" s="2">
        <v>236522.45</v>
      </c>
      <c r="U25" s="28">
        <v>0</v>
      </c>
      <c r="V25" s="62">
        <f t="shared" ref="V25" si="38">W25+X25</f>
        <v>36174.019999999997</v>
      </c>
      <c r="W25" s="26">
        <v>36174.019999999997</v>
      </c>
      <c r="X25" s="62">
        <v>0</v>
      </c>
      <c r="Y25" s="63">
        <f t="shared" ref="Y25" si="39">Z25+AA25</f>
        <v>5565.23</v>
      </c>
      <c r="Z25" s="26">
        <v>5565.23</v>
      </c>
      <c r="AA25" s="63">
        <v>0</v>
      </c>
      <c r="AB25" s="28">
        <v>0</v>
      </c>
      <c r="AC25" s="28">
        <v>0</v>
      </c>
      <c r="AD25" s="28">
        <v>0</v>
      </c>
      <c r="AE25" s="28">
        <f>S25+V25+Y25+AB25</f>
        <v>278261.7</v>
      </c>
      <c r="AF25" s="28">
        <v>37449.300000000003</v>
      </c>
      <c r="AG25" s="28">
        <f t="shared" ref="AG25" si="40">AE25+AF25</f>
        <v>315711</v>
      </c>
      <c r="AH25" s="29" t="s">
        <v>1072</v>
      </c>
      <c r="AI25" s="56" t="s">
        <v>1431</v>
      </c>
      <c r="AJ25" s="1">
        <f>36606.19+59255.8+16345.84+70944.19</f>
        <v>183152.02000000002</v>
      </c>
      <c r="AK25" s="31">
        <f>5598.59+9062.65+2499.95+10850.29</f>
        <v>28011.48</v>
      </c>
    </row>
    <row r="26" spans="1:37" ht="409.5" x14ac:dyDescent="0.25">
      <c r="A26" s="348" t="s">
        <v>1615</v>
      </c>
      <c r="B26" s="15">
        <v>118515</v>
      </c>
      <c r="C26" s="16">
        <v>429</v>
      </c>
      <c r="D26" s="17" t="s">
        <v>843</v>
      </c>
      <c r="E26" s="21" t="s">
        <v>704</v>
      </c>
      <c r="F26" s="21" t="s">
        <v>611</v>
      </c>
      <c r="G26" s="21" t="s">
        <v>948</v>
      </c>
      <c r="H26" s="24" t="s">
        <v>899</v>
      </c>
      <c r="I26" s="17" t="s">
        <v>185</v>
      </c>
      <c r="J26" s="21" t="s">
        <v>949</v>
      </c>
      <c r="K26" s="5">
        <v>43333</v>
      </c>
      <c r="L26" s="7">
        <v>43820</v>
      </c>
      <c r="M26" s="64">
        <f t="shared" si="30"/>
        <v>85</v>
      </c>
      <c r="N26" s="24">
        <v>1</v>
      </c>
      <c r="O26" s="24" t="s">
        <v>345</v>
      </c>
      <c r="P26" s="24" t="s">
        <v>345</v>
      </c>
      <c r="Q26" s="7" t="s">
        <v>212</v>
      </c>
      <c r="R26" s="3" t="s">
        <v>36</v>
      </c>
      <c r="S26" s="2">
        <f t="shared" ref="S26:S27" si="41">T26+U26</f>
        <v>339452.6</v>
      </c>
      <c r="T26" s="31">
        <v>339452.6</v>
      </c>
      <c r="U26" s="31">
        <v>0</v>
      </c>
      <c r="V26" s="2">
        <f t="shared" si="32"/>
        <v>51916.28</v>
      </c>
      <c r="W26" s="31">
        <v>51916.28</v>
      </c>
      <c r="X26" s="35">
        <v>0</v>
      </c>
      <c r="Y26" s="2">
        <f t="shared" si="33"/>
        <v>7987.12</v>
      </c>
      <c r="Z26" s="31">
        <v>7987.12</v>
      </c>
      <c r="AA26" s="31">
        <v>0</v>
      </c>
      <c r="AB26" s="2">
        <f t="shared" si="35"/>
        <v>0</v>
      </c>
      <c r="AC26" s="28">
        <v>0</v>
      </c>
      <c r="AD26" s="28">
        <v>0</v>
      </c>
      <c r="AE26" s="2">
        <f>S26+W26+Z26</f>
        <v>399356</v>
      </c>
      <c r="AF26" s="28">
        <v>58024.99</v>
      </c>
      <c r="AG26" s="2">
        <f t="shared" si="34"/>
        <v>457380.99</v>
      </c>
      <c r="AH26" s="29" t="s">
        <v>586</v>
      </c>
      <c r="AI26" s="56" t="s">
        <v>185</v>
      </c>
      <c r="AJ26" s="1">
        <f>17436.62+39132.39-4546.98+30717.43</f>
        <v>82739.459999999992</v>
      </c>
      <c r="AK26" s="1">
        <f>2549.38+4546.98+4697.96</f>
        <v>11794.32</v>
      </c>
    </row>
    <row r="27" spans="1:37" ht="220.5" x14ac:dyDescent="0.25">
      <c r="A27" s="348" t="s">
        <v>1616</v>
      </c>
      <c r="B27" s="15">
        <v>126161</v>
      </c>
      <c r="C27" s="16">
        <v>571</v>
      </c>
      <c r="D27" s="17" t="s">
        <v>176</v>
      </c>
      <c r="E27" s="21" t="s">
        <v>967</v>
      </c>
      <c r="F27" s="21" t="s">
        <v>1133</v>
      </c>
      <c r="G27" s="21" t="s">
        <v>1166</v>
      </c>
      <c r="H27" s="24" t="s">
        <v>1165</v>
      </c>
      <c r="I27" s="17" t="s">
        <v>185</v>
      </c>
      <c r="J27" s="21" t="s">
        <v>1167</v>
      </c>
      <c r="K27" s="5">
        <v>43444</v>
      </c>
      <c r="L27" s="7">
        <v>44265</v>
      </c>
      <c r="M27" s="64">
        <f t="shared" si="30"/>
        <v>84.999999835393808</v>
      </c>
      <c r="N27" s="24">
        <v>1</v>
      </c>
      <c r="O27" s="24" t="s">
        <v>345</v>
      </c>
      <c r="P27" s="24" t="s">
        <v>345</v>
      </c>
      <c r="Q27" s="7" t="s">
        <v>212</v>
      </c>
      <c r="R27" s="3" t="s">
        <v>36</v>
      </c>
      <c r="S27" s="2">
        <f t="shared" si="41"/>
        <v>2323727.9300000002</v>
      </c>
      <c r="T27" s="31">
        <v>2323727.9300000002</v>
      </c>
      <c r="U27" s="31">
        <v>0</v>
      </c>
      <c r="V27" s="2">
        <f t="shared" si="32"/>
        <v>355393.68</v>
      </c>
      <c r="W27" s="31">
        <v>355393.68</v>
      </c>
      <c r="X27" s="35">
        <v>0</v>
      </c>
      <c r="Y27" s="2">
        <f t="shared" si="33"/>
        <v>54675.96</v>
      </c>
      <c r="Z27" s="31">
        <v>54675.96</v>
      </c>
      <c r="AA27" s="31">
        <v>0</v>
      </c>
      <c r="AB27" s="2">
        <f t="shared" si="35"/>
        <v>0</v>
      </c>
      <c r="AC27" s="28">
        <v>0</v>
      </c>
      <c r="AD27" s="28">
        <v>0</v>
      </c>
      <c r="AE27" s="2">
        <f t="shared" ref="AE27" si="42">S27+W27+Z27</f>
        <v>2733797.5700000003</v>
      </c>
      <c r="AF27" s="28">
        <v>80920</v>
      </c>
      <c r="AG27" s="2">
        <f t="shared" si="34"/>
        <v>2814717.5700000003</v>
      </c>
      <c r="AH27" s="29" t="s">
        <v>586</v>
      </c>
      <c r="AI27" s="56"/>
      <c r="AJ27" s="1">
        <v>43440.27</v>
      </c>
      <c r="AK27" s="1">
        <v>6643.81</v>
      </c>
    </row>
    <row r="28" spans="1:37" ht="236.25" x14ac:dyDescent="0.25">
      <c r="A28" s="348" t="s">
        <v>1617</v>
      </c>
      <c r="B28" s="15">
        <v>128880</v>
      </c>
      <c r="C28" s="16">
        <v>652</v>
      </c>
      <c r="D28" s="17" t="s">
        <v>176</v>
      </c>
      <c r="E28" s="21" t="s">
        <v>967</v>
      </c>
      <c r="F28" s="21" t="s">
        <v>1416</v>
      </c>
      <c r="G28" s="21" t="s">
        <v>1511</v>
      </c>
      <c r="H28" s="24" t="s">
        <v>899</v>
      </c>
      <c r="I28" s="17" t="s">
        <v>185</v>
      </c>
      <c r="J28" s="21" t="s">
        <v>1512</v>
      </c>
      <c r="K28" s="5">
        <v>43643</v>
      </c>
      <c r="L28" s="7">
        <v>44374</v>
      </c>
      <c r="M28" s="64">
        <f>S28/AE28*100</f>
        <v>85</v>
      </c>
      <c r="N28" s="24">
        <v>1</v>
      </c>
      <c r="O28" s="24" t="s">
        <v>345</v>
      </c>
      <c r="P28" s="24" t="s">
        <v>345</v>
      </c>
      <c r="Q28" s="7" t="s">
        <v>212</v>
      </c>
      <c r="R28" s="3" t="s">
        <v>36</v>
      </c>
      <c r="S28" s="2">
        <f>T28+U28</f>
        <v>2545487.35</v>
      </c>
      <c r="T28" s="31">
        <v>2545487.35</v>
      </c>
      <c r="U28" s="31">
        <v>0</v>
      </c>
      <c r="V28" s="2">
        <f>W28+X28</f>
        <v>389309.83</v>
      </c>
      <c r="W28" s="31">
        <v>389309.83</v>
      </c>
      <c r="X28" s="31">
        <v>0</v>
      </c>
      <c r="Y28" s="2">
        <f>Z28+AA28</f>
        <v>59893.82</v>
      </c>
      <c r="Z28" s="31">
        <v>59893.82</v>
      </c>
      <c r="AA28" s="31">
        <v>0</v>
      </c>
      <c r="AB28" s="2">
        <f>AC28+AD28</f>
        <v>0</v>
      </c>
      <c r="AC28" s="65">
        <v>0</v>
      </c>
      <c r="AD28" s="65">
        <v>0</v>
      </c>
      <c r="AE28" s="2">
        <f>S28+W28+Z28</f>
        <v>2994691</v>
      </c>
      <c r="AF28" s="28">
        <v>0</v>
      </c>
      <c r="AG28" s="2">
        <f>AE28+AF28</f>
        <v>2994691</v>
      </c>
      <c r="AH28" s="29"/>
      <c r="AI28" s="56"/>
      <c r="AJ28" s="1"/>
      <c r="AK28" s="1"/>
    </row>
    <row r="29" spans="1:37" ht="225" x14ac:dyDescent="0.25">
      <c r="A29" s="348" t="s">
        <v>1618</v>
      </c>
      <c r="B29" s="20">
        <v>120769</v>
      </c>
      <c r="C29" s="16">
        <v>96</v>
      </c>
      <c r="D29" s="3" t="s">
        <v>175</v>
      </c>
      <c r="E29" s="21" t="s">
        <v>967</v>
      </c>
      <c r="F29" s="22" t="s">
        <v>331</v>
      </c>
      <c r="G29" s="33" t="s">
        <v>342</v>
      </c>
      <c r="H29" s="23" t="s">
        <v>341</v>
      </c>
      <c r="I29" s="24" t="s">
        <v>343</v>
      </c>
      <c r="J29" s="66" t="s">
        <v>344</v>
      </c>
      <c r="K29" s="5">
        <v>43186</v>
      </c>
      <c r="L29" s="7">
        <v>43673</v>
      </c>
      <c r="M29" s="4">
        <f t="shared" ref="M29" si="43">S29/AE29*100</f>
        <v>84.154097257132506</v>
      </c>
      <c r="N29" s="3" t="s">
        <v>155</v>
      </c>
      <c r="O29" s="3" t="s">
        <v>345</v>
      </c>
      <c r="P29" s="3" t="s">
        <v>345</v>
      </c>
      <c r="Q29" s="8" t="s">
        <v>212</v>
      </c>
      <c r="R29" s="3" t="s">
        <v>36</v>
      </c>
      <c r="S29" s="2">
        <f t="shared" ref="S29" si="44">T29+U29</f>
        <v>357519.4</v>
      </c>
      <c r="T29" s="2">
        <v>357519.4</v>
      </c>
      <c r="U29" s="2">
        <v>0</v>
      </c>
      <c r="V29" s="2">
        <f t="shared" ref="V29" si="45">W29+X29</f>
        <v>58822.79</v>
      </c>
      <c r="W29" s="2">
        <v>58822.79</v>
      </c>
      <c r="X29" s="2">
        <v>0</v>
      </c>
      <c r="Y29" s="2">
        <f t="shared" ref="Y29" si="46">Z29+AA29</f>
        <v>8496.7800000000007</v>
      </c>
      <c r="Z29" s="2">
        <v>8496.7800000000007</v>
      </c>
      <c r="AA29" s="2">
        <v>0</v>
      </c>
      <c r="AB29" s="2">
        <f t="shared" ref="AB29" si="47">AC29+AD29</f>
        <v>0</v>
      </c>
      <c r="AC29" s="2"/>
      <c r="AD29" s="2"/>
      <c r="AE29" s="2">
        <f t="shared" ref="AE29" si="48">S29+V29+Y29+AB29</f>
        <v>424838.97000000003</v>
      </c>
      <c r="AF29" s="2">
        <v>0</v>
      </c>
      <c r="AG29" s="2">
        <f t="shared" ref="AG29" si="49">AE29+AF29</f>
        <v>424838.97000000003</v>
      </c>
      <c r="AH29" s="29" t="s">
        <v>586</v>
      </c>
      <c r="AI29" s="30" t="s">
        <v>185</v>
      </c>
      <c r="AJ29" s="1">
        <f>91004.83+54990.03-2852.81+19018.76+43276.76+21139.54</f>
        <v>226577.11000000002</v>
      </c>
      <c r="AK29" s="31">
        <f>8258.02+14527.48+10688.48</f>
        <v>33473.979999999996</v>
      </c>
    </row>
    <row r="30" spans="1:37" ht="283.5" x14ac:dyDescent="0.25">
      <c r="A30" s="348" t="s">
        <v>1619</v>
      </c>
      <c r="B30" s="20">
        <v>122823</v>
      </c>
      <c r="C30" s="16">
        <v>71</v>
      </c>
      <c r="D30" s="21" t="s">
        <v>684</v>
      </c>
      <c r="E30" s="21" t="s">
        <v>967</v>
      </c>
      <c r="F30" s="22" t="s">
        <v>331</v>
      </c>
      <c r="G30" s="67" t="s">
        <v>500</v>
      </c>
      <c r="H30" s="21" t="s">
        <v>498</v>
      </c>
      <c r="I30" s="24" t="s">
        <v>185</v>
      </c>
      <c r="J30" s="25" t="s">
        <v>499</v>
      </c>
      <c r="K30" s="5">
        <v>43244</v>
      </c>
      <c r="L30" s="7">
        <v>43732</v>
      </c>
      <c r="M30" s="68">
        <f t="shared" ref="M30:M32" si="50">S30/AE30*100</f>
        <v>85.000001791562255</v>
      </c>
      <c r="N30" s="24">
        <v>6</v>
      </c>
      <c r="O30" s="21" t="s">
        <v>496</v>
      </c>
      <c r="P30" s="21" t="s">
        <v>497</v>
      </c>
      <c r="Q30" s="67" t="s">
        <v>212</v>
      </c>
      <c r="R30" s="21" t="s">
        <v>36</v>
      </c>
      <c r="S30" s="28">
        <f t="shared" ref="S30:S32" si="51">T30+U30</f>
        <v>355834.7</v>
      </c>
      <c r="T30" s="31">
        <v>355834.7</v>
      </c>
      <c r="U30" s="28">
        <v>0</v>
      </c>
      <c r="V30" s="62">
        <f t="shared" ref="V30:V32" si="52">W30+X30</f>
        <v>54421.769999999982</v>
      </c>
      <c r="W30" s="1">
        <v>54421.769999999982</v>
      </c>
      <c r="X30" s="62">
        <v>0</v>
      </c>
      <c r="Y30" s="63">
        <f t="shared" ref="Y30:Y32" si="53">Z30+AA30</f>
        <v>8372.58</v>
      </c>
      <c r="Z30" s="26">
        <v>8372.58</v>
      </c>
      <c r="AA30" s="63">
        <v>0</v>
      </c>
      <c r="AB30" s="28">
        <v>0</v>
      </c>
      <c r="AC30" s="28"/>
      <c r="AD30" s="28"/>
      <c r="AE30" s="28">
        <f>S30+V30+Y30+AB30</f>
        <v>418629.05</v>
      </c>
      <c r="AF30" s="28">
        <v>0</v>
      </c>
      <c r="AG30" s="28">
        <f t="shared" ref="AG30" si="54">AE30+AF30</f>
        <v>418629.05</v>
      </c>
      <c r="AH30" s="29" t="s">
        <v>586</v>
      </c>
      <c r="AI30" s="56" t="s">
        <v>185</v>
      </c>
      <c r="AJ30" s="1">
        <f>75266.37-5365.18+40445.22-5442.14+41025.35-5438.13+40995.18-5548.59</f>
        <v>175938.08</v>
      </c>
      <c r="AK30" s="31">
        <f>5108.77+5365.18+5442.14+5438.13+5548.59</f>
        <v>26902.81</v>
      </c>
    </row>
    <row r="31" spans="1:37" ht="204.75" x14ac:dyDescent="0.25">
      <c r="A31" s="348" t="s">
        <v>1620</v>
      </c>
      <c r="B31" s="22">
        <v>119767</v>
      </c>
      <c r="C31" s="22">
        <v>475</v>
      </c>
      <c r="D31" s="22" t="s">
        <v>1073</v>
      </c>
      <c r="E31" s="24" t="s">
        <v>1040</v>
      </c>
      <c r="F31" s="21" t="s">
        <v>543</v>
      </c>
      <c r="G31" s="67" t="s">
        <v>832</v>
      </c>
      <c r="H31" s="67" t="s">
        <v>833</v>
      </c>
      <c r="I31" s="24" t="s">
        <v>185</v>
      </c>
      <c r="J31" s="25" t="s">
        <v>834</v>
      </c>
      <c r="K31" s="5">
        <v>43306</v>
      </c>
      <c r="L31" s="7">
        <v>43794</v>
      </c>
      <c r="M31" s="68">
        <f t="shared" si="50"/>
        <v>85.000000000000014</v>
      </c>
      <c r="N31" s="3">
        <v>6</v>
      </c>
      <c r="O31" s="7" t="s">
        <v>496</v>
      </c>
      <c r="P31" s="7" t="s">
        <v>835</v>
      </c>
      <c r="Q31" s="7" t="s">
        <v>212</v>
      </c>
      <c r="R31" s="3" t="s">
        <v>36</v>
      </c>
      <c r="S31" s="28">
        <f t="shared" si="51"/>
        <v>518392.9</v>
      </c>
      <c r="T31" s="2">
        <v>518392.9</v>
      </c>
      <c r="U31" s="28">
        <v>0</v>
      </c>
      <c r="V31" s="62">
        <f t="shared" si="52"/>
        <v>79283.62</v>
      </c>
      <c r="W31" s="1">
        <v>79283.62</v>
      </c>
      <c r="X31" s="62">
        <v>0</v>
      </c>
      <c r="Y31" s="63">
        <f t="shared" si="53"/>
        <v>12197.48</v>
      </c>
      <c r="Z31" s="69">
        <v>12197.48</v>
      </c>
      <c r="AA31" s="63">
        <v>0</v>
      </c>
      <c r="AB31" s="2">
        <f t="shared" si="35"/>
        <v>0</v>
      </c>
      <c r="AC31" s="28">
        <v>0</v>
      </c>
      <c r="AD31" s="28">
        <v>0</v>
      </c>
      <c r="AE31" s="2">
        <f>S31+V31+Y31+AB31</f>
        <v>609874</v>
      </c>
      <c r="AF31" s="28">
        <v>0</v>
      </c>
      <c r="AG31" s="2">
        <f t="shared" ref="AG31" si="55">AE31+AF31</f>
        <v>609874</v>
      </c>
      <c r="AH31" s="29" t="s">
        <v>586</v>
      </c>
      <c r="AI31" s="56" t="s">
        <v>185</v>
      </c>
      <c r="AJ31" s="1">
        <f>60000+22596.2</f>
        <v>82596.2</v>
      </c>
      <c r="AK31" s="31">
        <v>12632.36</v>
      </c>
    </row>
    <row r="32" spans="1:37" ht="267.75" x14ac:dyDescent="0.25">
      <c r="A32" s="348" t="s">
        <v>1621</v>
      </c>
      <c r="B32" s="22">
        <v>129383</v>
      </c>
      <c r="C32" s="22">
        <v>685</v>
      </c>
      <c r="D32" s="22" t="s">
        <v>176</v>
      </c>
      <c r="E32" s="21" t="s">
        <v>967</v>
      </c>
      <c r="F32" s="21" t="s">
        <v>1416</v>
      </c>
      <c r="G32" s="67" t="s">
        <v>1552</v>
      </c>
      <c r="H32" s="67" t="s">
        <v>833</v>
      </c>
      <c r="I32" s="24" t="s">
        <v>422</v>
      </c>
      <c r="J32" s="25" t="s">
        <v>1551</v>
      </c>
      <c r="K32" s="5">
        <v>43657</v>
      </c>
      <c r="L32" s="7">
        <v>44207</v>
      </c>
      <c r="M32" s="68">
        <f t="shared" si="50"/>
        <v>85.000000150473397</v>
      </c>
      <c r="N32" s="3">
        <v>6</v>
      </c>
      <c r="O32" s="7" t="s">
        <v>496</v>
      </c>
      <c r="P32" s="7" t="s">
        <v>1550</v>
      </c>
      <c r="Q32" s="7" t="s">
        <v>212</v>
      </c>
      <c r="R32" s="3" t="s">
        <v>36</v>
      </c>
      <c r="S32" s="28">
        <f t="shared" si="51"/>
        <v>2541977.39</v>
      </c>
      <c r="T32" s="2">
        <v>2541977.39</v>
      </c>
      <c r="U32" s="28">
        <v>0</v>
      </c>
      <c r="V32" s="62">
        <f t="shared" si="52"/>
        <v>388773.02</v>
      </c>
      <c r="W32" s="1">
        <v>388773.02</v>
      </c>
      <c r="X32" s="62">
        <v>0</v>
      </c>
      <c r="Y32" s="63">
        <f t="shared" si="53"/>
        <v>59811.22</v>
      </c>
      <c r="Z32" s="69">
        <v>59811.22</v>
      </c>
      <c r="AA32" s="63">
        <v>0</v>
      </c>
      <c r="AB32" s="2">
        <v>0</v>
      </c>
      <c r="AC32" s="28">
        <v>0</v>
      </c>
      <c r="AD32" s="28">
        <v>0</v>
      </c>
      <c r="AE32" s="28">
        <f>S32+V32+Y32+AB32</f>
        <v>2990561.6300000004</v>
      </c>
      <c r="AF32" s="28">
        <v>0</v>
      </c>
      <c r="AG32" s="2">
        <v>0</v>
      </c>
      <c r="AH32" s="29" t="s">
        <v>586</v>
      </c>
      <c r="AI32" s="56"/>
      <c r="AJ32" s="1"/>
      <c r="AK32" s="31"/>
    </row>
    <row r="33" spans="1:37" s="72" customFormat="1" ht="189" x14ac:dyDescent="0.25">
      <c r="A33" s="348" t="s">
        <v>1622</v>
      </c>
      <c r="B33" s="20">
        <v>120599</v>
      </c>
      <c r="C33" s="16">
        <v>75</v>
      </c>
      <c r="D33" s="21" t="s">
        <v>684</v>
      </c>
      <c r="E33" s="21" t="s">
        <v>967</v>
      </c>
      <c r="F33" s="22" t="s">
        <v>331</v>
      </c>
      <c r="G33" s="67" t="s">
        <v>246</v>
      </c>
      <c r="H33" s="21" t="s">
        <v>247</v>
      </c>
      <c r="I33" s="24" t="s">
        <v>185</v>
      </c>
      <c r="J33" s="71" t="s">
        <v>836</v>
      </c>
      <c r="K33" s="5">
        <v>43145</v>
      </c>
      <c r="L33" s="7">
        <v>43813</v>
      </c>
      <c r="M33" s="68">
        <f t="shared" ref="M33:M36" si="56">S33/AE33*100</f>
        <v>84.999998786570643</v>
      </c>
      <c r="N33" s="24">
        <v>6</v>
      </c>
      <c r="O33" s="21" t="s">
        <v>262</v>
      </c>
      <c r="P33" s="21" t="s">
        <v>248</v>
      </c>
      <c r="Q33" s="67" t="s">
        <v>212</v>
      </c>
      <c r="R33" s="21" t="s">
        <v>36</v>
      </c>
      <c r="S33" s="28">
        <f t="shared" ref="S33:S36" si="57">T33+U33</f>
        <v>350247</v>
      </c>
      <c r="T33" s="2">
        <v>350247</v>
      </c>
      <c r="U33" s="28">
        <v>0</v>
      </c>
      <c r="V33" s="62">
        <f t="shared" ref="V33:V36" si="58">W33+X33</f>
        <v>53567.19</v>
      </c>
      <c r="W33" s="1">
        <v>53567.19</v>
      </c>
      <c r="X33" s="62">
        <v>0</v>
      </c>
      <c r="Y33" s="63">
        <f t="shared" ref="Y33:Y36" si="59">Z33+AA33</f>
        <v>8241.11</v>
      </c>
      <c r="Z33" s="26">
        <v>8241.11</v>
      </c>
      <c r="AA33" s="63">
        <v>0</v>
      </c>
      <c r="AB33" s="28">
        <v>0</v>
      </c>
      <c r="AC33" s="28"/>
      <c r="AD33" s="28"/>
      <c r="AE33" s="28">
        <f>S33+V33+Y33+AB33</f>
        <v>412055.3</v>
      </c>
      <c r="AF33" s="28">
        <v>0</v>
      </c>
      <c r="AG33" s="28">
        <f t="shared" ref="AG33:AG34" si="60">AE33+AF33</f>
        <v>412055.3</v>
      </c>
      <c r="AH33" s="29" t="s">
        <v>586</v>
      </c>
      <c r="AI33" s="56" t="s">
        <v>1471</v>
      </c>
      <c r="AJ33" s="1">
        <v>99944.26</v>
      </c>
      <c r="AK33" s="31">
        <v>15285.57</v>
      </c>
    </row>
    <row r="34" spans="1:37" s="72" customFormat="1" ht="362.25" x14ac:dyDescent="0.25">
      <c r="A34" s="348" t="s">
        <v>1623</v>
      </c>
      <c r="B34" s="20">
        <v>129687</v>
      </c>
      <c r="C34" s="16">
        <v>667</v>
      </c>
      <c r="D34" s="21" t="s">
        <v>176</v>
      </c>
      <c r="E34" s="24" t="s">
        <v>1040</v>
      </c>
      <c r="F34" s="73" t="s">
        <v>1416</v>
      </c>
      <c r="G34" s="74" t="s">
        <v>1537</v>
      </c>
      <c r="H34" s="21" t="s">
        <v>1538</v>
      </c>
      <c r="I34" s="24" t="str">
        <f>$I$33</f>
        <v>n.a</v>
      </c>
      <c r="J34" s="71" t="s">
        <v>1536</v>
      </c>
      <c r="K34" s="5">
        <v>43654</v>
      </c>
      <c r="L34" s="7">
        <v>44385</v>
      </c>
      <c r="M34" s="68">
        <f t="shared" si="56"/>
        <v>85</v>
      </c>
      <c r="N34" s="24">
        <f>$N$33</f>
        <v>6</v>
      </c>
      <c r="O34" s="21" t="str">
        <f t="shared" ref="O34" si="61">O33</f>
        <v>Bistrița-Năsăud</v>
      </c>
      <c r="P34" s="21" t="str">
        <f>P33</f>
        <v>Bistrița</v>
      </c>
      <c r="Q34" s="67" t="s">
        <v>212</v>
      </c>
      <c r="R34" s="21" t="s">
        <v>36</v>
      </c>
      <c r="S34" s="28">
        <f t="shared" si="57"/>
        <v>2626630.9</v>
      </c>
      <c r="T34" s="2">
        <v>2626630.9</v>
      </c>
      <c r="U34" s="28">
        <v>0</v>
      </c>
      <c r="V34" s="62">
        <f t="shared" si="58"/>
        <v>401720.02</v>
      </c>
      <c r="W34" s="1">
        <v>401720.02</v>
      </c>
      <c r="X34" s="62">
        <v>0</v>
      </c>
      <c r="Y34" s="63">
        <f t="shared" si="59"/>
        <v>61803.08</v>
      </c>
      <c r="Z34" s="26">
        <v>61803.08</v>
      </c>
      <c r="AA34" s="63">
        <v>0</v>
      </c>
      <c r="AB34" s="28">
        <v>0</v>
      </c>
      <c r="AC34" s="28">
        <v>0</v>
      </c>
      <c r="AD34" s="28">
        <v>0</v>
      </c>
      <c r="AE34" s="28">
        <f>S34+V34+Y34+AB34</f>
        <v>3090154</v>
      </c>
      <c r="AF34" s="28">
        <v>0</v>
      </c>
      <c r="AG34" s="28">
        <f t="shared" si="60"/>
        <v>3090154</v>
      </c>
      <c r="AH34" s="29" t="str">
        <f>$AH$33</f>
        <v xml:space="preserve"> în implementare</v>
      </c>
      <c r="AI34" s="56"/>
      <c r="AJ34" s="1"/>
      <c r="AK34" s="31"/>
    </row>
    <row r="35" spans="1:37" ht="409.5" x14ac:dyDescent="0.25">
      <c r="A35" s="348" t="s">
        <v>1624</v>
      </c>
      <c r="B35" s="15">
        <v>119593</v>
      </c>
      <c r="C35" s="16">
        <v>467</v>
      </c>
      <c r="D35" s="17" t="s">
        <v>684</v>
      </c>
      <c r="E35" s="24" t="s">
        <v>1040</v>
      </c>
      <c r="F35" s="21" t="s">
        <v>543</v>
      </c>
      <c r="G35" s="21" t="s">
        <v>773</v>
      </c>
      <c r="H35" s="24" t="s">
        <v>774</v>
      </c>
      <c r="I35" s="17" t="s">
        <v>337</v>
      </c>
      <c r="J35" s="21" t="s">
        <v>775</v>
      </c>
      <c r="K35" s="5">
        <v>43293</v>
      </c>
      <c r="L35" s="7">
        <v>43781</v>
      </c>
      <c r="M35" s="24">
        <f t="shared" si="56"/>
        <v>84.262029230668674</v>
      </c>
      <c r="N35" s="24">
        <v>1</v>
      </c>
      <c r="O35" s="24" t="s">
        <v>551</v>
      </c>
      <c r="P35" s="24" t="s">
        <v>776</v>
      </c>
      <c r="Q35" s="24" t="s">
        <v>212</v>
      </c>
      <c r="R35" s="24" t="s">
        <v>36</v>
      </c>
      <c r="S35" s="27">
        <f t="shared" ref="S35" si="62">T35+U35</f>
        <v>349239.24</v>
      </c>
      <c r="T35" s="31">
        <v>349239.24</v>
      </c>
      <c r="U35" s="28">
        <v>0</v>
      </c>
      <c r="V35" s="27">
        <f t="shared" ref="V35" si="63">W35+X35</f>
        <v>56939.5</v>
      </c>
      <c r="W35" s="31">
        <v>56939.5</v>
      </c>
      <c r="X35" s="28">
        <v>0</v>
      </c>
      <c r="Y35" s="27">
        <f t="shared" ref="Y35" si="64">Z35+AA35</f>
        <v>4690.93</v>
      </c>
      <c r="Z35" s="31">
        <v>4690.93</v>
      </c>
      <c r="AA35" s="31">
        <v>0</v>
      </c>
      <c r="AB35" s="2">
        <f t="shared" ref="AB35" si="65">AC35+AD35</f>
        <v>3598.44</v>
      </c>
      <c r="AC35" s="28">
        <v>3598.44</v>
      </c>
      <c r="AD35" s="28">
        <v>0</v>
      </c>
      <c r="AE35" s="2">
        <f t="shared" ref="AE35" si="66">S35+V35+Y35+AB35</f>
        <v>414468.11</v>
      </c>
      <c r="AF35" s="36"/>
      <c r="AG35" s="2">
        <f t="shared" ref="AG35" si="67">AE35+AF35</f>
        <v>414468.11</v>
      </c>
      <c r="AH35" s="29" t="s">
        <v>586</v>
      </c>
      <c r="AI35" s="36"/>
      <c r="AJ35" s="40">
        <f>35492.2+30895.14+16961.29+15519.4+23454.6+5703.34</f>
        <v>128025.97</v>
      </c>
      <c r="AK35" s="40">
        <f>4135.85+8894.04+3988.86</f>
        <v>17018.75</v>
      </c>
    </row>
    <row r="36" spans="1:37" ht="252" x14ac:dyDescent="0.25">
      <c r="A36" s="348" t="s">
        <v>1625</v>
      </c>
      <c r="B36" s="20">
        <v>118690</v>
      </c>
      <c r="C36" s="24">
        <v>433</v>
      </c>
      <c r="D36" s="3" t="s">
        <v>684</v>
      </c>
      <c r="E36" s="21" t="s">
        <v>704</v>
      </c>
      <c r="F36" s="21" t="s">
        <v>611</v>
      </c>
      <c r="G36" s="21" t="s">
        <v>957</v>
      </c>
      <c r="H36" s="24" t="s">
        <v>774</v>
      </c>
      <c r="I36" s="24" t="s">
        <v>966</v>
      </c>
      <c r="J36" s="21" t="s">
        <v>958</v>
      </c>
      <c r="K36" s="5">
        <v>43333</v>
      </c>
      <c r="L36" s="7">
        <v>43790</v>
      </c>
      <c r="M36" s="24">
        <f t="shared" si="56"/>
        <v>84.169367233766351</v>
      </c>
      <c r="N36" s="24">
        <v>1</v>
      </c>
      <c r="O36" s="24" t="s">
        <v>776</v>
      </c>
      <c r="P36" s="24" t="s">
        <v>776</v>
      </c>
      <c r="Q36" s="24" t="s">
        <v>212</v>
      </c>
      <c r="R36" s="24" t="s">
        <v>959</v>
      </c>
      <c r="S36" s="28">
        <f t="shared" si="57"/>
        <v>242198.44</v>
      </c>
      <c r="T36" s="31">
        <v>242198.44</v>
      </c>
      <c r="U36" s="39">
        <v>0</v>
      </c>
      <c r="V36" s="62">
        <f t="shared" si="58"/>
        <v>39797.81</v>
      </c>
      <c r="W36" s="31">
        <v>39797.81</v>
      </c>
      <c r="X36" s="39">
        <v>0</v>
      </c>
      <c r="Y36" s="63">
        <f t="shared" si="59"/>
        <v>5755.04</v>
      </c>
      <c r="Z36" s="31">
        <v>5755.04</v>
      </c>
      <c r="AA36" s="1">
        <v>0</v>
      </c>
      <c r="AB36" s="28">
        <v>0</v>
      </c>
      <c r="AC36" s="39">
        <v>0</v>
      </c>
      <c r="AD36" s="39">
        <v>0</v>
      </c>
      <c r="AE36" s="28">
        <f t="shared" ref="AE36" si="68">S36+V36+Y36</f>
        <v>287751.28999999998</v>
      </c>
      <c r="AF36" s="36"/>
      <c r="AG36" s="28">
        <f t="shared" ref="AG36" si="69">AE36+AF36</f>
        <v>287751.28999999998</v>
      </c>
      <c r="AH36" s="29" t="s">
        <v>586</v>
      </c>
      <c r="AI36" s="36"/>
      <c r="AJ36" s="40">
        <f>28775.11+11891.84+28775.11+36393.98</f>
        <v>105836.04000000001</v>
      </c>
      <c r="AK36" s="1">
        <f>6600.82+5824.77</f>
        <v>12425.59</v>
      </c>
    </row>
    <row r="37" spans="1:37" ht="204.75" x14ac:dyDescent="0.25">
      <c r="A37" s="348" t="s">
        <v>1626</v>
      </c>
      <c r="B37" s="15">
        <v>126412</v>
      </c>
      <c r="C37" s="16">
        <v>553</v>
      </c>
      <c r="D37" s="17" t="s">
        <v>1073</v>
      </c>
      <c r="E37" s="24" t="s">
        <v>1040</v>
      </c>
      <c r="F37" s="23" t="s">
        <v>1133</v>
      </c>
      <c r="G37" s="21" t="s">
        <v>1353</v>
      </c>
      <c r="H37" s="24" t="s">
        <v>1354</v>
      </c>
      <c r="I37" s="17" t="s">
        <v>353</v>
      </c>
      <c r="J37" s="21" t="s">
        <v>1355</v>
      </c>
      <c r="K37" s="5">
        <v>43564</v>
      </c>
      <c r="L37" s="7">
        <v>44295</v>
      </c>
      <c r="M37" s="24">
        <f>S37/AE37*100</f>
        <v>85.000000068999867</v>
      </c>
      <c r="N37" s="17">
        <v>1</v>
      </c>
      <c r="O37" s="24" t="s">
        <v>776</v>
      </c>
      <c r="P37" s="24" t="s">
        <v>776</v>
      </c>
      <c r="Q37" s="24" t="s">
        <v>212</v>
      </c>
      <c r="R37" s="24" t="s">
        <v>36</v>
      </c>
      <c r="S37" s="28">
        <f>T37+U37</f>
        <v>2463772.67</v>
      </c>
      <c r="T37" s="31">
        <v>2463772.67</v>
      </c>
      <c r="U37" s="39">
        <v>0</v>
      </c>
      <c r="V37" s="62">
        <f>W37+X37</f>
        <v>376812.28</v>
      </c>
      <c r="W37" s="31">
        <v>376812.28</v>
      </c>
      <c r="X37" s="39">
        <v>0</v>
      </c>
      <c r="Y37" s="63">
        <f>Z37+AA37</f>
        <v>57971.13</v>
      </c>
      <c r="Z37" s="31">
        <v>57971.13</v>
      </c>
      <c r="AA37" s="1">
        <v>0</v>
      </c>
      <c r="AB37" s="28">
        <v>0</v>
      </c>
      <c r="AC37" s="39">
        <v>0</v>
      </c>
      <c r="AD37" s="39">
        <v>0</v>
      </c>
      <c r="AE37" s="28">
        <f>S37+V37+Y37</f>
        <v>2898556.08</v>
      </c>
      <c r="AF37" s="36"/>
      <c r="AG37" s="28">
        <f>AE37+AF37</f>
        <v>2898556.08</v>
      </c>
      <c r="AH37" s="29" t="s">
        <v>586</v>
      </c>
      <c r="AI37" s="36"/>
      <c r="AJ37" s="40">
        <v>0</v>
      </c>
      <c r="AK37" s="40">
        <v>0</v>
      </c>
    </row>
    <row r="38" spans="1:37" ht="157.5" x14ac:dyDescent="0.25">
      <c r="A38" s="348" t="s">
        <v>1627</v>
      </c>
      <c r="B38" s="20">
        <v>128790</v>
      </c>
      <c r="C38" s="75">
        <v>644</v>
      </c>
      <c r="D38" s="20" t="s">
        <v>177</v>
      </c>
      <c r="E38" s="21" t="s">
        <v>967</v>
      </c>
      <c r="F38" s="22" t="s">
        <v>1416</v>
      </c>
      <c r="G38" s="76" t="s">
        <v>1464</v>
      </c>
      <c r="H38" s="33" t="s">
        <v>1462</v>
      </c>
      <c r="I38" s="17" t="s">
        <v>185</v>
      </c>
      <c r="J38" s="25" t="s">
        <v>1469</v>
      </c>
      <c r="K38" s="5">
        <v>43629</v>
      </c>
      <c r="L38" s="5">
        <v>44482</v>
      </c>
      <c r="M38" s="4">
        <f>S38/AE38*100</f>
        <v>85.000000118502641</v>
      </c>
      <c r="N38" s="77">
        <v>1</v>
      </c>
      <c r="O38" s="3" t="s">
        <v>1466</v>
      </c>
      <c r="P38" s="3" t="s">
        <v>1467</v>
      </c>
      <c r="Q38" s="78" t="s">
        <v>212</v>
      </c>
      <c r="R38" s="3" t="s">
        <v>36</v>
      </c>
      <c r="S38" s="28">
        <f>T38+U38</f>
        <v>2510492.42</v>
      </c>
      <c r="T38" s="31">
        <v>2510492.42</v>
      </c>
      <c r="U38" s="39">
        <v>0</v>
      </c>
      <c r="V38" s="62">
        <f>W38+X38</f>
        <v>383957.66</v>
      </c>
      <c r="W38" s="31">
        <v>383957.66</v>
      </c>
      <c r="X38" s="39">
        <v>0</v>
      </c>
      <c r="Y38" s="63">
        <f>Z38+AA38</f>
        <v>59070.41</v>
      </c>
      <c r="Z38" s="31">
        <v>59070.41</v>
      </c>
      <c r="AA38" s="1">
        <v>0</v>
      </c>
      <c r="AB38" s="28">
        <v>0</v>
      </c>
      <c r="AC38" s="39">
        <v>0</v>
      </c>
      <c r="AD38" s="39">
        <v>0</v>
      </c>
      <c r="AE38" s="28">
        <f>S38+V38+Y38</f>
        <v>2953520.49</v>
      </c>
      <c r="AF38" s="39">
        <v>0</v>
      </c>
      <c r="AG38" s="28">
        <f>AE38+AF38</f>
        <v>2953520.49</v>
      </c>
      <c r="AH38" s="29" t="s">
        <v>586</v>
      </c>
      <c r="AI38" s="30"/>
      <c r="AJ38" s="31">
        <v>0</v>
      </c>
      <c r="AK38" s="31">
        <v>0</v>
      </c>
    </row>
    <row r="39" spans="1:37" ht="283.5" x14ac:dyDescent="0.25">
      <c r="A39" s="348" t="s">
        <v>1628</v>
      </c>
      <c r="B39" s="3">
        <v>120555</v>
      </c>
      <c r="C39" s="16">
        <v>93</v>
      </c>
      <c r="D39" s="3" t="s">
        <v>171</v>
      </c>
      <c r="E39" s="21" t="s">
        <v>967</v>
      </c>
      <c r="F39" s="22" t="s">
        <v>331</v>
      </c>
      <c r="G39" s="79" t="s">
        <v>404</v>
      </c>
      <c r="H39" s="24" t="s">
        <v>403</v>
      </c>
      <c r="I39" s="80" t="s">
        <v>405</v>
      </c>
      <c r="J39" s="25" t="s">
        <v>406</v>
      </c>
      <c r="K39" s="5">
        <v>43208</v>
      </c>
      <c r="L39" s="7">
        <v>43817</v>
      </c>
      <c r="M39" s="4">
        <f t="shared" ref="M39:M41" si="70">S39/AE39*100</f>
        <v>84.163174801247621</v>
      </c>
      <c r="N39" s="3">
        <v>2</v>
      </c>
      <c r="O39" s="3" t="s">
        <v>427</v>
      </c>
      <c r="P39" s="3" t="s">
        <v>407</v>
      </c>
      <c r="Q39" s="8" t="s">
        <v>212</v>
      </c>
      <c r="R39" s="3" t="s">
        <v>36</v>
      </c>
      <c r="S39" s="27">
        <f t="shared" ref="S39:S41" si="71">T39+U39</f>
        <v>356789.37</v>
      </c>
      <c r="T39" s="2">
        <v>356789.37</v>
      </c>
      <c r="U39" s="2">
        <v>0</v>
      </c>
      <c r="V39" s="27">
        <f t="shared" ref="V39:V41" si="72">W39+X39</f>
        <v>58657.86</v>
      </c>
      <c r="W39" s="2">
        <v>58657.86</v>
      </c>
      <c r="X39" s="2">
        <v>0</v>
      </c>
      <c r="Y39" s="27">
        <f t="shared" ref="Y39:Y41" si="73">Z39+AA39</f>
        <v>8478.52</v>
      </c>
      <c r="Z39" s="2">
        <v>8478.52</v>
      </c>
      <c r="AA39" s="2">
        <v>0</v>
      </c>
      <c r="AB39" s="2">
        <f t="shared" ref="AB39:AB41" si="74">AC39+AD39</f>
        <v>0</v>
      </c>
      <c r="AC39" s="2"/>
      <c r="AD39" s="2"/>
      <c r="AE39" s="2">
        <f t="shared" ref="AE39:AE41" si="75">S39+V39+Y39+AB39</f>
        <v>423925.75</v>
      </c>
      <c r="AF39" s="2">
        <v>0</v>
      </c>
      <c r="AG39" s="2">
        <f t="shared" ref="AG39:AG41" si="76">AE39+AF39</f>
        <v>423925.75</v>
      </c>
      <c r="AH39" s="29" t="s">
        <v>586</v>
      </c>
      <c r="AI39" s="30" t="s">
        <v>185</v>
      </c>
      <c r="AJ39" s="1">
        <f>20867.74+18218.8+30425.63+3648.09+28050.24+50726.48+20867.74</f>
        <v>172804.72</v>
      </c>
      <c r="AK39" s="31">
        <f>6395.02+3754.28+1987.29+1098.5+11377.64</f>
        <v>24612.73</v>
      </c>
    </row>
    <row r="40" spans="1:37" ht="189" x14ac:dyDescent="0.25">
      <c r="A40" s="348" t="s">
        <v>1629</v>
      </c>
      <c r="B40" s="3">
        <v>119189</v>
      </c>
      <c r="C40" s="16">
        <v>466</v>
      </c>
      <c r="D40" s="3" t="s">
        <v>684</v>
      </c>
      <c r="E40" s="24" t="s">
        <v>1040</v>
      </c>
      <c r="F40" s="24" t="s">
        <v>543</v>
      </c>
      <c r="G40" s="24" t="s">
        <v>685</v>
      </c>
      <c r="H40" s="24" t="s">
        <v>795</v>
      </c>
      <c r="I40" s="24" t="s">
        <v>185</v>
      </c>
      <c r="J40" s="25" t="s">
        <v>794</v>
      </c>
      <c r="K40" s="5">
        <v>43278</v>
      </c>
      <c r="L40" s="7">
        <v>43765</v>
      </c>
      <c r="M40" s="4">
        <f t="shared" si="70"/>
        <v>85.000000991333039</v>
      </c>
      <c r="N40" s="3">
        <v>2</v>
      </c>
      <c r="O40" s="3" t="s">
        <v>427</v>
      </c>
      <c r="P40" s="3" t="s">
        <v>407</v>
      </c>
      <c r="Q40" s="8" t="s">
        <v>212</v>
      </c>
      <c r="R40" s="3" t="s">
        <v>36</v>
      </c>
      <c r="S40" s="27">
        <f t="shared" si="71"/>
        <v>514458.8</v>
      </c>
      <c r="T40" s="2">
        <v>514458.8</v>
      </c>
      <c r="U40" s="2">
        <v>0</v>
      </c>
      <c r="V40" s="27">
        <f t="shared" si="72"/>
        <v>78681.929999999978</v>
      </c>
      <c r="W40" s="2">
        <v>78681.929999999978</v>
      </c>
      <c r="X40" s="2">
        <v>0</v>
      </c>
      <c r="Y40" s="27">
        <f t="shared" si="73"/>
        <v>12104.91</v>
      </c>
      <c r="Z40" s="2">
        <v>12104.91</v>
      </c>
      <c r="AA40" s="2">
        <v>0</v>
      </c>
      <c r="AB40" s="2">
        <f t="shared" si="74"/>
        <v>0</v>
      </c>
      <c r="AC40" s="2">
        <v>0</v>
      </c>
      <c r="AD40" s="2">
        <v>0</v>
      </c>
      <c r="AE40" s="2">
        <f t="shared" si="75"/>
        <v>605245.64</v>
      </c>
      <c r="AF40" s="2"/>
      <c r="AG40" s="2">
        <f t="shared" si="76"/>
        <v>605245.64</v>
      </c>
      <c r="AH40" s="29" t="s">
        <v>586</v>
      </c>
      <c r="AI40" s="30" t="s">
        <v>185</v>
      </c>
      <c r="AJ40" s="1">
        <v>44348.46</v>
      </c>
      <c r="AK40" s="31">
        <v>6782.71</v>
      </c>
    </row>
    <row r="41" spans="1:37" ht="189" x14ac:dyDescent="0.25">
      <c r="A41" s="348" t="s">
        <v>1630</v>
      </c>
      <c r="B41" s="3">
        <v>125782</v>
      </c>
      <c r="C41" s="16">
        <v>520</v>
      </c>
      <c r="D41" s="17" t="s">
        <v>1073</v>
      </c>
      <c r="E41" s="21" t="s">
        <v>967</v>
      </c>
      <c r="F41" s="23" t="s">
        <v>1133</v>
      </c>
      <c r="G41" s="24" t="s">
        <v>1174</v>
      </c>
      <c r="H41" s="24" t="s">
        <v>795</v>
      </c>
      <c r="I41" s="24" t="s">
        <v>185</v>
      </c>
      <c r="J41" s="25" t="s">
        <v>1175</v>
      </c>
      <c r="K41" s="5">
        <v>43445</v>
      </c>
      <c r="L41" s="7">
        <v>43872</v>
      </c>
      <c r="M41" s="4">
        <f t="shared" si="70"/>
        <v>84.999999737203865</v>
      </c>
      <c r="N41" s="3">
        <v>2</v>
      </c>
      <c r="O41" s="3" t="s">
        <v>427</v>
      </c>
      <c r="P41" s="3" t="s">
        <v>407</v>
      </c>
      <c r="Q41" s="8" t="s">
        <v>212</v>
      </c>
      <c r="R41" s="3" t="s">
        <v>36</v>
      </c>
      <c r="S41" s="27">
        <f t="shared" si="71"/>
        <v>1132056.27</v>
      </c>
      <c r="T41" s="2">
        <v>1132056.27</v>
      </c>
      <c r="U41" s="2">
        <v>0</v>
      </c>
      <c r="V41" s="27">
        <f t="shared" si="72"/>
        <v>173138.02</v>
      </c>
      <c r="W41" s="2">
        <v>173138.02</v>
      </c>
      <c r="X41" s="2">
        <v>0</v>
      </c>
      <c r="Y41" s="27">
        <f t="shared" si="73"/>
        <v>26636.62</v>
      </c>
      <c r="Z41" s="2">
        <v>26636.62</v>
      </c>
      <c r="AA41" s="1">
        <v>0</v>
      </c>
      <c r="AB41" s="2">
        <f t="shared" si="74"/>
        <v>0</v>
      </c>
      <c r="AC41" s="28">
        <v>0</v>
      </c>
      <c r="AD41" s="28">
        <v>0</v>
      </c>
      <c r="AE41" s="2">
        <f t="shared" si="75"/>
        <v>1331830.9100000001</v>
      </c>
      <c r="AF41" s="36"/>
      <c r="AG41" s="2">
        <f t="shared" si="76"/>
        <v>1331830.9100000001</v>
      </c>
      <c r="AH41" s="29" t="s">
        <v>586</v>
      </c>
      <c r="AI41" s="36"/>
      <c r="AJ41" s="40">
        <v>0</v>
      </c>
      <c r="AK41" s="1">
        <v>0</v>
      </c>
    </row>
    <row r="42" spans="1:37" ht="409.5" x14ac:dyDescent="0.25">
      <c r="A42" s="348" t="s">
        <v>1631</v>
      </c>
      <c r="B42" s="3">
        <v>129167</v>
      </c>
      <c r="C42" s="16">
        <v>662</v>
      </c>
      <c r="D42" s="17" t="s">
        <v>684</v>
      </c>
      <c r="E42" s="21" t="s">
        <v>967</v>
      </c>
      <c r="F42" s="81" t="s">
        <v>1416</v>
      </c>
      <c r="G42" s="24" t="s">
        <v>1566</v>
      </c>
      <c r="H42" s="24" t="s">
        <v>1567</v>
      </c>
      <c r="I42" s="24" t="s">
        <v>422</v>
      </c>
      <c r="J42" s="25" t="s">
        <v>1568</v>
      </c>
      <c r="K42" s="5">
        <v>43662</v>
      </c>
      <c r="L42" s="7">
        <f>K42+18</f>
        <v>43680</v>
      </c>
      <c r="M42" s="4">
        <v>85</v>
      </c>
      <c r="N42" s="3">
        <v>2</v>
      </c>
      <c r="O42" s="3" t="s">
        <v>427</v>
      </c>
      <c r="P42" s="3" t="s">
        <v>407</v>
      </c>
      <c r="Q42" s="8" t="s">
        <v>212</v>
      </c>
      <c r="R42" s="3" t="s">
        <v>36</v>
      </c>
      <c r="S42" s="27">
        <v>3211223.95</v>
      </c>
      <c r="T42" s="65">
        <v>3211223.95</v>
      </c>
      <c r="U42" s="2">
        <v>0</v>
      </c>
      <c r="V42" s="27">
        <v>491128.17</v>
      </c>
      <c r="W42" s="2">
        <v>491128.17</v>
      </c>
      <c r="X42" s="2">
        <v>0</v>
      </c>
      <c r="Y42" s="27">
        <v>75558.41</v>
      </c>
      <c r="Z42" s="2">
        <v>75558.41</v>
      </c>
      <c r="AA42" s="1">
        <v>0</v>
      </c>
      <c r="AB42" s="2">
        <v>0</v>
      </c>
      <c r="AC42" s="28">
        <v>0</v>
      </c>
      <c r="AD42" s="28">
        <v>0</v>
      </c>
      <c r="AE42" s="2">
        <f>S42+V42+Y42</f>
        <v>3777910.5300000003</v>
      </c>
      <c r="AF42" s="36">
        <v>0</v>
      </c>
      <c r="AG42" s="2">
        <f>AE42+AF42</f>
        <v>3777910.5300000003</v>
      </c>
      <c r="AH42" s="29" t="s">
        <v>586</v>
      </c>
      <c r="AI42" s="36"/>
      <c r="AJ42" s="40"/>
      <c r="AK42" s="1"/>
    </row>
    <row r="43" spans="1:37" ht="409.5" x14ac:dyDescent="0.25">
      <c r="A43" s="348" t="s">
        <v>1632</v>
      </c>
      <c r="B43" s="20">
        <v>111300</v>
      </c>
      <c r="C43" s="16">
        <v>123</v>
      </c>
      <c r="D43" s="3" t="s">
        <v>172</v>
      </c>
      <c r="E43" s="21" t="s">
        <v>967</v>
      </c>
      <c r="F43" s="22" t="s">
        <v>331</v>
      </c>
      <c r="G43" s="23" t="s">
        <v>267</v>
      </c>
      <c r="H43" s="23" t="s">
        <v>268</v>
      </c>
      <c r="I43" s="24" t="s">
        <v>185</v>
      </c>
      <c r="J43" s="82" t="s">
        <v>269</v>
      </c>
      <c r="K43" s="5">
        <v>43145</v>
      </c>
      <c r="L43" s="7">
        <v>43630</v>
      </c>
      <c r="M43" s="4">
        <f t="shared" ref="M43:M46" si="77">S43/AE43*100</f>
        <v>84.999999881712782</v>
      </c>
      <c r="N43" s="3">
        <v>7</v>
      </c>
      <c r="O43" s="3" t="s">
        <v>270</v>
      </c>
      <c r="P43" s="3" t="s">
        <v>271</v>
      </c>
      <c r="Q43" s="8" t="s">
        <v>212</v>
      </c>
      <c r="R43" s="24" t="s">
        <v>36</v>
      </c>
      <c r="S43" s="27">
        <f>T43+U43</f>
        <v>359294.94</v>
      </c>
      <c r="T43" s="26">
        <v>359294.94</v>
      </c>
      <c r="U43" s="27">
        <v>0</v>
      </c>
      <c r="V43" s="27">
        <f t="shared" ref="V43:V111" si="78">W43+X43</f>
        <v>54950.99</v>
      </c>
      <c r="W43" s="26">
        <v>54950.99</v>
      </c>
      <c r="X43" s="27">
        <v>0</v>
      </c>
      <c r="Y43" s="27">
        <v>8454</v>
      </c>
      <c r="Z43" s="2">
        <v>8454</v>
      </c>
      <c r="AA43" s="2">
        <v>0</v>
      </c>
      <c r="AB43" s="2">
        <f t="shared" ref="AB43:AB110" si="79">AC43+AD43</f>
        <v>0</v>
      </c>
      <c r="AC43" s="83">
        <v>0</v>
      </c>
      <c r="AD43" s="83">
        <v>0</v>
      </c>
      <c r="AE43" s="2">
        <v>422699.93</v>
      </c>
      <c r="AF43" s="2">
        <v>0</v>
      </c>
      <c r="AG43" s="2">
        <f>AE43+AF43</f>
        <v>422699.93</v>
      </c>
      <c r="AH43" s="29" t="s">
        <v>1072</v>
      </c>
      <c r="AI43" s="30" t="s">
        <v>185</v>
      </c>
      <c r="AJ43" s="1">
        <f>93322.21+32434.3+9922.9+28858.69</f>
        <v>164538.1</v>
      </c>
      <c r="AK43" s="31">
        <f>14272.81+4960.54+1517.62+4413.68</f>
        <v>25164.649999999998</v>
      </c>
    </row>
    <row r="44" spans="1:37" ht="362.25" x14ac:dyDescent="0.25">
      <c r="A44" s="348" t="s">
        <v>1633</v>
      </c>
      <c r="B44" s="20">
        <v>110505</v>
      </c>
      <c r="C44" s="16">
        <v>125</v>
      </c>
      <c r="D44" s="3" t="s">
        <v>175</v>
      </c>
      <c r="E44" s="21" t="s">
        <v>967</v>
      </c>
      <c r="F44" s="22" t="s">
        <v>331</v>
      </c>
      <c r="G44" s="23" t="s">
        <v>313</v>
      </c>
      <c r="H44" s="23" t="s">
        <v>314</v>
      </c>
      <c r="I44" s="3" t="s">
        <v>185</v>
      </c>
      <c r="J44" s="25" t="s">
        <v>317</v>
      </c>
      <c r="K44" s="5">
        <v>43173</v>
      </c>
      <c r="L44" s="7">
        <v>43660</v>
      </c>
      <c r="M44" s="4">
        <f t="shared" si="77"/>
        <v>84.99999981945335</v>
      </c>
      <c r="N44" s="3">
        <v>7</v>
      </c>
      <c r="O44" s="3" t="s">
        <v>270</v>
      </c>
      <c r="P44" s="3" t="s">
        <v>315</v>
      </c>
      <c r="Q44" s="8" t="s">
        <v>212</v>
      </c>
      <c r="R44" s="3" t="s">
        <v>36</v>
      </c>
      <c r="S44" s="27">
        <f>T44+U44</f>
        <v>470792.44</v>
      </c>
      <c r="T44" s="2">
        <v>470792.44</v>
      </c>
      <c r="U44" s="2">
        <v>0</v>
      </c>
      <c r="V44" s="27">
        <f t="shared" si="78"/>
        <v>72003.55</v>
      </c>
      <c r="W44" s="2">
        <v>72003.55</v>
      </c>
      <c r="X44" s="2">
        <v>0</v>
      </c>
      <c r="Y44" s="27">
        <f>Z44+AA44</f>
        <v>11077.47</v>
      </c>
      <c r="Z44" s="2">
        <v>11077.47</v>
      </c>
      <c r="AA44" s="2">
        <v>0</v>
      </c>
      <c r="AB44" s="2">
        <f t="shared" si="79"/>
        <v>0</v>
      </c>
      <c r="AC44" s="83">
        <v>0</v>
      </c>
      <c r="AD44" s="83">
        <v>0</v>
      </c>
      <c r="AE44" s="2">
        <f>S44+V44+Y44+AB44</f>
        <v>553873.46</v>
      </c>
      <c r="AF44" s="2">
        <v>0</v>
      </c>
      <c r="AG44" s="2">
        <f t="shared" ref="AG44:AG111" si="80">AE44+AF44</f>
        <v>553873.46</v>
      </c>
      <c r="AH44" s="29" t="s">
        <v>1072</v>
      </c>
      <c r="AI44" s="30" t="s">
        <v>185</v>
      </c>
      <c r="AJ44" s="1">
        <f>176594.42+66632.22</f>
        <v>243226.64</v>
      </c>
      <c r="AK44" s="31">
        <f>27008.56+10190.81</f>
        <v>37199.370000000003</v>
      </c>
    </row>
    <row r="45" spans="1:37" ht="409.5" x14ac:dyDescent="0.25">
      <c r="A45" s="348" t="s">
        <v>1634</v>
      </c>
      <c r="B45" s="20">
        <v>119450</v>
      </c>
      <c r="C45" s="16">
        <v>485</v>
      </c>
      <c r="D45" s="3" t="s">
        <v>843</v>
      </c>
      <c r="E45" s="24" t="s">
        <v>1040</v>
      </c>
      <c r="F45" s="22" t="s">
        <v>543</v>
      </c>
      <c r="G45" s="23" t="s">
        <v>800</v>
      </c>
      <c r="H45" s="23" t="s">
        <v>314</v>
      </c>
      <c r="I45" s="3" t="s">
        <v>185</v>
      </c>
      <c r="J45" s="25" t="s">
        <v>801</v>
      </c>
      <c r="K45" s="5">
        <v>43298</v>
      </c>
      <c r="L45" s="7">
        <v>43786</v>
      </c>
      <c r="M45" s="4">
        <f t="shared" si="77"/>
        <v>85.000002578269815</v>
      </c>
      <c r="N45" s="3">
        <v>7</v>
      </c>
      <c r="O45" s="3" t="s">
        <v>270</v>
      </c>
      <c r="P45" s="3" t="s">
        <v>315</v>
      </c>
      <c r="Q45" s="8" t="s">
        <v>212</v>
      </c>
      <c r="R45" s="3" t="s">
        <v>36</v>
      </c>
      <c r="S45" s="27">
        <f t="shared" ref="S45:S46" si="81">T45+U45</f>
        <v>329678.46000000002</v>
      </c>
      <c r="T45" s="2">
        <v>329678.46000000002</v>
      </c>
      <c r="U45" s="2">
        <v>0</v>
      </c>
      <c r="V45" s="27">
        <f t="shared" si="78"/>
        <v>50421.4</v>
      </c>
      <c r="W45" s="2">
        <v>50421.4</v>
      </c>
      <c r="X45" s="2">
        <v>0</v>
      </c>
      <c r="Y45" s="27">
        <f t="shared" ref="Y45:Y46" si="82">Z45+AA45</f>
        <v>7757.14</v>
      </c>
      <c r="Z45" s="2">
        <v>7757.14</v>
      </c>
      <c r="AA45" s="2">
        <v>0</v>
      </c>
      <c r="AB45" s="2">
        <f t="shared" si="79"/>
        <v>0</v>
      </c>
      <c r="AC45" s="83">
        <v>0</v>
      </c>
      <c r="AD45" s="83">
        <v>0</v>
      </c>
      <c r="AE45" s="2">
        <f t="shared" ref="AE45:AE46" si="83">S45+V45+Y45+AB45</f>
        <v>387857.00000000006</v>
      </c>
      <c r="AF45" s="2">
        <v>0</v>
      </c>
      <c r="AG45" s="2">
        <f t="shared" si="80"/>
        <v>387857.00000000006</v>
      </c>
      <c r="AH45" s="29" t="s">
        <v>586</v>
      </c>
      <c r="AI45" s="30" t="s">
        <v>185</v>
      </c>
      <c r="AJ45" s="1">
        <f>84630.18+30084.9</f>
        <v>114715.07999999999</v>
      </c>
      <c r="AK45" s="31">
        <f>12943.44+4601.22</f>
        <v>17544.66</v>
      </c>
    </row>
    <row r="46" spans="1:37" s="85" customFormat="1" ht="409.5" x14ac:dyDescent="0.25">
      <c r="A46" s="348" t="s">
        <v>1635</v>
      </c>
      <c r="B46" s="37">
        <v>118753</v>
      </c>
      <c r="C46" s="24">
        <v>438</v>
      </c>
      <c r="D46" s="24" t="s">
        <v>843</v>
      </c>
      <c r="E46" s="21" t="s">
        <v>704</v>
      </c>
      <c r="F46" s="84" t="s">
        <v>611</v>
      </c>
      <c r="G46" s="21" t="s">
        <v>1015</v>
      </c>
      <c r="H46" s="21" t="s">
        <v>314</v>
      </c>
      <c r="I46" s="24" t="s">
        <v>185</v>
      </c>
      <c r="J46" s="21" t="s">
        <v>1017</v>
      </c>
      <c r="K46" s="7">
        <v>43348</v>
      </c>
      <c r="L46" s="7">
        <v>43651</v>
      </c>
      <c r="M46" s="47">
        <f t="shared" si="77"/>
        <v>85.000001668065067</v>
      </c>
      <c r="N46" s="3">
        <v>7</v>
      </c>
      <c r="O46" s="3" t="s">
        <v>270</v>
      </c>
      <c r="P46" s="24" t="s">
        <v>1016</v>
      </c>
      <c r="Q46" s="8" t="s">
        <v>212</v>
      </c>
      <c r="R46" s="3" t="s">
        <v>36</v>
      </c>
      <c r="S46" s="27">
        <f t="shared" si="81"/>
        <v>254786.23</v>
      </c>
      <c r="T46" s="1">
        <v>254786.23</v>
      </c>
      <c r="U46" s="2">
        <v>0</v>
      </c>
      <c r="V46" s="27">
        <f t="shared" si="78"/>
        <v>38967.300000000003</v>
      </c>
      <c r="W46" s="1">
        <v>38967.300000000003</v>
      </c>
      <c r="X46" s="2">
        <v>0</v>
      </c>
      <c r="Y46" s="27">
        <f t="shared" si="82"/>
        <v>5994.97</v>
      </c>
      <c r="Z46" s="1">
        <v>5994.97</v>
      </c>
      <c r="AA46" s="1">
        <v>0</v>
      </c>
      <c r="AB46" s="28">
        <f t="shared" si="79"/>
        <v>0</v>
      </c>
      <c r="AC46" s="48">
        <v>0</v>
      </c>
      <c r="AD46" s="48">
        <v>0</v>
      </c>
      <c r="AE46" s="28">
        <f t="shared" si="83"/>
        <v>299748.5</v>
      </c>
      <c r="AF46" s="29">
        <v>0</v>
      </c>
      <c r="AG46" s="28">
        <f t="shared" si="80"/>
        <v>299748.5</v>
      </c>
      <c r="AH46" s="29" t="s">
        <v>1072</v>
      </c>
      <c r="AI46" s="30" t="s">
        <v>185</v>
      </c>
      <c r="AJ46" s="1">
        <f>56093.22+21812.7</f>
        <v>77905.919999999998</v>
      </c>
      <c r="AK46" s="31">
        <f>8578.96+3336.06</f>
        <v>11915.019999999999</v>
      </c>
    </row>
    <row r="47" spans="1:37" s="85" customFormat="1" ht="189" x14ac:dyDescent="0.25">
      <c r="A47" s="348" t="s">
        <v>1636</v>
      </c>
      <c r="B47" s="37">
        <v>126380</v>
      </c>
      <c r="C47" s="24">
        <v>567</v>
      </c>
      <c r="D47" s="24" t="s">
        <v>177</v>
      </c>
      <c r="E47" s="21" t="s">
        <v>967</v>
      </c>
      <c r="F47" s="43" t="s">
        <v>1133</v>
      </c>
      <c r="G47" s="86" t="s">
        <v>1162</v>
      </c>
      <c r="H47" s="23" t="s">
        <v>1164</v>
      </c>
      <c r="I47" s="24" t="s">
        <v>185</v>
      </c>
      <c r="J47" s="21" t="s">
        <v>1163</v>
      </c>
      <c r="K47" s="7">
        <v>43440</v>
      </c>
      <c r="L47" s="7">
        <v>43896</v>
      </c>
      <c r="M47" s="47">
        <f>S47/AE47*100</f>
        <v>85.00000001812522</v>
      </c>
      <c r="N47" s="3">
        <v>8</v>
      </c>
      <c r="O47" s="3" t="s">
        <v>270</v>
      </c>
      <c r="P47" s="24" t="s">
        <v>315</v>
      </c>
      <c r="Q47" s="8" t="s">
        <v>212</v>
      </c>
      <c r="R47" s="3" t="s">
        <v>36</v>
      </c>
      <c r="S47" s="27">
        <f>T47+U47</f>
        <v>2344798.5</v>
      </c>
      <c r="T47" s="1">
        <v>2344798.5</v>
      </c>
      <c r="U47" s="2">
        <v>0</v>
      </c>
      <c r="V47" s="27">
        <f>W47+X47</f>
        <v>358616.24</v>
      </c>
      <c r="W47" s="1">
        <v>358616.24</v>
      </c>
      <c r="X47" s="2">
        <v>0</v>
      </c>
      <c r="Y47" s="27">
        <f>Z47+AA47</f>
        <v>55171.73</v>
      </c>
      <c r="Z47" s="1">
        <v>55171.73</v>
      </c>
      <c r="AA47" s="1">
        <v>0</v>
      </c>
      <c r="AB47" s="28">
        <f>AC47+AD47</f>
        <v>0</v>
      </c>
      <c r="AC47" s="48">
        <v>0</v>
      </c>
      <c r="AD47" s="48">
        <v>0</v>
      </c>
      <c r="AE47" s="28">
        <f>S47+V47+Y47</f>
        <v>2758586.47</v>
      </c>
      <c r="AF47" s="29">
        <v>78540</v>
      </c>
      <c r="AG47" s="28">
        <f>AE47+AF47+AC47</f>
        <v>2837126.47</v>
      </c>
      <c r="AH47" s="29" t="s">
        <v>586</v>
      </c>
      <c r="AI47" s="30"/>
      <c r="AJ47" s="1">
        <v>0</v>
      </c>
      <c r="AK47" s="31">
        <v>0</v>
      </c>
    </row>
    <row r="48" spans="1:37" s="85" customFormat="1" ht="283.5" x14ac:dyDescent="0.25">
      <c r="A48" s="348" t="s">
        <v>1637</v>
      </c>
      <c r="B48" s="37">
        <v>126524</v>
      </c>
      <c r="C48" s="24">
        <v>552</v>
      </c>
      <c r="D48" s="24" t="s">
        <v>177</v>
      </c>
      <c r="E48" s="21" t="s">
        <v>967</v>
      </c>
      <c r="F48" s="43" t="s">
        <v>1133</v>
      </c>
      <c r="G48" s="21" t="s">
        <v>1230</v>
      </c>
      <c r="H48" s="21" t="s">
        <v>1231</v>
      </c>
      <c r="I48" s="24" t="s">
        <v>185</v>
      </c>
      <c r="J48" s="21" t="s">
        <v>1232</v>
      </c>
      <c r="K48" s="7">
        <v>43480</v>
      </c>
      <c r="L48" s="7">
        <v>44027</v>
      </c>
      <c r="M48" s="47">
        <f t="shared" ref="M48:M49" si="84">S48/AE48*100</f>
        <v>84.99999981002415</v>
      </c>
      <c r="N48" s="3">
        <v>8</v>
      </c>
      <c r="O48" s="3" t="s">
        <v>270</v>
      </c>
      <c r="P48" s="24" t="s">
        <v>315</v>
      </c>
      <c r="Q48" s="8" t="s">
        <v>212</v>
      </c>
      <c r="R48" s="3" t="s">
        <v>36</v>
      </c>
      <c r="S48" s="27">
        <f t="shared" ref="S48:S49" si="85">T48+U48</f>
        <v>2460839.27</v>
      </c>
      <c r="T48" s="1">
        <v>2460839.27</v>
      </c>
      <c r="U48" s="2">
        <v>0</v>
      </c>
      <c r="V48" s="27">
        <f t="shared" ref="V48:V49" si="86">W48+X48</f>
        <v>376363.66</v>
      </c>
      <c r="W48" s="1">
        <v>376363.66</v>
      </c>
      <c r="X48" s="2"/>
      <c r="Y48" s="27">
        <f t="shared" ref="Y48:Y49" si="87">Z48+AA48</f>
        <v>57902.1</v>
      </c>
      <c r="Z48" s="1">
        <v>57902.1</v>
      </c>
      <c r="AA48" s="1">
        <v>0</v>
      </c>
      <c r="AB48" s="28">
        <f t="shared" ref="AB48:AB49" si="88">AC48+AD48</f>
        <v>0</v>
      </c>
      <c r="AC48" s="48">
        <v>0</v>
      </c>
      <c r="AD48" s="48">
        <v>0</v>
      </c>
      <c r="AE48" s="28">
        <f t="shared" ref="AE48:AE49" si="89">S48+V48+Y48</f>
        <v>2895105.0300000003</v>
      </c>
      <c r="AF48" s="29">
        <v>0</v>
      </c>
      <c r="AG48" s="28">
        <f>AE48+AF48</f>
        <v>2895105.0300000003</v>
      </c>
      <c r="AH48" s="29"/>
      <c r="AI48" s="30"/>
      <c r="AJ48" s="1">
        <v>0</v>
      </c>
      <c r="AK48" s="31">
        <v>0</v>
      </c>
    </row>
    <row r="49" spans="1:37" s="85" customFormat="1" ht="362.25" x14ac:dyDescent="0.25">
      <c r="A49" s="348" t="s">
        <v>1638</v>
      </c>
      <c r="B49" s="37">
        <v>126332</v>
      </c>
      <c r="C49" s="24">
        <v>565</v>
      </c>
      <c r="D49" s="24" t="s">
        <v>175</v>
      </c>
      <c r="E49" s="21" t="s">
        <v>967</v>
      </c>
      <c r="F49" s="43" t="s">
        <v>1133</v>
      </c>
      <c r="G49" s="21" t="s">
        <v>1397</v>
      </c>
      <c r="H49" s="21" t="s">
        <v>1398</v>
      </c>
      <c r="I49" s="24" t="s">
        <v>185</v>
      </c>
      <c r="J49" s="41" t="s">
        <v>1399</v>
      </c>
      <c r="K49" s="7">
        <v>43601</v>
      </c>
      <c r="L49" s="7">
        <v>44516</v>
      </c>
      <c r="M49" s="47">
        <f t="shared" si="84"/>
        <v>85.000000553635857</v>
      </c>
      <c r="N49" s="3">
        <v>8</v>
      </c>
      <c r="O49" s="3" t="s">
        <v>270</v>
      </c>
      <c r="P49" s="24" t="s">
        <v>315</v>
      </c>
      <c r="Q49" s="8" t="s">
        <v>212</v>
      </c>
      <c r="R49" s="3" t="s">
        <v>36</v>
      </c>
      <c r="S49" s="27">
        <f t="shared" si="85"/>
        <v>1919131.5</v>
      </c>
      <c r="T49" s="1">
        <v>1919131.5</v>
      </c>
      <c r="U49" s="2">
        <v>0</v>
      </c>
      <c r="V49" s="27">
        <f t="shared" si="86"/>
        <v>293514.21000000002</v>
      </c>
      <c r="W49" s="1">
        <v>293514.21000000002</v>
      </c>
      <c r="X49" s="2">
        <v>0</v>
      </c>
      <c r="Y49" s="27">
        <f t="shared" si="87"/>
        <v>45156.04</v>
      </c>
      <c r="Z49" s="1">
        <v>45156.04</v>
      </c>
      <c r="AA49" s="1">
        <v>0</v>
      </c>
      <c r="AB49" s="28">
        <f t="shared" si="88"/>
        <v>0</v>
      </c>
      <c r="AC49" s="48">
        <v>0</v>
      </c>
      <c r="AD49" s="48">
        <v>0</v>
      </c>
      <c r="AE49" s="28">
        <f t="shared" si="89"/>
        <v>2257801.75</v>
      </c>
      <c r="AF49" s="29">
        <v>0</v>
      </c>
      <c r="AG49" s="28">
        <f>AE49+AF49</f>
        <v>2257801.75</v>
      </c>
      <c r="AH49" s="29" t="s">
        <v>586</v>
      </c>
      <c r="AI49" s="30"/>
      <c r="AJ49" s="1"/>
      <c r="AK49" s="31"/>
    </row>
    <row r="50" spans="1:37" ht="330.75" x14ac:dyDescent="0.25">
      <c r="A50" s="348" t="s">
        <v>1639</v>
      </c>
      <c r="B50" s="20">
        <v>120503</v>
      </c>
      <c r="C50" s="16">
        <v>80</v>
      </c>
      <c r="D50" s="3" t="s">
        <v>168</v>
      </c>
      <c r="E50" s="21" t="s">
        <v>967</v>
      </c>
      <c r="F50" s="22" t="s">
        <v>330</v>
      </c>
      <c r="G50" s="87" t="s">
        <v>311</v>
      </c>
      <c r="H50" s="23" t="s">
        <v>310</v>
      </c>
      <c r="I50" s="24" t="s">
        <v>185</v>
      </c>
      <c r="J50" s="25" t="s">
        <v>316</v>
      </c>
      <c r="K50" s="5">
        <v>43173</v>
      </c>
      <c r="L50" s="7">
        <v>43599</v>
      </c>
      <c r="M50" s="4">
        <f t="shared" ref="M50" si="90">S50/AE50*100</f>
        <v>79.999997969650394</v>
      </c>
      <c r="N50" s="3">
        <v>8</v>
      </c>
      <c r="O50" s="3" t="s">
        <v>312</v>
      </c>
      <c r="P50" s="3" t="s">
        <v>156</v>
      </c>
      <c r="Q50" s="8" t="s">
        <v>212</v>
      </c>
      <c r="R50" s="3" t="s">
        <v>36</v>
      </c>
      <c r="S50" s="27">
        <f t="shared" ref="S50:S53" si="91">T50+U50</f>
        <v>315216.64000000001</v>
      </c>
      <c r="T50" s="2">
        <v>0</v>
      </c>
      <c r="U50" s="2">
        <v>315216.64000000001</v>
      </c>
      <c r="V50" s="27">
        <f>W50+X50</f>
        <v>70923.75</v>
      </c>
      <c r="W50" s="2">
        <v>0</v>
      </c>
      <c r="X50" s="2">
        <v>70923.75</v>
      </c>
      <c r="Y50" s="27">
        <f t="shared" ref="Y50:Y53" si="92">Z50+AA50</f>
        <v>7880.42</v>
      </c>
      <c r="Z50" s="2">
        <v>0</v>
      </c>
      <c r="AA50" s="2">
        <v>7880.42</v>
      </c>
      <c r="AB50" s="2">
        <f t="shared" si="79"/>
        <v>0</v>
      </c>
      <c r="AC50" s="83">
        <v>0</v>
      </c>
      <c r="AD50" s="83">
        <v>0</v>
      </c>
      <c r="AE50" s="2">
        <f>S50+V50+Y50+AB50</f>
        <v>394020.81</v>
      </c>
      <c r="AF50" s="2">
        <v>0</v>
      </c>
      <c r="AG50" s="2">
        <f t="shared" si="80"/>
        <v>394020.81</v>
      </c>
      <c r="AH50" s="29" t="s">
        <v>1072</v>
      </c>
      <c r="AI50" s="30" t="s">
        <v>185</v>
      </c>
      <c r="AJ50" s="31">
        <f>156760.98+76482.15</f>
        <v>233243.13</v>
      </c>
      <c r="AK50" s="31">
        <f>35271.23+17208.49</f>
        <v>52479.72</v>
      </c>
    </row>
    <row r="51" spans="1:37" ht="390" x14ac:dyDescent="0.25">
      <c r="A51" s="348" t="s">
        <v>1640</v>
      </c>
      <c r="B51" s="15">
        <v>120710</v>
      </c>
      <c r="C51" s="16">
        <v>103</v>
      </c>
      <c r="D51" s="17" t="s">
        <v>168</v>
      </c>
      <c r="E51" s="21" t="s">
        <v>967</v>
      </c>
      <c r="F51" s="81" t="s">
        <v>330</v>
      </c>
      <c r="G51" s="77" t="s">
        <v>451</v>
      </c>
      <c r="H51" s="23" t="s">
        <v>452</v>
      </c>
      <c r="I51" s="17" t="s">
        <v>185</v>
      </c>
      <c r="J51" s="66" t="s">
        <v>453</v>
      </c>
      <c r="K51" s="5">
        <v>43227</v>
      </c>
      <c r="L51" s="7">
        <v>43715</v>
      </c>
      <c r="M51" s="4">
        <f>S51/AE51*100</f>
        <v>79.999999056893557</v>
      </c>
      <c r="N51" s="3">
        <v>8</v>
      </c>
      <c r="O51" s="3" t="s">
        <v>312</v>
      </c>
      <c r="P51" s="3" t="s">
        <v>156</v>
      </c>
      <c r="Q51" s="3" t="s">
        <v>212</v>
      </c>
      <c r="R51" s="3" t="s">
        <v>36</v>
      </c>
      <c r="S51" s="27">
        <f t="shared" si="91"/>
        <v>339304.22</v>
      </c>
      <c r="T51" s="88">
        <v>0</v>
      </c>
      <c r="U51" s="89">
        <v>339304.22</v>
      </c>
      <c r="V51" s="90">
        <f t="shared" si="78"/>
        <v>76343.45</v>
      </c>
      <c r="W51" s="88">
        <v>0</v>
      </c>
      <c r="X51" s="89">
        <v>76343.45</v>
      </c>
      <c r="Y51" s="90">
        <f t="shared" si="92"/>
        <v>8482.61</v>
      </c>
      <c r="Z51" s="91">
        <v>0</v>
      </c>
      <c r="AA51" s="2">
        <v>8482.61</v>
      </c>
      <c r="AB51" s="2">
        <f t="shared" si="79"/>
        <v>0</v>
      </c>
      <c r="AC51" s="31">
        <v>0</v>
      </c>
      <c r="AD51" s="31">
        <v>0</v>
      </c>
      <c r="AE51" s="2">
        <f t="shared" ref="AE51:AE53" si="93">S51+V51+Y51+AB51</f>
        <v>424130.27999999997</v>
      </c>
      <c r="AF51" s="36">
        <v>0</v>
      </c>
      <c r="AG51" s="2">
        <f t="shared" si="80"/>
        <v>424130.27999999997</v>
      </c>
      <c r="AH51" s="29" t="s">
        <v>586</v>
      </c>
      <c r="AI51" s="92" t="s">
        <v>185</v>
      </c>
      <c r="AJ51" s="31">
        <v>52550.400000000001</v>
      </c>
      <c r="AK51" s="31">
        <v>11823.84</v>
      </c>
    </row>
    <row r="52" spans="1:37" ht="270" x14ac:dyDescent="0.25">
      <c r="A52" s="348" t="s">
        <v>1641</v>
      </c>
      <c r="B52" s="15">
        <v>117665</v>
      </c>
      <c r="C52" s="16">
        <v>413</v>
      </c>
      <c r="D52" s="17" t="s">
        <v>684</v>
      </c>
      <c r="E52" s="21" t="s">
        <v>704</v>
      </c>
      <c r="F52" s="21" t="s">
        <v>612</v>
      </c>
      <c r="G52" s="77" t="s">
        <v>755</v>
      </c>
      <c r="H52" s="23" t="s">
        <v>310</v>
      </c>
      <c r="I52" s="17" t="s">
        <v>185</v>
      </c>
      <c r="J52" s="66" t="s">
        <v>756</v>
      </c>
      <c r="K52" s="5">
        <v>43290</v>
      </c>
      <c r="L52" s="7">
        <v>43625</v>
      </c>
      <c r="M52" s="4">
        <f>S52/AE52*100</f>
        <v>80</v>
      </c>
      <c r="N52" s="3">
        <v>8</v>
      </c>
      <c r="O52" s="3" t="s">
        <v>312</v>
      </c>
      <c r="P52" s="3" t="s">
        <v>312</v>
      </c>
      <c r="Q52" s="3" t="s">
        <v>212</v>
      </c>
      <c r="R52" s="3" t="s">
        <v>36</v>
      </c>
      <c r="S52" s="27">
        <f t="shared" si="91"/>
        <v>224534.64</v>
      </c>
      <c r="T52" s="88">
        <v>0</v>
      </c>
      <c r="U52" s="2">
        <v>224534.64</v>
      </c>
      <c r="V52" s="90">
        <f t="shared" si="78"/>
        <v>50520.29</v>
      </c>
      <c r="W52" s="88">
        <v>0</v>
      </c>
      <c r="X52" s="2">
        <v>50520.29</v>
      </c>
      <c r="Y52" s="90">
        <f t="shared" si="92"/>
        <v>5613.37</v>
      </c>
      <c r="Z52" s="91">
        <v>0</v>
      </c>
      <c r="AA52" s="2">
        <v>5613.37</v>
      </c>
      <c r="AB52" s="2">
        <f t="shared" si="79"/>
        <v>0</v>
      </c>
      <c r="AC52" s="31">
        <v>0</v>
      </c>
      <c r="AD52" s="31">
        <v>0</v>
      </c>
      <c r="AE52" s="2">
        <f t="shared" si="93"/>
        <v>280668.3</v>
      </c>
      <c r="AF52" s="36">
        <v>0</v>
      </c>
      <c r="AG52" s="2">
        <f t="shared" si="80"/>
        <v>280668.3</v>
      </c>
      <c r="AH52" s="29" t="s">
        <v>1072</v>
      </c>
      <c r="AI52" s="93" t="s">
        <v>1372</v>
      </c>
      <c r="AJ52" s="57">
        <v>12137.6</v>
      </c>
      <c r="AK52" s="31">
        <v>2730.96</v>
      </c>
    </row>
    <row r="53" spans="1:37" ht="300" x14ac:dyDescent="0.25">
      <c r="A53" s="348" t="s">
        <v>1642</v>
      </c>
      <c r="B53" s="15">
        <v>117676</v>
      </c>
      <c r="C53" s="16">
        <v>414</v>
      </c>
      <c r="D53" s="17" t="s">
        <v>684</v>
      </c>
      <c r="E53" s="21" t="s">
        <v>704</v>
      </c>
      <c r="F53" s="22" t="s">
        <v>612</v>
      </c>
      <c r="G53" s="77" t="s">
        <v>1018</v>
      </c>
      <c r="H53" s="23" t="s">
        <v>1019</v>
      </c>
      <c r="I53" s="17" t="s">
        <v>185</v>
      </c>
      <c r="J53" s="66" t="s">
        <v>1020</v>
      </c>
      <c r="K53" s="5">
        <v>43348</v>
      </c>
      <c r="L53" s="7">
        <v>43713</v>
      </c>
      <c r="M53" s="4">
        <f t="shared" ref="M53:M54" si="94">S53/AE53*100</f>
        <v>80.000002000969275</v>
      </c>
      <c r="N53" s="3">
        <v>8</v>
      </c>
      <c r="O53" s="3" t="s">
        <v>312</v>
      </c>
      <c r="P53" s="3" t="s">
        <v>156</v>
      </c>
      <c r="Q53" s="3" t="s">
        <v>212</v>
      </c>
      <c r="R53" s="3" t="s">
        <v>36</v>
      </c>
      <c r="S53" s="27">
        <f t="shared" si="91"/>
        <v>239883.75</v>
      </c>
      <c r="T53" s="91">
        <v>0</v>
      </c>
      <c r="U53" s="2">
        <v>239883.75</v>
      </c>
      <c r="V53" s="90">
        <f t="shared" si="78"/>
        <v>53973.85</v>
      </c>
      <c r="W53" s="91">
        <v>0</v>
      </c>
      <c r="X53" s="2">
        <v>53973.85</v>
      </c>
      <c r="Y53" s="90">
        <f t="shared" si="92"/>
        <v>5997.08</v>
      </c>
      <c r="Z53" s="91">
        <v>0</v>
      </c>
      <c r="AA53" s="2">
        <v>5997.08</v>
      </c>
      <c r="AB53" s="2">
        <f t="shared" si="79"/>
        <v>0</v>
      </c>
      <c r="AC53" s="35">
        <v>0</v>
      </c>
      <c r="AD53" s="35">
        <v>0</v>
      </c>
      <c r="AE53" s="2">
        <f t="shared" si="93"/>
        <v>299854.68</v>
      </c>
      <c r="AF53" s="36">
        <v>0</v>
      </c>
      <c r="AG53" s="2">
        <f t="shared" si="80"/>
        <v>299854.68</v>
      </c>
      <c r="AH53" s="29" t="s">
        <v>586</v>
      </c>
      <c r="AI53" s="36"/>
      <c r="AJ53" s="57">
        <f>39088.01+17899.2</f>
        <v>56987.210000000006</v>
      </c>
      <c r="AK53" s="57">
        <f>8794.8+4027.32</f>
        <v>12822.119999999999</v>
      </c>
    </row>
    <row r="54" spans="1:37" ht="285" x14ac:dyDescent="0.25">
      <c r="A54" s="348" t="s">
        <v>1643</v>
      </c>
      <c r="B54" s="15">
        <v>126477</v>
      </c>
      <c r="C54" s="16">
        <v>507</v>
      </c>
      <c r="D54" s="17" t="s">
        <v>843</v>
      </c>
      <c r="E54" s="21" t="s">
        <v>967</v>
      </c>
      <c r="F54" s="22" t="s">
        <v>1140</v>
      </c>
      <c r="G54" s="77" t="s">
        <v>1141</v>
      </c>
      <c r="H54" s="23" t="s">
        <v>1142</v>
      </c>
      <c r="I54" s="17" t="s">
        <v>422</v>
      </c>
      <c r="J54" s="66" t="s">
        <v>1143</v>
      </c>
      <c r="K54" s="5">
        <v>43433</v>
      </c>
      <c r="L54" s="7">
        <v>43980</v>
      </c>
      <c r="M54" s="4">
        <f t="shared" si="94"/>
        <v>79.999999536713688</v>
      </c>
      <c r="N54" s="3">
        <v>8</v>
      </c>
      <c r="O54" s="3" t="s">
        <v>312</v>
      </c>
      <c r="P54" s="3" t="s">
        <v>312</v>
      </c>
      <c r="Q54" s="3" t="s">
        <v>212</v>
      </c>
      <c r="R54" s="3" t="s">
        <v>36</v>
      </c>
      <c r="S54" s="27">
        <f>T54+U54</f>
        <v>3108229.07</v>
      </c>
      <c r="T54" s="91">
        <v>0</v>
      </c>
      <c r="U54" s="2">
        <v>3108229.07</v>
      </c>
      <c r="V54" s="90">
        <f>W54+X54</f>
        <v>699351.56</v>
      </c>
      <c r="W54" s="91">
        <v>0</v>
      </c>
      <c r="X54" s="2">
        <v>699351.56</v>
      </c>
      <c r="Y54" s="90">
        <f>Z54+AA54</f>
        <v>77705.73</v>
      </c>
      <c r="Z54" s="91">
        <v>0</v>
      </c>
      <c r="AA54" s="2">
        <v>77705.73</v>
      </c>
      <c r="AB54" s="2">
        <f>AC54+AD54</f>
        <v>0</v>
      </c>
      <c r="AC54" s="35"/>
      <c r="AD54" s="35"/>
      <c r="AE54" s="2">
        <f>S54+V54+Y54+AB54</f>
        <v>3885286.36</v>
      </c>
      <c r="AF54" s="36"/>
      <c r="AG54" s="2">
        <f>AE54+AF54</f>
        <v>3885286.36</v>
      </c>
      <c r="AH54" s="29" t="s">
        <v>586</v>
      </c>
      <c r="AI54" s="36" t="s">
        <v>185</v>
      </c>
      <c r="AJ54" s="57">
        <v>31416</v>
      </c>
      <c r="AK54" s="57">
        <v>7068.6</v>
      </c>
    </row>
    <row r="55" spans="1:37" ht="141.75" x14ac:dyDescent="0.25">
      <c r="A55" s="348" t="s">
        <v>1644</v>
      </c>
      <c r="B55" s="15">
        <v>126372</v>
      </c>
      <c r="C55" s="16">
        <v>510</v>
      </c>
      <c r="D55" s="17" t="s">
        <v>843</v>
      </c>
      <c r="E55" s="21" t="s">
        <v>967</v>
      </c>
      <c r="F55" s="22" t="s">
        <v>1140</v>
      </c>
      <c r="G55" s="77" t="s">
        <v>1171</v>
      </c>
      <c r="H55" s="23" t="s">
        <v>1172</v>
      </c>
      <c r="I55" s="17" t="s">
        <v>422</v>
      </c>
      <c r="J55" s="66" t="s">
        <v>1173</v>
      </c>
      <c r="K55" s="5">
        <v>43445</v>
      </c>
      <c r="L55" s="7">
        <v>44358</v>
      </c>
      <c r="M55" s="4">
        <f>S55/AE55*100</f>
        <v>80</v>
      </c>
      <c r="N55" s="3">
        <v>8</v>
      </c>
      <c r="O55" s="3" t="s">
        <v>312</v>
      </c>
      <c r="P55" s="3" t="s">
        <v>312</v>
      </c>
      <c r="Q55" s="3" t="s">
        <v>212</v>
      </c>
      <c r="R55" s="3" t="s">
        <v>36</v>
      </c>
      <c r="S55" s="27">
        <f t="shared" ref="S55:S60" si="95">T55+U55</f>
        <v>2932376.8</v>
      </c>
      <c r="T55" s="91">
        <v>0</v>
      </c>
      <c r="U55" s="2">
        <v>2932376.8</v>
      </c>
      <c r="V55" s="90">
        <f>W55+X55</f>
        <v>659784.78</v>
      </c>
      <c r="W55" s="91">
        <v>0</v>
      </c>
      <c r="X55" s="2">
        <v>659784.78</v>
      </c>
      <c r="Y55" s="90">
        <f>Z55+AA55</f>
        <v>73309.42</v>
      </c>
      <c r="Z55" s="91">
        <v>0</v>
      </c>
      <c r="AA55" s="2">
        <v>73309.42</v>
      </c>
      <c r="AB55" s="2">
        <f>AC55+AD55</f>
        <v>0</v>
      </c>
      <c r="AC55" s="31">
        <v>0</v>
      </c>
      <c r="AD55" s="31">
        <v>0</v>
      </c>
      <c r="AE55" s="2">
        <f>S55+V55+Y55+AB55</f>
        <v>3665471</v>
      </c>
      <c r="AF55" s="39">
        <v>127687</v>
      </c>
      <c r="AG55" s="2">
        <f>AE55+AF55</f>
        <v>3793158</v>
      </c>
      <c r="AH55" s="29" t="s">
        <v>586</v>
      </c>
      <c r="AI55" s="36" t="s">
        <v>185</v>
      </c>
      <c r="AJ55" s="57">
        <v>34729.599999999999</v>
      </c>
      <c r="AK55" s="57">
        <v>7814.16</v>
      </c>
    </row>
    <row r="56" spans="1:37" ht="141.75" x14ac:dyDescent="0.25">
      <c r="A56" s="348" t="s">
        <v>1645</v>
      </c>
      <c r="B56" s="15">
        <v>128825</v>
      </c>
      <c r="C56" s="16">
        <v>661</v>
      </c>
      <c r="D56" s="17" t="s">
        <v>647</v>
      </c>
      <c r="E56" s="21" t="s">
        <v>967</v>
      </c>
      <c r="F56" s="22" t="s">
        <v>1486</v>
      </c>
      <c r="G56" s="94" t="s">
        <v>1487</v>
      </c>
      <c r="H56" s="95" t="s">
        <v>1490</v>
      </c>
      <c r="I56" s="17" t="s">
        <v>1219</v>
      </c>
      <c r="J56" s="66" t="s">
        <v>1493</v>
      </c>
      <c r="K56" s="5">
        <v>43635</v>
      </c>
      <c r="L56" s="7">
        <v>44427</v>
      </c>
      <c r="M56" s="4">
        <f t="shared" ref="M56:M60" si="96">S56/AE56*100</f>
        <v>79.493002830992353</v>
      </c>
      <c r="N56" s="3">
        <v>8</v>
      </c>
      <c r="O56" s="3" t="s">
        <v>312</v>
      </c>
      <c r="P56" s="3" t="s">
        <v>312</v>
      </c>
      <c r="Q56" s="3" t="s">
        <v>212</v>
      </c>
      <c r="R56" s="3" t="s">
        <v>36</v>
      </c>
      <c r="S56" s="27">
        <f t="shared" si="95"/>
        <v>3436600.48</v>
      </c>
      <c r="T56" s="91">
        <v>0</v>
      </c>
      <c r="U56" s="2">
        <v>3436600.48</v>
      </c>
      <c r="V56" s="90">
        <f t="shared" ref="V56:V60" si="97">W56+X56</f>
        <v>800084.95</v>
      </c>
      <c r="W56" s="91">
        <v>0</v>
      </c>
      <c r="X56" s="2">
        <v>800084.95</v>
      </c>
      <c r="Y56" s="90">
        <f t="shared" ref="Y56:Y60" si="98">Z56+AA56</f>
        <v>59065.17</v>
      </c>
      <c r="Z56" s="91">
        <v>0</v>
      </c>
      <c r="AA56" s="2">
        <v>59065.17</v>
      </c>
      <c r="AB56" s="2">
        <f t="shared" ref="AB56:AB60" si="99">AC56+AD56</f>
        <v>27397.8</v>
      </c>
      <c r="AC56" s="31">
        <v>0</v>
      </c>
      <c r="AD56" s="31">
        <v>27397.8</v>
      </c>
      <c r="AE56" s="2">
        <f t="shared" ref="AE56:AE60" si="100">S56+V56+Y56+AB56</f>
        <v>4323148.3999999994</v>
      </c>
      <c r="AF56" s="39">
        <v>29750</v>
      </c>
      <c r="AG56" s="2">
        <f t="shared" ref="AG56:AG60" si="101">AE56+AF56</f>
        <v>4352898.3999999994</v>
      </c>
      <c r="AH56" s="29" t="s">
        <v>586</v>
      </c>
      <c r="AI56" s="36" t="s">
        <v>185</v>
      </c>
      <c r="AJ56" s="57"/>
      <c r="AK56" s="57"/>
    </row>
    <row r="57" spans="1:37" ht="255" x14ac:dyDescent="0.25">
      <c r="A57" s="348" t="s">
        <v>1646</v>
      </c>
      <c r="B57" s="15">
        <v>129668</v>
      </c>
      <c r="C57" s="16">
        <v>673</v>
      </c>
      <c r="D57" s="17" t="s">
        <v>647</v>
      </c>
      <c r="E57" s="21" t="s">
        <v>967</v>
      </c>
      <c r="F57" s="22" t="s">
        <v>1486</v>
      </c>
      <c r="G57" s="94" t="s">
        <v>1488</v>
      </c>
      <c r="H57" s="95" t="s">
        <v>1491</v>
      </c>
      <c r="I57" s="17" t="s">
        <v>185</v>
      </c>
      <c r="J57" s="66" t="s">
        <v>1494</v>
      </c>
      <c r="K57" s="5">
        <v>43635</v>
      </c>
      <c r="L57" s="7">
        <v>44549</v>
      </c>
      <c r="M57" s="4">
        <f t="shared" si="96"/>
        <v>80.000000100149578</v>
      </c>
      <c r="N57" s="3">
        <v>8</v>
      </c>
      <c r="O57" s="3" t="s">
        <v>312</v>
      </c>
      <c r="P57" s="3" t="s">
        <v>312</v>
      </c>
      <c r="Q57" s="3" t="s">
        <v>212</v>
      </c>
      <c r="R57" s="3" t="s">
        <v>36</v>
      </c>
      <c r="S57" s="27">
        <f t="shared" si="95"/>
        <v>3195221.02</v>
      </c>
      <c r="T57" s="91">
        <v>0</v>
      </c>
      <c r="U57" s="2">
        <v>3195221.02</v>
      </c>
      <c r="V57" s="90">
        <f t="shared" si="97"/>
        <v>718924.72</v>
      </c>
      <c r="W57" s="91">
        <v>0</v>
      </c>
      <c r="X57" s="2">
        <v>718924.72</v>
      </c>
      <c r="Y57" s="90">
        <f t="shared" si="98"/>
        <v>79880.53</v>
      </c>
      <c r="Z57" s="91">
        <v>0</v>
      </c>
      <c r="AA57" s="2">
        <v>79880.53</v>
      </c>
      <c r="AB57" s="2">
        <f t="shared" si="99"/>
        <v>0</v>
      </c>
      <c r="AC57" s="31">
        <v>0</v>
      </c>
      <c r="AD57" s="31"/>
      <c r="AE57" s="2">
        <f t="shared" si="100"/>
        <v>3994026.27</v>
      </c>
      <c r="AF57" s="39">
        <v>0</v>
      </c>
      <c r="AG57" s="2">
        <f t="shared" si="101"/>
        <v>3994026.27</v>
      </c>
      <c r="AH57" s="29" t="s">
        <v>586</v>
      </c>
      <c r="AI57" s="36" t="s">
        <v>185</v>
      </c>
      <c r="AJ57" s="57"/>
      <c r="AK57" s="57"/>
    </row>
    <row r="58" spans="1:37" ht="255" x14ac:dyDescent="0.25">
      <c r="A58" s="348" t="s">
        <v>1647</v>
      </c>
      <c r="B58" s="15">
        <v>128335</v>
      </c>
      <c r="C58" s="16">
        <v>634</v>
      </c>
      <c r="D58" s="17" t="s">
        <v>647</v>
      </c>
      <c r="E58" s="21" t="s">
        <v>967</v>
      </c>
      <c r="F58" s="22" t="s">
        <v>1486</v>
      </c>
      <c r="G58" s="94" t="s">
        <v>1522</v>
      </c>
      <c r="H58" s="95" t="s">
        <v>1521</v>
      </c>
      <c r="I58" s="17" t="s">
        <v>1523</v>
      </c>
      <c r="J58" s="66" t="s">
        <v>1524</v>
      </c>
      <c r="K58" s="5">
        <v>43647</v>
      </c>
      <c r="L58" s="7">
        <v>44562</v>
      </c>
      <c r="M58" s="4">
        <f t="shared" si="96"/>
        <v>79.99999994861092</v>
      </c>
      <c r="N58" s="3">
        <v>8</v>
      </c>
      <c r="O58" s="3" t="s">
        <v>312</v>
      </c>
      <c r="P58" s="3" t="s">
        <v>312</v>
      </c>
      <c r="Q58" s="3" t="s">
        <v>212</v>
      </c>
      <c r="R58" s="3" t="s">
        <v>36</v>
      </c>
      <c r="S58" s="27">
        <f t="shared" si="95"/>
        <v>3113501.31</v>
      </c>
      <c r="T58" s="91">
        <v>0</v>
      </c>
      <c r="U58" s="2">
        <v>3113501.31</v>
      </c>
      <c r="V58" s="90">
        <f t="shared" si="97"/>
        <v>700537.78</v>
      </c>
      <c r="W58" s="91">
        <v>0</v>
      </c>
      <c r="X58" s="2">
        <v>700537.78</v>
      </c>
      <c r="Y58" s="90">
        <f t="shared" si="98"/>
        <v>77837.55</v>
      </c>
      <c r="Z58" s="91">
        <v>0</v>
      </c>
      <c r="AA58" s="2">
        <v>77837.55</v>
      </c>
      <c r="AB58" s="2">
        <v>0</v>
      </c>
      <c r="AC58" s="31">
        <v>0</v>
      </c>
      <c r="AD58" s="31">
        <v>0</v>
      </c>
      <c r="AE58" s="2">
        <f t="shared" si="100"/>
        <v>3891876.6399999997</v>
      </c>
      <c r="AF58" s="39">
        <v>0</v>
      </c>
      <c r="AG58" s="2">
        <f t="shared" si="101"/>
        <v>3891876.6399999997</v>
      </c>
      <c r="AH58" s="29" t="s">
        <v>586</v>
      </c>
      <c r="AI58" s="36" t="s">
        <v>185</v>
      </c>
      <c r="AJ58" s="57"/>
      <c r="AK58" s="57"/>
    </row>
    <row r="59" spans="1:37" ht="409.5" x14ac:dyDescent="0.25">
      <c r="A59" s="348" t="s">
        <v>1648</v>
      </c>
      <c r="B59" s="15">
        <v>129694</v>
      </c>
      <c r="C59" s="16">
        <v>694</v>
      </c>
      <c r="D59" s="17" t="s">
        <v>647</v>
      </c>
      <c r="E59" s="21" t="s">
        <v>967</v>
      </c>
      <c r="F59" s="22" t="s">
        <v>1486</v>
      </c>
      <c r="G59" s="94" t="s">
        <v>1489</v>
      </c>
      <c r="H59" s="95" t="s">
        <v>1492</v>
      </c>
      <c r="I59" s="17" t="s">
        <v>1219</v>
      </c>
      <c r="J59" s="21" t="s">
        <v>1495</v>
      </c>
      <c r="K59" s="5">
        <v>43635</v>
      </c>
      <c r="L59" s="7">
        <v>44458</v>
      </c>
      <c r="M59" s="4">
        <f t="shared" si="96"/>
        <v>79.559234452662935</v>
      </c>
      <c r="N59" s="3">
        <v>8</v>
      </c>
      <c r="O59" s="3" t="s">
        <v>312</v>
      </c>
      <c r="P59" s="3" t="s">
        <v>312</v>
      </c>
      <c r="Q59" s="3" t="s">
        <v>212</v>
      </c>
      <c r="R59" s="3" t="s">
        <v>36</v>
      </c>
      <c r="S59" s="27">
        <f t="shared" si="95"/>
        <v>3495320.83</v>
      </c>
      <c r="T59" s="91">
        <v>0</v>
      </c>
      <c r="U59" s="2">
        <v>3495320.83</v>
      </c>
      <c r="V59" s="90">
        <f t="shared" si="97"/>
        <v>810168.58</v>
      </c>
      <c r="W59" s="91">
        <v>0</v>
      </c>
      <c r="X59" s="2">
        <v>810168.58</v>
      </c>
      <c r="Y59" s="90">
        <f t="shared" si="98"/>
        <v>63661.63</v>
      </c>
      <c r="Z59" s="91">
        <v>0</v>
      </c>
      <c r="AA59" s="2">
        <v>63661.63</v>
      </c>
      <c r="AB59" s="2">
        <f t="shared" si="99"/>
        <v>24205.5</v>
      </c>
      <c r="AC59" s="31">
        <v>0</v>
      </c>
      <c r="AD59" s="31">
        <v>24205.5</v>
      </c>
      <c r="AE59" s="2">
        <f t="shared" si="100"/>
        <v>4393356.54</v>
      </c>
      <c r="AF59" s="39">
        <v>0</v>
      </c>
      <c r="AG59" s="2">
        <f t="shared" si="101"/>
        <v>4393356.54</v>
      </c>
      <c r="AH59" s="29" t="s">
        <v>586</v>
      </c>
      <c r="AI59" s="36" t="s">
        <v>185</v>
      </c>
      <c r="AJ59" s="57"/>
      <c r="AK59" s="57"/>
    </row>
    <row r="60" spans="1:37" ht="204.75" x14ac:dyDescent="0.25">
      <c r="A60" s="348" t="s">
        <v>1649</v>
      </c>
      <c r="B60" s="15">
        <v>129016</v>
      </c>
      <c r="C60" s="16">
        <v>693</v>
      </c>
      <c r="D60" s="17" t="s">
        <v>647</v>
      </c>
      <c r="E60" s="21" t="s">
        <v>967</v>
      </c>
      <c r="F60" s="22" t="s">
        <v>1486</v>
      </c>
      <c r="G60" s="94" t="s">
        <v>1527</v>
      </c>
      <c r="H60" s="95" t="s">
        <v>1528</v>
      </c>
      <c r="I60" s="17" t="s">
        <v>185</v>
      </c>
      <c r="J60" s="21" t="s">
        <v>1529</v>
      </c>
      <c r="K60" s="5">
        <v>43654</v>
      </c>
      <c r="L60" s="7">
        <v>44020</v>
      </c>
      <c r="M60" s="4">
        <f t="shared" si="96"/>
        <v>79.999998958694746</v>
      </c>
      <c r="N60" s="3">
        <v>8</v>
      </c>
      <c r="O60" s="3" t="s">
        <v>312</v>
      </c>
      <c r="P60" s="3" t="s">
        <v>312</v>
      </c>
      <c r="Q60" s="3" t="s">
        <v>212</v>
      </c>
      <c r="R60" s="3" t="s">
        <v>36</v>
      </c>
      <c r="S60" s="27">
        <f t="shared" si="95"/>
        <v>307306.62</v>
      </c>
      <c r="T60" s="91">
        <v>0</v>
      </c>
      <c r="U60" s="2">
        <v>307306.62</v>
      </c>
      <c r="V60" s="90">
        <f t="shared" si="97"/>
        <v>69143.95</v>
      </c>
      <c r="W60" s="91">
        <v>0</v>
      </c>
      <c r="X60" s="2">
        <v>69143.95</v>
      </c>
      <c r="Y60" s="90">
        <f t="shared" si="98"/>
        <v>7682.71</v>
      </c>
      <c r="Z60" s="91">
        <v>0</v>
      </c>
      <c r="AA60" s="2">
        <v>7682.71</v>
      </c>
      <c r="AB60" s="2">
        <f t="shared" si="99"/>
        <v>0</v>
      </c>
      <c r="AC60" s="31">
        <v>0</v>
      </c>
      <c r="AD60" s="31">
        <v>0</v>
      </c>
      <c r="AE60" s="2">
        <f t="shared" si="100"/>
        <v>384133.28</v>
      </c>
      <c r="AF60" s="39">
        <v>0</v>
      </c>
      <c r="AG60" s="2">
        <f t="shared" si="101"/>
        <v>384133.28</v>
      </c>
      <c r="AH60" s="29" t="s">
        <v>586</v>
      </c>
      <c r="AI60" s="36"/>
      <c r="AJ60" s="57"/>
      <c r="AK60" s="57"/>
    </row>
    <row r="61" spans="1:37" ht="409.5" x14ac:dyDescent="0.25">
      <c r="A61" s="348" t="s">
        <v>1650</v>
      </c>
      <c r="B61" s="15">
        <v>118335</v>
      </c>
      <c r="C61" s="15">
        <v>427</v>
      </c>
      <c r="D61" s="15" t="s">
        <v>684</v>
      </c>
      <c r="E61" s="21" t="s">
        <v>704</v>
      </c>
      <c r="F61" s="22" t="s">
        <v>611</v>
      </c>
      <c r="G61" s="79" t="s">
        <v>690</v>
      </c>
      <c r="H61" s="23" t="s">
        <v>691</v>
      </c>
      <c r="I61" s="17" t="s">
        <v>185</v>
      </c>
      <c r="J61" s="66" t="s">
        <v>697</v>
      </c>
      <c r="K61" s="5">
        <v>43284</v>
      </c>
      <c r="L61" s="7">
        <v>43711</v>
      </c>
      <c r="M61" s="4">
        <f t="shared" ref="M61:M72" si="102">S61/AE61*100</f>
        <v>85.000001775483071</v>
      </c>
      <c r="N61" s="3">
        <v>2</v>
      </c>
      <c r="O61" s="3" t="s">
        <v>692</v>
      </c>
      <c r="P61" s="3" t="s">
        <v>692</v>
      </c>
      <c r="Q61" s="3" t="s">
        <v>212</v>
      </c>
      <c r="R61" s="3" t="s">
        <v>36</v>
      </c>
      <c r="S61" s="27">
        <v>239371.48</v>
      </c>
      <c r="T61" s="2">
        <v>239371.48</v>
      </c>
      <c r="U61" s="31">
        <v>0</v>
      </c>
      <c r="V61" s="27">
        <v>36609.75</v>
      </c>
      <c r="W61" s="2">
        <v>36609.75</v>
      </c>
      <c r="X61" s="35">
        <v>0</v>
      </c>
      <c r="Y61" s="27">
        <v>5632.27</v>
      </c>
      <c r="Z61" s="2">
        <v>5632.27</v>
      </c>
      <c r="AA61" s="31">
        <v>0</v>
      </c>
      <c r="AB61" s="2">
        <f t="shared" si="79"/>
        <v>0</v>
      </c>
      <c r="AC61" s="31">
        <v>0</v>
      </c>
      <c r="AD61" s="31">
        <v>0</v>
      </c>
      <c r="AE61" s="2">
        <f t="shared" ref="AE61:AE64" si="103">S61+V61+Y61+AB61</f>
        <v>281613.5</v>
      </c>
      <c r="AF61" s="36">
        <v>0</v>
      </c>
      <c r="AG61" s="2">
        <f t="shared" si="80"/>
        <v>281613.5</v>
      </c>
      <c r="AH61" s="29" t="s">
        <v>586</v>
      </c>
      <c r="AI61" s="36" t="s">
        <v>1375</v>
      </c>
      <c r="AJ61" s="57">
        <v>13721.01</v>
      </c>
      <c r="AK61" s="57">
        <v>2098.5</v>
      </c>
    </row>
    <row r="62" spans="1:37" ht="409.5" x14ac:dyDescent="0.25">
      <c r="A62" s="348" t="s">
        <v>1651</v>
      </c>
      <c r="B62" s="15">
        <v>118396</v>
      </c>
      <c r="C62" s="15">
        <v>428</v>
      </c>
      <c r="D62" s="15" t="s">
        <v>1318</v>
      </c>
      <c r="E62" s="21" t="s">
        <v>704</v>
      </c>
      <c r="F62" s="22" t="s">
        <v>611</v>
      </c>
      <c r="G62" s="23" t="s">
        <v>859</v>
      </c>
      <c r="H62" s="23" t="s">
        <v>860</v>
      </c>
      <c r="I62" s="3" t="s">
        <v>807</v>
      </c>
      <c r="J62" s="96" t="s">
        <v>861</v>
      </c>
      <c r="K62" s="5">
        <v>43312</v>
      </c>
      <c r="L62" s="7">
        <v>43799</v>
      </c>
      <c r="M62" s="4">
        <f t="shared" si="102"/>
        <v>84.20987828497924</v>
      </c>
      <c r="N62" s="97">
        <v>2</v>
      </c>
      <c r="O62" s="3" t="s">
        <v>692</v>
      </c>
      <c r="P62" s="3" t="s">
        <v>692</v>
      </c>
      <c r="Q62" s="3" t="s">
        <v>212</v>
      </c>
      <c r="R62" s="3" t="s">
        <v>36</v>
      </c>
      <c r="S62" s="31">
        <f>T62</f>
        <v>326851.75</v>
      </c>
      <c r="T62" s="31">
        <v>326851.75</v>
      </c>
      <c r="U62" s="31">
        <v>0</v>
      </c>
      <c r="V62" s="27">
        <f t="shared" si="78"/>
        <v>53524.9</v>
      </c>
      <c r="W62" s="31">
        <v>53524.9</v>
      </c>
      <c r="X62" s="31">
        <v>0</v>
      </c>
      <c r="Y62" s="31">
        <f>Z62+AA62</f>
        <v>7762.79</v>
      </c>
      <c r="Z62" s="31">
        <v>7762.79</v>
      </c>
      <c r="AA62" s="31">
        <v>0</v>
      </c>
      <c r="AB62" s="2">
        <f t="shared" si="79"/>
        <v>0</v>
      </c>
      <c r="AC62" s="31">
        <v>0</v>
      </c>
      <c r="AD62" s="31">
        <v>0</v>
      </c>
      <c r="AE62" s="2">
        <f t="shared" si="103"/>
        <v>388139.44</v>
      </c>
      <c r="AF62" s="36">
        <v>0</v>
      </c>
      <c r="AG62" s="2">
        <f t="shared" si="80"/>
        <v>388139.44</v>
      </c>
      <c r="AH62" s="29" t="s">
        <v>586</v>
      </c>
      <c r="AI62" s="36"/>
      <c r="AJ62" s="57">
        <f>38178.44+14834.2+3.22+14453.49+13750.33</f>
        <v>81219.680000000008</v>
      </c>
      <c r="AK62" s="57">
        <f>3425.9+2621.59-3.22+2550.61+2426.53</f>
        <v>11021.41</v>
      </c>
    </row>
    <row r="63" spans="1:37" ht="330.75" x14ac:dyDescent="0.25">
      <c r="A63" s="348" t="s">
        <v>1652</v>
      </c>
      <c r="B63" s="20">
        <v>119892</v>
      </c>
      <c r="C63" s="75">
        <v>480</v>
      </c>
      <c r="D63" s="20" t="s">
        <v>168</v>
      </c>
      <c r="E63" s="24" t="s">
        <v>1040</v>
      </c>
      <c r="F63" s="22" t="s">
        <v>543</v>
      </c>
      <c r="G63" s="23" t="s">
        <v>1096</v>
      </c>
      <c r="H63" s="33" t="s">
        <v>1097</v>
      </c>
      <c r="I63" s="24" t="s">
        <v>422</v>
      </c>
      <c r="J63" s="25" t="s">
        <v>1098</v>
      </c>
      <c r="K63" s="98">
        <v>43389</v>
      </c>
      <c r="L63" s="7">
        <v>43906</v>
      </c>
      <c r="M63" s="4">
        <f t="shared" si="102"/>
        <v>85.000001891187381</v>
      </c>
      <c r="N63" s="20">
        <v>2</v>
      </c>
      <c r="O63" s="24" t="s">
        <v>692</v>
      </c>
      <c r="P63" s="3" t="s">
        <v>1099</v>
      </c>
      <c r="Q63" s="99" t="s">
        <v>212</v>
      </c>
      <c r="R63" s="100" t="s">
        <v>547</v>
      </c>
      <c r="S63" s="101">
        <f>T63+U63</f>
        <v>337089.82</v>
      </c>
      <c r="T63" s="31">
        <v>337089.82</v>
      </c>
      <c r="U63" s="31">
        <v>0</v>
      </c>
      <c r="V63" s="27">
        <f t="shared" si="78"/>
        <v>51554.92</v>
      </c>
      <c r="W63" s="2">
        <v>51554.92</v>
      </c>
      <c r="X63" s="20">
        <v>0</v>
      </c>
      <c r="Y63" s="102">
        <f>Z63+AA63</f>
        <v>7931.51</v>
      </c>
      <c r="Z63" s="103">
        <v>7931.51</v>
      </c>
      <c r="AA63" s="31">
        <v>0</v>
      </c>
      <c r="AB63" s="100">
        <v>0</v>
      </c>
      <c r="AC63" s="24">
        <v>0</v>
      </c>
      <c r="AD63" s="31">
        <v>0</v>
      </c>
      <c r="AE63" s="2">
        <f t="shared" si="103"/>
        <v>396576.25</v>
      </c>
      <c r="AF63" s="20">
        <v>0</v>
      </c>
      <c r="AG63" s="2">
        <f t="shared" si="80"/>
        <v>396576.25</v>
      </c>
      <c r="AH63" s="20" t="s">
        <v>586</v>
      </c>
      <c r="AI63" s="36" t="s">
        <v>1564</v>
      </c>
      <c r="AJ63" s="40">
        <v>0</v>
      </c>
      <c r="AK63" s="1">
        <v>0</v>
      </c>
    </row>
    <row r="64" spans="1:37" ht="252" x14ac:dyDescent="0.25">
      <c r="A64" s="348" t="s">
        <v>1653</v>
      </c>
      <c r="B64" s="20">
        <v>126446</v>
      </c>
      <c r="C64" s="75">
        <v>543</v>
      </c>
      <c r="D64" s="20" t="s">
        <v>174</v>
      </c>
      <c r="E64" s="24" t="s">
        <v>967</v>
      </c>
      <c r="F64" s="22" t="s">
        <v>1133</v>
      </c>
      <c r="G64" s="21" t="s">
        <v>1136</v>
      </c>
      <c r="H64" s="33" t="s">
        <v>1097</v>
      </c>
      <c r="I64" s="24" t="s">
        <v>422</v>
      </c>
      <c r="J64" s="25" t="s">
        <v>1137</v>
      </c>
      <c r="K64" s="104">
        <v>43430</v>
      </c>
      <c r="L64" s="7">
        <v>44253</v>
      </c>
      <c r="M64" s="4">
        <f t="shared" si="102"/>
        <v>85.000000017455704</v>
      </c>
      <c r="N64" s="20">
        <v>2</v>
      </c>
      <c r="O64" s="24" t="s">
        <v>692</v>
      </c>
      <c r="P64" s="3" t="s">
        <v>1099</v>
      </c>
      <c r="Q64" s="99" t="s">
        <v>212</v>
      </c>
      <c r="R64" s="100" t="s">
        <v>547</v>
      </c>
      <c r="S64" s="101">
        <f t="shared" ref="S64" si="104">T64+U64</f>
        <v>2434734.11</v>
      </c>
      <c r="T64" s="31">
        <v>2434734.11</v>
      </c>
      <c r="U64" s="31">
        <v>0</v>
      </c>
      <c r="V64" s="27">
        <f t="shared" si="78"/>
        <v>372371.1</v>
      </c>
      <c r="W64" s="2">
        <v>372371.1</v>
      </c>
      <c r="X64" s="20">
        <v>0</v>
      </c>
      <c r="Y64" s="102">
        <f t="shared" ref="Y64" si="105">Z64+AA64</f>
        <v>57287.86</v>
      </c>
      <c r="Z64" s="103">
        <v>57287.86</v>
      </c>
      <c r="AA64" s="31">
        <v>0</v>
      </c>
      <c r="AB64" s="2">
        <f t="shared" si="79"/>
        <v>0</v>
      </c>
      <c r="AC64" s="31">
        <v>0</v>
      </c>
      <c r="AD64" s="31">
        <v>0</v>
      </c>
      <c r="AE64" s="2">
        <f t="shared" si="103"/>
        <v>2864393.07</v>
      </c>
      <c r="AF64" s="20"/>
      <c r="AG64" s="2">
        <f t="shared" si="80"/>
        <v>2864393.07</v>
      </c>
      <c r="AH64" s="20" t="s">
        <v>586</v>
      </c>
      <c r="AI64" s="36"/>
      <c r="AJ64" s="40">
        <v>0</v>
      </c>
      <c r="AK64" s="1">
        <v>0</v>
      </c>
    </row>
    <row r="65" spans="1:37" ht="346.5" x14ac:dyDescent="0.25">
      <c r="A65" s="348" t="s">
        <v>1654</v>
      </c>
      <c r="B65" s="20">
        <v>120730</v>
      </c>
      <c r="C65" s="16">
        <v>92</v>
      </c>
      <c r="D65" s="3" t="s">
        <v>175</v>
      </c>
      <c r="E65" s="21" t="s">
        <v>967</v>
      </c>
      <c r="F65" s="22" t="s">
        <v>331</v>
      </c>
      <c r="G65" s="23" t="s">
        <v>238</v>
      </c>
      <c r="H65" s="23" t="s">
        <v>237</v>
      </c>
      <c r="I65" s="24" t="s">
        <v>185</v>
      </c>
      <c r="J65" s="25" t="s">
        <v>240</v>
      </c>
      <c r="K65" s="5">
        <v>43145</v>
      </c>
      <c r="L65" s="5">
        <v>43630</v>
      </c>
      <c r="M65" s="4">
        <f>S65/AE65*100</f>
        <v>85.000000355065879</v>
      </c>
      <c r="N65" s="3">
        <v>2</v>
      </c>
      <c r="O65" s="3" t="s">
        <v>692</v>
      </c>
      <c r="P65" s="3" t="s">
        <v>1310</v>
      </c>
      <c r="Q65" s="8" t="s">
        <v>212</v>
      </c>
      <c r="R65" s="24" t="s">
        <v>36</v>
      </c>
      <c r="S65" s="2">
        <f>T65+U65</f>
        <v>359088.29</v>
      </c>
      <c r="T65" s="2">
        <v>359088.29</v>
      </c>
      <c r="U65" s="2">
        <v>0</v>
      </c>
      <c r="V65" s="2">
        <f>W65+X65</f>
        <v>54919.39</v>
      </c>
      <c r="W65" s="2">
        <v>54919.39</v>
      </c>
      <c r="X65" s="2">
        <v>0</v>
      </c>
      <c r="Y65" s="2">
        <f>Z65+AA65</f>
        <v>8449.1299999999992</v>
      </c>
      <c r="Z65" s="2">
        <v>8449.1299999999992</v>
      </c>
      <c r="AA65" s="2">
        <v>0</v>
      </c>
      <c r="AB65" s="2">
        <f>AC65+AD65</f>
        <v>0</v>
      </c>
      <c r="AC65" s="2"/>
      <c r="AD65" s="2"/>
      <c r="AE65" s="2">
        <f>S65+V65+Y65+AB65</f>
        <v>422456.81</v>
      </c>
      <c r="AF65" s="2">
        <v>66435.22</v>
      </c>
      <c r="AG65" s="2">
        <f>AE65+AF65</f>
        <v>488892.03</v>
      </c>
      <c r="AH65" s="29" t="s">
        <v>1072</v>
      </c>
      <c r="AI65" s="30" t="s">
        <v>185</v>
      </c>
      <c r="AJ65" s="1">
        <f>61496.4+125218.28+42840+78452.67</f>
        <v>308007.34999999998</v>
      </c>
      <c r="AK65" s="31">
        <f>9405.33+19151.03+6552+11998.64</f>
        <v>47107</v>
      </c>
    </row>
    <row r="66" spans="1:37" ht="141.75" x14ac:dyDescent="0.25">
      <c r="A66" s="348" t="s">
        <v>1655</v>
      </c>
      <c r="B66" s="20">
        <v>129270</v>
      </c>
      <c r="C66" s="16">
        <v>647</v>
      </c>
      <c r="D66" s="3" t="s">
        <v>163</v>
      </c>
      <c r="E66" s="21" t="s">
        <v>967</v>
      </c>
      <c r="F66" s="22" t="s">
        <v>1416</v>
      </c>
      <c r="G66" s="59" t="s">
        <v>1543</v>
      </c>
      <c r="H66" s="23" t="s">
        <v>237</v>
      </c>
      <c r="I66" s="24" t="s">
        <v>185</v>
      </c>
      <c r="J66" s="25" t="s">
        <v>1544</v>
      </c>
      <c r="K66" s="5">
        <v>43656</v>
      </c>
      <c r="L66" s="5">
        <v>44206</v>
      </c>
      <c r="M66" s="4">
        <f>S66/AE66*100</f>
        <v>84.999999975703545</v>
      </c>
      <c r="N66" s="3">
        <v>2</v>
      </c>
      <c r="O66" s="3" t="s">
        <v>692</v>
      </c>
      <c r="P66" s="3" t="s">
        <v>1310</v>
      </c>
      <c r="Q66" s="8" t="s">
        <v>212</v>
      </c>
      <c r="R66" s="24" t="s">
        <v>36</v>
      </c>
      <c r="S66" s="2">
        <f>T66+U66</f>
        <v>1749225.82</v>
      </c>
      <c r="T66" s="2">
        <v>1749225.82</v>
      </c>
      <c r="U66" s="2">
        <v>0</v>
      </c>
      <c r="V66" s="2">
        <f>W66+X66</f>
        <v>267528.65999999997</v>
      </c>
      <c r="W66" s="2">
        <v>267528.65999999997</v>
      </c>
      <c r="X66" s="2">
        <v>0</v>
      </c>
      <c r="Y66" s="2">
        <f>Z66+AA66</f>
        <v>41158.25</v>
      </c>
      <c r="Z66" s="2">
        <v>41158.25</v>
      </c>
      <c r="AA66" s="2">
        <v>0</v>
      </c>
      <c r="AB66" s="2">
        <f>AC66+AD66</f>
        <v>0</v>
      </c>
      <c r="AC66" s="2">
        <v>0</v>
      </c>
      <c r="AD66" s="2">
        <v>0</v>
      </c>
      <c r="AE66" s="2">
        <f>S66+V66+Y66+AB66</f>
        <v>2057912.73</v>
      </c>
      <c r="AF66" s="2">
        <v>0</v>
      </c>
      <c r="AG66" s="2">
        <f>AE66+AF66</f>
        <v>2057912.73</v>
      </c>
      <c r="AH66" s="29" t="s">
        <v>586</v>
      </c>
      <c r="AI66" s="30"/>
      <c r="AJ66" s="1"/>
      <c r="AK66" s="31"/>
    </row>
    <row r="67" spans="1:37" ht="409.5" x14ac:dyDescent="0.25">
      <c r="A67" s="348" t="s">
        <v>1656</v>
      </c>
      <c r="B67" s="20">
        <v>118879</v>
      </c>
      <c r="C67" s="24">
        <v>452</v>
      </c>
      <c r="D67" s="3" t="s">
        <v>684</v>
      </c>
      <c r="E67" s="21" t="s">
        <v>704</v>
      </c>
      <c r="F67" s="22" t="s">
        <v>611</v>
      </c>
      <c r="G67" s="21" t="s">
        <v>802</v>
      </c>
      <c r="H67" s="24" t="s">
        <v>803</v>
      </c>
      <c r="I67" s="24" t="s">
        <v>185</v>
      </c>
      <c r="J67" s="21" t="s">
        <v>804</v>
      </c>
      <c r="K67" s="5">
        <v>43293</v>
      </c>
      <c r="L67" s="7">
        <v>43780</v>
      </c>
      <c r="M67" s="4">
        <f t="shared" si="102"/>
        <v>85</v>
      </c>
      <c r="N67" s="24">
        <v>3</v>
      </c>
      <c r="O67" s="24" t="s">
        <v>428</v>
      </c>
      <c r="P67" s="24" t="s">
        <v>428</v>
      </c>
      <c r="Q67" s="24" t="s">
        <v>212</v>
      </c>
      <c r="R67" s="3" t="s">
        <v>36</v>
      </c>
      <c r="S67" s="1">
        <v>338205.65</v>
      </c>
      <c r="T67" s="1">
        <v>338205.65</v>
      </c>
      <c r="U67" s="31">
        <v>0</v>
      </c>
      <c r="V67" s="27">
        <v>51725.57</v>
      </c>
      <c r="W67" s="1">
        <v>51725.57</v>
      </c>
      <c r="X67" s="31">
        <v>0</v>
      </c>
      <c r="Y67" s="48">
        <v>7957.78</v>
      </c>
      <c r="Z67" s="1">
        <v>7957.78</v>
      </c>
      <c r="AA67" s="1">
        <v>0</v>
      </c>
      <c r="AB67" s="2">
        <v>0</v>
      </c>
      <c r="AC67" s="31">
        <v>0</v>
      </c>
      <c r="AD67" s="31">
        <v>0</v>
      </c>
      <c r="AE67" s="31">
        <f>S67+V67+Y67+AB67</f>
        <v>397889.00000000006</v>
      </c>
      <c r="AF67" s="105">
        <v>0</v>
      </c>
      <c r="AG67" s="31">
        <f t="shared" si="80"/>
        <v>397889.00000000006</v>
      </c>
      <c r="AH67" s="29" t="s">
        <v>586</v>
      </c>
      <c r="AI67" s="93" t="s">
        <v>1376</v>
      </c>
      <c r="AJ67" s="57">
        <f>67994.82+55632.47</f>
        <v>123627.29000000001</v>
      </c>
      <c r="AK67" s="57">
        <f>10399.21+8508.49</f>
        <v>18907.699999999997</v>
      </c>
    </row>
    <row r="68" spans="1:37" ht="283.5" x14ac:dyDescent="0.25">
      <c r="A68" s="348" t="s">
        <v>1657</v>
      </c>
      <c r="B68" s="15">
        <v>118774</v>
      </c>
      <c r="C68" s="16">
        <v>442</v>
      </c>
      <c r="D68" s="17" t="s">
        <v>175</v>
      </c>
      <c r="E68" s="21" t="s">
        <v>704</v>
      </c>
      <c r="F68" s="22" t="s">
        <v>611</v>
      </c>
      <c r="G68" s="21" t="s">
        <v>977</v>
      </c>
      <c r="H68" s="24" t="s">
        <v>978</v>
      </c>
      <c r="I68" s="17"/>
      <c r="J68" s="21" t="s">
        <v>1080</v>
      </c>
      <c r="K68" s="5">
        <v>43341</v>
      </c>
      <c r="L68" s="7">
        <v>43798</v>
      </c>
      <c r="M68" s="4">
        <v>85</v>
      </c>
      <c r="N68" s="17">
        <v>3</v>
      </c>
      <c r="O68" s="24" t="s">
        <v>428</v>
      </c>
      <c r="P68" s="24" t="s">
        <v>428</v>
      </c>
      <c r="Q68" s="24" t="s">
        <v>212</v>
      </c>
      <c r="R68" s="3" t="s">
        <v>36</v>
      </c>
      <c r="S68" s="31">
        <f>T68+U68</f>
        <v>220497.36</v>
      </c>
      <c r="T68" s="31">
        <v>220497.36</v>
      </c>
      <c r="U68" s="31">
        <v>0</v>
      </c>
      <c r="V68" s="27">
        <v>33723.14</v>
      </c>
      <c r="W68" s="106">
        <v>33723.14</v>
      </c>
      <c r="X68" s="31">
        <v>0</v>
      </c>
      <c r="Y68" s="31">
        <v>5188.17</v>
      </c>
      <c r="Z68" s="31">
        <v>5188.17</v>
      </c>
      <c r="AA68" s="1">
        <v>0</v>
      </c>
      <c r="AB68" s="2">
        <f t="shared" si="79"/>
        <v>0</v>
      </c>
      <c r="AC68" s="31">
        <v>0</v>
      </c>
      <c r="AD68" s="31">
        <v>0</v>
      </c>
      <c r="AE68" s="2">
        <f t="shared" ref="AE68:AE72" si="106">S68+V68+Y68+AB68</f>
        <v>259408.67</v>
      </c>
      <c r="AF68" s="36"/>
      <c r="AG68" s="2">
        <f t="shared" si="80"/>
        <v>259408.67</v>
      </c>
      <c r="AH68" s="29" t="s">
        <v>586</v>
      </c>
      <c r="AI68" s="93" t="s">
        <v>185</v>
      </c>
      <c r="AJ68" s="57">
        <v>51023.72</v>
      </c>
      <c r="AK68" s="57">
        <v>7803.63</v>
      </c>
    </row>
    <row r="69" spans="1:37" ht="409.5" x14ac:dyDescent="0.25">
      <c r="A69" s="348" t="s">
        <v>1658</v>
      </c>
      <c r="B69" s="15">
        <v>119901</v>
      </c>
      <c r="C69" s="16">
        <v>486</v>
      </c>
      <c r="D69" s="17" t="s">
        <v>168</v>
      </c>
      <c r="E69" s="17" t="s">
        <v>1040</v>
      </c>
      <c r="F69" s="43" t="s">
        <v>543</v>
      </c>
      <c r="G69" s="43" t="s">
        <v>1109</v>
      </c>
      <c r="H69" s="24" t="s">
        <v>803</v>
      </c>
      <c r="I69" s="17" t="s">
        <v>422</v>
      </c>
      <c r="J69" s="25" t="s">
        <v>1110</v>
      </c>
      <c r="K69" s="7">
        <v>43377</v>
      </c>
      <c r="L69" s="7">
        <v>43864</v>
      </c>
      <c r="M69" s="4">
        <f t="shared" si="102"/>
        <v>85.000004041383775</v>
      </c>
      <c r="N69" s="17">
        <v>3</v>
      </c>
      <c r="O69" s="24" t="s">
        <v>428</v>
      </c>
      <c r="P69" s="24" t="s">
        <v>1111</v>
      </c>
      <c r="Q69" s="24" t="s">
        <v>212</v>
      </c>
      <c r="R69" s="24" t="s">
        <v>547</v>
      </c>
      <c r="S69" s="31">
        <f>T69+U69</f>
        <v>420648.02</v>
      </c>
      <c r="T69" s="31">
        <v>420648.02</v>
      </c>
      <c r="U69" s="35">
        <v>0</v>
      </c>
      <c r="V69" s="27">
        <f>W69+X69</f>
        <v>64334.38</v>
      </c>
      <c r="W69" s="107">
        <v>64334.38</v>
      </c>
      <c r="X69" s="35">
        <v>0</v>
      </c>
      <c r="Y69" s="60">
        <f>Z68:Z69+AA69</f>
        <v>9897.6</v>
      </c>
      <c r="Z69" s="60">
        <v>9897.6</v>
      </c>
      <c r="AA69" s="60">
        <v>0</v>
      </c>
      <c r="AB69" s="2">
        <f t="shared" si="79"/>
        <v>0</v>
      </c>
      <c r="AC69" s="35">
        <v>0</v>
      </c>
      <c r="AD69" s="35">
        <v>0</v>
      </c>
      <c r="AE69" s="2">
        <f t="shared" si="106"/>
        <v>494880</v>
      </c>
      <c r="AF69" s="36"/>
      <c r="AG69" s="2">
        <f t="shared" si="80"/>
        <v>494880</v>
      </c>
      <c r="AH69" s="29" t="s">
        <v>871</v>
      </c>
      <c r="AI69" s="36"/>
      <c r="AJ69" s="40">
        <f>49488-933.45+20905.75</f>
        <v>69460.3</v>
      </c>
      <c r="AK69" s="1">
        <f>7425.99+3197.35</f>
        <v>10623.34</v>
      </c>
    </row>
    <row r="70" spans="1:37" ht="299.25" x14ac:dyDescent="0.25">
      <c r="A70" s="348" t="s">
        <v>1659</v>
      </c>
      <c r="B70" s="15">
        <v>126537</v>
      </c>
      <c r="C70" s="16">
        <v>569</v>
      </c>
      <c r="D70" s="17" t="s">
        <v>175</v>
      </c>
      <c r="E70" s="21" t="s">
        <v>967</v>
      </c>
      <c r="F70" s="22" t="s">
        <v>1133</v>
      </c>
      <c r="G70" s="21" t="s">
        <v>1367</v>
      </c>
      <c r="H70" s="24" t="s">
        <v>803</v>
      </c>
      <c r="I70" s="17" t="s">
        <v>422</v>
      </c>
      <c r="J70" s="25" t="s">
        <v>1368</v>
      </c>
      <c r="K70" s="5">
        <v>43567</v>
      </c>
      <c r="L70" s="7">
        <v>44450</v>
      </c>
      <c r="M70" s="4">
        <f t="shared" si="102"/>
        <v>84.999999931518204</v>
      </c>
      <c r="N70" s="17">
        <v>3</v>
      </c>
      <c r="O70" s="24" t="s">
        <v>428</v>
      </c>
      <c r="P70" s="24" t="s">
        <v>1111</v>
      </c>
      <c r="Q70" s="24" t="s">
        <v>212</v>
      </c>
      <c r="R70" s="24" t="s">
        <v>547</v>
      </c>
      <c r="S70" s="31">
        <f t="shared" ref="S70:S72" si="107">T70+U70</f>
        <v>3103013.95</v>
      </c>
      <c r="T70" s="31">
        <v>3103013.95</v>
      </c>
      <c r="U70" s="108">
        <v>0</v>
      </c>
      <c r="V70" s="27">
        <f t="shared" ref="V70:V72" si="108">W70+X70</f>
        <v>474578.61</v>
      </c>
      <c r="W70" s="107">
        <v>474578.61</v>
      </c>
      <c r="X70" s="108">
        <v>0</v>
      </c>
      <c r="Y70" s="60">
        <f t="shared" ref="Y70" si="109">Z69:Z70+AA70</f>
        <v>73012.09</v>
      </c>
      <c r="Z70" s="60">
        <v>73012.09</v>
      </c>
      <c r="AA70" s="108">
        <v>0</v>
      </c>
      <c r="AB70" s="2">
        <f t="shared" si="79"/>
        <v>0</v>
      </c>
      <c r="AC70" s="108">
        <v>0</v>
      </c>
      <c r="AD70" s="108">
        <v>0</v>
      </c>
      <c r="AE70" s="2">
        <f t="shared" si="106"/>
        <v>3650604.65</v>
      </c>
      <c r="AF70" s="1">
        <v>0</v>
      </c>
      <c r="AG70" s="2">
        <f t="shared" si="80"/>
        <v>3650604.65</v>
      </c>
      <c r="AH70" s="29" t="s">
        <v>871</v>
      </c>
      <c r="AI70" s="36"/>
      <c r="AJ70" s="40">
        <v>25269.65</v>
      </c>
      <c r="AK70" s="1">
        <v>0</v>
      </c>
    </row>
    <row r="71" spans="1:37" ht="220.5" x14ac:dyDescent="0.25">
      <c r="A71" s="348" t="s">
        <v>1660</v>
      </c>
      <c r="B71" s="15">
        <v>129241</v>
      </c>
      <c r="C71" s="75">
        <v>650</v>
      </c>
      <c r="D71" s="15" t="s">
        <v>163</v>
      </c>
      <c r="E71" s="21" t="s">
        <v>967</v>
      </c>
      <c r="F71" s="109" t="s">
        <v>1416</v>
      </c>
      <c r="G71" s="38" t="s">
        <v>1429</v>
      </c>
      <c r="H71" s="24" t="s">
        <v>1430</v>
      </c>
      <c r="I71" s="17" t="s">
        <v>185</v>
      </c>
      <c r="J71" s="25" t="s">
        <v>1417</v>
      </c>
      <c r="K71" s="5">
        <v>43608</v>
      </c>
      <c r="L71" s="7">
        <v>44462</v>
      </c>
      <c r="M71" s="4">
        <f t="shared" si="102"/>
        <v>85.000000168986716</v>
      </c>
      <c r="N71" s="17">
        <v>3</v>
      </c>
      <c r="O71" s="24" t="s">
        <v>428</v>
      </c>
      <c r="P71" s="24" t="s">
        <v>1111</v>
      </c>
      <c r="Q71" s="24" t="s">
        <v>212</v>
      </c>
      <c r="R71" s="24" t="s">
        <v>547</v>
      </c>
      <c r="S71" s="31">
        <f t="shared" si="107"/>
        <v>2514990.63</v>
      </c>
      <c r="T71" s="1">
        <v>2514990.63</v>
      </c>
      <c r="U71" s="108">
        <v>0</v>
      </c>
      <c r="V71" s="27">
        <f t="shared" si="108"/>
        <v>384645.62</v>
      </c>
      <c r="W71" s="110">
        <v>384645.62</v>
      </c>
      <c r="X71" s="108">
        <v>0</v>
      </c>
      <c r="Y71" s="1">
        <f>Z70:Z71+AA71</f>
        <v>59176.25</v>
      </c>
      <c r="Z71" s="1">
        <v>59176.25</v>
      </c>
      <c r="AA71" s="1">
        <v>0</v>
      </c>
      <c r="AB71" s="28">
        <f t="shared" si="79"/>
        <v>0</v>
      </c>
      <c r="AC71" s="108">
        <v>0</v>
      </c>
      <c r="AD71" s="108">
        <v>0</v>
      </c>
      <c r="AE71" s="2">
        <f t="shared" si="106"/>
        <v>2958812.5</v>
      </c>
      <c r="AF71" s="1">
        <v>0</v>
      </c>
      <c r="AG71" s="2">
        <f t="shared" si="80"/>
        <v>2958812.5</v>
      </c>
      <c r="AH71" s="29" t="s">
        <v>871</v>
      </c>
      <c r="AI71" s="36"/>
      <c r="AJ71" s="40">
        <v>25182.5</v>
      </c>
      <c r="AK71" s="1">
        <v>0</v>
      </c>
    </row>
    <row r="72" spans="1:37" ht="220.5" x14ac:dyDescent="0.25">
      <c r="A72" s="348" t="s">
        <v>1661</v>
      </c>
      <c r="B72" s="15">
        <v>129152</v>
      </c>
      <c r="C72" s="75">
        <v>656</v>
      </c>
      <c r="D72" s="15" t="s">
        <v>176</v>
      </c>
      <c r="E72" s="21" t="str">
        <f t="shared" ref="E72:F72" si="110">E71</f>
        <v>AP 2/11i/2.1</v>
      </c>
      <c r="F72" s="109" t="str">
        <f t="shared" si="110"/>
        <v>CP 12 less/2018</v>
      </c>
      <c r="G72" s="38" t="s">
        <v>1441</v>
      </c>
      <c r="H72" s="37" t="s">
        <v>978</v>
      </c>
      <c r="I72" s="17" t="s">
        <v>185</v>
      </c>
      <c r="J72" s="25" t="s">
        <v>1442</v>
      </c>
      <c r="K72" s="5">
        <v>43621</v>
      </c>
      <c r="L72" s="7">
        <v>44352</v>
      </c>
      <c r="M72" s="4">
        <f t="shared" si="102"/>
        <v>85.000000171199162</v>
      </c>
      <c r="N72" s="17">
        <f t="shared" ref="N72:O72" si="111">N71</f>
        <v>3</v>
      </c>
      <c r="O72" s="24" t="str">
        <f t="shared" si="111"/>
        <v>CĂLĂRAȘI</v>
      </c>
      <c r="P72" s="24" t="s">
        <v>1111</v>
      </c>
      <c r="Q72" s="24" t="s">
        <v>212</v>
      </c>
      <c r="R72" s="24" t="s">
        <v>547</v>
      </c>
      <c r="S72" s="31">
        <f t="shared" si="107"/>
        <v>2482488.84</v>
      </c>
      <c r="T72" s="1">
        <v>2482488.84</v>
      </c>
      <c r="U72" s="108">
        <v>0</v>
      </c>
      <c r="V72" s="27">
        <f t="shared" si="108"/>
        <v>379674.76</v>
      </c>
      <c r="W72" s="110">
        <v>379674.76</v>
      </c>
      <c r="X72" s="108">
        <v>0</v>
      </c>
      <c r="Y72" s="1">
        <f>Z71:Z72+AA72</f>
        <v>58411.5</v>
      </c>
      <c r="Z72" s="1">
        <v>58411.5</v>
      </c>
      <c r="AA72" s="1">
        <v>0</v>
      </c>
      <c r="AB72" s="28">
        <f t="shared" si="79"/>
        <v>0</v>
      </c>
      <c r="AC72" s="108">
        <v>0</v>
      </c>
      <c r="AD72" s="108">
        <v>0</v>
      </c>
      <c r="AE72" s="2">
        <f t="shared" si="106"/>
        <v>2920575.0999999996</v>
      </c>
      <c r="AF72" s="1">
        <v>11900</v>
      </c>
      <c r="AG72" s="2">
        <f t="shared" si="80"/>
        <v>2932475.0999999996</v>
      </c>
      <c r="AH72" s="29" t="s">
        <v>871</v>
      </c>
      <c r="AI72" s="36"/>
      <c r="AJ72" s="40"/>
      <c r="AK72" s="1"/>
    </row>
    <row r="73" spans="1:37" ht="315" x14ac:dyDescent="0.25">
      <c r="A73" s="348" t="s">
        <v>1662</v>
      </c>
      <c r="B73" s="15">
        <v>120791</v>
      </c>
      <c r="C73" s="16">
        <v>88</v>
      </c>
      <c r="D73" s="3" t="s">
        <v>168</v>
      </c>
      <c r="E73" s="21" t="s">
        <v>967</v>
      </c>
      <c r="F73" s="22" t="s">
        <v>331</v>
      </c>
      <c r="G73" s="21" t="s">
        <v>336</v>
      </c>
      <c r="H73" s="23" t="s">
        <v>1425</v>
      </c>
      <c r="I73" s="111" t="s">
        <v>337</v>
      </c>
      <c r="J73" s="66" t="s">
        <v>338</v>
      </c>
      <c r="K73" s="5">
        <v>43180</v>
      </c>
      <c r="L73" s="7">
        <v>43667</v>
      </c>
      <c r="M73" s="4">
        <f t="shared" ref="M73:M75" si="112">S73/AE73*100</f>
        <v>84.174275146898083</v>
      </c>
      <c r="N73" s="3">
        <v>5</v>
      </c>
      <c r="O73" s="3" t="s">
        <v>339</v>
      </c>
      <c r="P73" s="3" t="s">
        <v>340</v>
      </c>
      <c r="Q73" s="8" t="s">
        <v>212</v>
      </c>
      <c r="R73" s="3" t="s">
        <v>36</v>
      </c>
      <c r="S73" s="27">
        <f t="shared" ref="S73:S75" si="113">T73+U73</f>
        <v>316573.06</v>
      </c>
      <c r="T73" s="2">
        <v>316573.06</v>
      </c>
      <c r="U73" s="2">
        <v>0</v>
      </c>
      <c r="V73" s="27">
        <f t="shared" si="78"/>
        <v>51997.5</v>
      </c>
      <c r="W73" s="2">
        <v>51997.5</v>
      </c>
      <c r="X73" s="2">
        <v>0</v>
      </c>
      <c r="Y73" s="27">
        <f>Z73+AA73</f>
        <v>7521.85</v>
      </c>
      <c r="Z73" s="2">
        <v>7521.85</v>
      </c>
      <c r="AA73" s="2">
        <v>0</v>
      </c>
      <c r="AB73" s="2">
        <f t="shared" si="79"/>
        <v>0</v>
      </c>
      <c r="AC73" s="2">
        <v>0</v>
      </c>
      <c r="AD73" s="2">
        <v>0</v>
      </c>
      <c r="AE73" s="2">
        <f>S73+V73+Y73+AB73</f>
        <v>376092.41</v>
      </c>
      <c r="AF73" s="2">
        <v>0</v>
      </c>
      <c r="AG73" s="2">
        <f t="shared" si="80"/>
        <v>376092.41</v>
      </c>
      <c r="AH73" s="29" t="s">
        <v>586</v>
      </c>
      <c r="AI73" s="30" t="s">
        <v>185</v>
      </c>
      <c r="AJ73" s="1">
        <f>82700.83+16407.5-2095.99+13973.28+13168.81+13492.57+33256.21</f>
        <v>170903.21</v>
      </c>
      <c r="AK73" s="31">
        <f>10873.44+2461.12+2095.99+2014.06+2381.06+5613.51</f>
        <v>25439.18</v>
      </c>
    </row>
    <row r="74" spans="1:37" ht="345" x14ac:dyDescent="0.25">
      <c r="A74" s="348" t="s">
        <v>1663</v>
      </c>
      <c r="B74" s="17">
        <v>128386</v>
      </c>
      <c r="C74" s="16">
        <v>657</v>
      </c>
      <c r="D74" s="20" t="s">
        <v>176</v>
      </c>
      <c r="E74" s="21" t="s">
        <v>967</v>
      </c>
      <c r="F74" s="109" t="s">
        <v>1416</v>
      </c>
      <c r="G74" s="21" t="s">
        <v>1426</v>
      </c>
      <c r="H74" s="112" t="s">
        <v>1427</v>
      </c>
      <c r="I74" s="17" t="s">
        <v>185</v>
      </c>
      <c r="J74" s="113" t="s">
        <v>1428</v>
      </c>
      <c r="K74" s="5">
        <v>43613</v>
      </c>
      <c r="L74" s="7">
        <v>44436</v>
      </c>
      <c r="M74" s="4">
        <f t="shared" si="112"/>
        <v>84.999999925635848</v>
      </c>
      <c r="N74" s="3">
        <v>5</v>
      </c>
      <c r="O74" s="3" t="s">
        <v>339</v>
      </c>
      <c r="P74" s="112" t="s">
        <v>1427</v>
      </c>
      <c r="Q74" s="8" t="s">
        <v>212</v>
      </c>
      <c r="R74" s="3" t="s">
        <v>36</v>
      </c>
      <c r="S74" s="27">
        <f t="shared" si="113"/>
        <v>3429071.68</v>
      </c>
      <c r="T74" s="2">
        <v>3429071.68</v>
      </c>
      <c r="U74" s="2">
        <v>0</v>
      </c>
      <c r="V74" s="27">
        <f t="shared" si="78"/>
        <v>524446.26</v>
      </c>
      <c r="W74" s="2">
        <v>524446.26</v>
      </c>
      <c r="X74" s="2">
        <v>0</v>
      </c>
      <c r="Y74" s="27">
        <f>Z74+AA74</f>
        <v>80684.039999999994</v>
      </c>
      <c r="Z74" s="2">
        <v>80684.039999999994</v>
      </c>
      <c r="AA74" s="2">
        <v>0</v>
      </c>
      <c r="AB74" s="2">
        <f t="shared" si="79"/>
        <v>0</v>
      </c>
      <c r="AC74" s="2">
        <v>0</v>
      </c>
      <c r="AD74" s="2">
        <v>0</v>
      </c>
      <c r="AE74" s="2">
        <f>S74+V74+Y74+AB74</f>
        <v>4034201.9800000004</v>
      </c>
      <c r="AF74" s="2">
        <v>0</v>
      </c>
      <c r="AG74" s="2">
        <f>AE74+AF74</f>
        <v>4034201.9800000004</v>
      </c>
      <c r="AH74" s="29" t="s">
        <v>586</v>
      </c>
      <c r="AI74" s="30"/>
      <c r="AJ74" s="1"/>
      <c r="AK74" s="31"/>
    </row>
    <row r="75" spans="1:37" ht="270" x14ac:dyDescent="0.25">
      <c r="A75" s="348" t="s">
        <v>1664</v>
      </c>
      <c r="B75" s="17">
        <v>128739</v>
      </c>
      <c r="C75" s="16">
        <v>630</v>
      </c>
      <c r="D75" s="20" t="s">
        <v>173</v>
      </c>
      <c r="E75" s="21" t="s">
        <v>967</v>
      </c>
      <c r="F75" s="109" t="s">
        <v>1416</v>
      </c>
      <c r="G75" s="38" t="s">
        <v>1530</v>
      </c>
      <c r="H75" s="23" t="s">
        <v>1425</v>
      </c>
      <c r="I75" s="17" t="s">
        <v>1523</v>
      </c>
      <c r="J75" s="113" t="s">
        <v>1531</v>
      </c>
      <c r="K75" s="5">
        <v>43654</v>
      </c>
      <c r="L75" s="7">
        <v>44447</v>
      </c>
      <c r="M75" s="4">
        <f t="shared" si="112"/>
        <v>85.000000167824169</v>
      </c>
      <c r="N75" s="3">
        <v>5</v>
      </c>
      <c r="O75" s="3" t="s">
        <v>339</v>
      </c>
      <c r="P75" s="3" t="s">
        <v>340</v>
      </c>
      <c r="Q75" s="8" t="s">
        <v>212</v>
      </c>
      <c r="R75" s="3" t="s">
        <v>36</v>
      </c>
      <c r="S75" s="27">
        <f t="shared" si="113"/>
        <v>2532412.23</v>
      </c>
      <c r="T75" s="2">
        <v>2532412.23</v>
      </c>
      <c r="U75" s="2">
        <v>0</v>
      </c>
      <c r="V75" s="27">
        <f t="shared" si="78"/>
        <v>387310.1</v>
      </c>
      <c r="W75" s="2">
        <v>387310.1</v>
      </c>
      <c r="X75" s="2">
        <v>0</v>
      </c>
      <c r="Y75" s="27">
        <f>Z75+AA75</f>
        <v>59586.17</v>
      </c>
      <c r="Z75" s="2">
        <v>59586.17</v>
      </c>
      <c r="AA75" s="2">
        <v>0</v>
      </c>
      <c r="AB75" s="2">
        <f t="shared" si="79"/>
        <v>0</v>
      </c>
      <c r="AC75" s="2">
        <v>0</v>
      </c>
      <c r="AD75" s="2">
        <v>0</v>
      </c>
      <c r="AE75" s="2">
        <f>S75+V75+Y75+AB75</f>
        <v>2979308.5</v>
      </c>
      <c r="AF75" s="2">
        <v>0</v>
      </c>
      <c r="AG75" s="2">
        <f>AE75+AF75</f>
        <v>2979308.5</v>
      </c>
      <c r="AH75" s="29" t="s">
        <v>586</v>
      </c>
      <c r="AI75" s="30"/>
      <c r="AJ75" s="1"/>
      <c r="AK75" s="31"/>
    </row>
    <row r="76" spans="1:37" ht="315" x14ac:dyDescent="0.25">
      <c r="A76" s="348" t="s">
        <v>1665</v>
      </c>
      <c r="B76" s="20">
        <v>120583</v>
      </c>
      <c r="C76" s="16">
        <v>77</v>
      </c>
      <c r="D76" s="3" t="s">
        <v>174</v>
      </c>
      <c r="E76" s="21" t="s">
        <v>967</v>
      </c>
      <c r="F76" s="22" t="s">
        <v>331</v>
      </c>
      <c r="G76" s="23" t="s">
        <v>214</v>
      </c>
      <c r="H76" s="23" t="s">
        <v>217</v>
      </c>
      <c r="I76" s="3" t="s">
        <v>185</v>
      </c>
      <c r="J76" s="51" t="s">
        <v>220</v>
      </c>
      <c r="K76" s="5">
        <v>43126</v>
      </c>
      <c r="L76" s="7">
        <v>43369</v>
      </c>
      <c r="M76" s="4">
        <f t="shared" ref="M76:M82" si="114">S76/AE76*100</f>
        <v>84.999999763641128</v>
      </c>
      <c r="N76" s="3">
        <v>6</v>
      </c>
      <c r="O76" s="3" t="s">
        <v>222</v>
      </c>
      <c r="P76" s="3" t="s">
        <v>223</v>
      </c>
      <c r="Q76" s="44" t="s">
        <v>212</v>
      </c>
      <c r="R76" s="3" t="s">
        <v>36</v>
      </c>
      <c r="S76" s="27">
        <f t="shared" ref="S76:S82" si="115">T76+U76</f>
        <v>359622.64</v>
      </c>
      <c r="T76" s="2">
        <v>359622.64</v>
      </c>
      <c r="U76" s="2">
        <v>0</v>
      </c>
      <c r="V76" s="27">
        <f t="shared" si="78"/>
        <v>55001.11</v>
      </c>
      <c r="W76" s="2">
        <v>55001.11</v>
      </c>
      <c r="X76" s="2">
        <v>0</v>
      </c>
      <c r="Y76" s="27">
        <f t="shared" ref="Y76" si="116">Z76+AA76</f>
        <v>8461.7099999999991</v>
      </c>
      <c r="Z76" s="2">
        <v>8461.7099999999991</v>
      </c>
      <c r="AA76" s="2">
        <v>0</v>
      </c>
      <c r="AB76" s="2">
        <f t="shared" si="79"/>
        <v>0</v>
      </c>
      <c r="AC76" s="2"/>
      <c r="AD76" s="2"/>
      <c r="AE76" s="2">
        <f>S76+V76+Y76+AB76</f>
        <v>423085.46</v>
      </c>
      <c r="AF76" s="2">
        <v>0</v>
      </c>
      <c r="AG76" s="2">
        <f t="shared" si="80"/>
        <v>423085.46</v>
      </c>
      <c r="AH76" s="29" t="s">
        <v>1072</v>
      </c>
      <c r="AI76" s="30" t="s">
        <v>185</v>
      </c>
      <c r="AJ76" s="1">
        <f>41688.25+258393</f>
        <v>300081.25</v>
      </c>
      <c r="AK76" s="52">
        <f>6375.85+39518.93</f>
        <v>45894.78</v>
      </c>
    </row>
    <row r="77" spans="1:37" ht="189" x14ac:dyDescent="0.25">
      <c r="A77" s="348" t="s">
        <v>1666</v>
      </c>
      <c r="B77" s="20">
        <v>110080</v>
      </c>
      <c r="C77" s="16">
        <v>118</v>
      </c>
      <c r="D77" s="3" t="s">
        <v>175</v>
      </c>
      <c r="E77" s="21" t="s">
        <v>967</v>
      </c>
      <c r="F77" s="22" t="s">
        <v>331</v>
      </c>
      <c r="G77" s="23" t="s">
        <v>305</v>
      </c>
      <c r="H77" s="23" t="s">
        <v>306</v>
      </c>
      <c r="I77" s="24" t="s">
        <v>185</v>
      </c>
      <c r="J77" s="25" t="s">
        <v>307</v>
      </c>
      <c r="K77" s="5">
        <v>43171</v>
      </c>
      <c r="L77" s="7">
        <v>43658</v>
      </c>
      <c r="M77" s="4">
        <f t="shared" si="114"/>
        <v>84.9999996799977</v>
      </c>
      <c r="N77" s="3">
        <v>6</v>
      </c>
      <c r="O77" s="3" t="s">
        <v>222</v>
      </c>
      <c r="P77" s="3" t="s">
        <v>308</v>
      </c>
      <c r="Q77" s="8" t="s">
        <v>212</v>
      </c>
      <c r="R77" s="3" t="s">
        <v>36</v>
      </c>
      <c r="S77" s="27">
        <f t="shared" si="115"/>
        <v>531246.18999999994</v>
      </c>
      <c r="T77" s="2">
        <v>531246.18999999994</v>
      </c>
      <c r="U77" s="2">
        <v>0</v>
      </c>
      <c r="V77" s="27">
        <f t="shared" si="78"/>
        <v>81249.41</v>
      </c>
      <c r="W77" s="2">
        <v>81249.41</v>
      </c>
      <c r="X77" s="2">
        <v>0</v>
      </c>
      <c r="Y77" s="27">
        <v>12499.92</v>
      </c>
      <c r="Z77" s="2">
        <v>12499.92</v>
      </c>
      <c r="AA77" s="2">
        <v>0</v>
      </c>
      <c r="AB77" s="2">
        <f t="shared" si="79"/>
        <v>0</v>
      </c>
      <c r="AC77" s="2"/>
      <c r="AD77" s="2"/>
      <c r="AE77" s="2">
        <f t="shared" ref="AE77:AE82" si="117">S77+V77+Y77+AB77</f>
        <v>624995.52</v>
      </c>
      <c r="AF77" s="2">
        <v>0</v>
      </c>
      <c r="AG77" s="2">
        <f t="shared" si="80"/>
        <v>624995.52</v>
      </c>
      <c r="AH77" s="29" t="s">
        <v>1072</v>
      </c>
      <c r="AI77" s="30" t="s">
        <v>185</v>
      </c>
      <c r="AJ77" s="1">
        <f>116443.03+69871.41+58803.54</f>
        <v>245117.98</v>
      </c>
      <c r="AK77" s="31">
        <f>17808.93+10686.22+8993.49</f>
        <v>37488.639999999999</v>
      </c>
    </row>
    <row r="78" spans="1:37" ht="362.25" x14ac:dyDescent="0.25">
      <c r="A78" s="348" t="s">
        <v>1667</v>
      </c>
      <c r="B78" s="20">
        <v>120588</v>
      </c>
      <c r="C78" s="24">
        <v>104</v>
      </c>
      <c r="D78" s="3" t="s">
        <v>684</v>
      </c>
      <c r="E78" s="21" t="s">
        <v>967</v>
      </c>
      <c r="F78" s="22" t="s">
        <v>331</v>
      </c>
      <c r="G78" s="114" t="s">
        <v>386</v>
      </c>
      <c r="H78" s="33" t="s">
        <v>385</v>
      </c>
      <c r="I78" s="3" t="s">
        <v>185</v>
      </c>
      <c r="J78" s="25" t="s">
        <v>387</v>
      </c>
      <c r="K78" s="5">
        <v>43201</v>
      </c>
      <c r="L78" s="7">
        <v>43749</v>
      </c>
      <c r="M78" s="4">
        <f t="shared" si="114"/>
        <v>85.000000000000014</v>
      </c>
      <c r="N78" s="3">
        <v>6</v>
      </c>
      <c r="O78" s="3" t="s">
        <v>222</v>
      </c>
      <c r="P78" s="3" t="s">
        <v>308</v>
      </c>
      <c r="Q78" s="44" t="s">
        <v>212</v>
      </c>
      <c r="R78" s="3" t="s">
        <v>36</v>
      </c>
      <c r="S78" s="27">
        <f t="shared" si="115"/>
        <v>354701.26</v>
      </c>
      <c r="T78" s="2">
        <v>354701.26</v>
      </c>
      <c r="U78" s="2">
        <v>0</v>
      </c>
      <c r="V78" s="27">
        <f t="shared" si="78"/>
        <v>54248.43</v>
      </c>
      <c r="W78" s="2">
        <v>54248.43</v>
      </c>
      <c r="X78" s="2">
        <v>0</v>
      </c>
      <c r="Y78" s="27">
        <f>Z78+AA78</f>
        <v>8345.91</v>
      </c>
      <c r="Z78" s="2">
        <v>8345.91</v>
      </c>
      <c r="AA78" s="2">
        <v>0</v>
      </c>
      <c r="AB78" s="2">
        <f t="shared" si="79"/>
        <v>0</v>
      </c>
      <c r="AC78" s="2">
        <v>0</v>
      </c>
      <c r="AD78" s="2">
        <v>0</v>
      </c>
      <c r="AE78" s="2">
        <f t="shared" si="117"/>
        <v>417295.6</v>
      </c>
      <c r="AF78" s="2">
        <v>0</v>
      </c>
      <c r="AG78" s="2">
        <f t="shared" si="80"/>
        <v>417295.6</v>
      </c>
      <c r="AH78" s="29" t="s">
        <v>586</v>
      </c>
      <c r="AI78" s="30" t="s">
        <v>1374</v>
      </c>
      <c r="AJ78" s="1">
        <f>4830.98+7367.8+23538.62+16315.75+114299.5</f>
        <v>166352.65</v>
      </c>
      <c r="AK78" s="31">
        <f>738.85+1126.84+3600.02+2495.35+17481.1</f>
        <v>25442.159999999996</v>
      </c>
    </row>
    <row r="79" spans="1:37" ht="267.75" x14ac:dyDescent="0.25">
      <c r="A79" s="348" t="s">
        <v>1668</v>
      </c>
      <c r="B79" s="20">
        <v>126485</v>
      </c>
      <c r="C79" s="16">
        <v>546</v>
      </c>
      <c r="D79" s="3" t="s">
        <v>177</v>
      </c>
      <c r="E79" s="21" t="s">
        <v>967</v>
      </c>
      <c r="F79" s="22" t="s">
        <v>1133</v>
      </c>
      <c r="G79" s="114" t="s">
        <v>1213</v>
      </c>
      <c r="H79" s="33" t="s">
        <v>1211</v>
      </c>
      <c r="I79" s="3" t="s">
        <v>185</v>
      </c>
      <c r="J79" s="25" t="s">
        <v>1212</v>
      </c>
      <c r="K79" s="5">
        <v>43455</v>
      </c>
      <c r="L79" s="7">
        <v>44186</v>
      </c>
      <c r="M79" s="4">
        <f t="shared" si="114"/>
        <v>85</v>
      </c>
      <c r="N79" s="3">
        <v>6</v>
      </c>
      <c r="O79" s="3" t="s">
        <v>222</v>
      </c>
      <c r="P79" s="3" t="s">
        <v>223</v>
      </c>
      <c r="Q79" s="44" t="s">
        <v>212</v>
      </c>
      <c r="R79" s="3" t="s">
        <v>36</v>
      </c>
      <c r="S79" s="27">
        <f t="shared" si="115"/>
        <v>3257796.87</v>
      </c>
      <c r="T79" s="2">
        <v>3257796.87</v>
      </c>
      <c r="U79" s="2">
        <v>0</v>
      </c>
      <c r="V79" s="27">
        <f t="shared" si="78"/>
        <v>498251.29</v>
      </c>
      <c r="W79" s="2">
        <v>498251.29</v>
      </c>
      <c r="X79" s="2">
        <v>0</v>
      </c>
      <c r="Y79" s="27">
        <f t="shared" ref="Y79:Y82" si="118">Z79+AA79</f>
        <v>76654.039999999994</v>
      </c>
      <c r="Z79" s="2">
        <v>76654.039999999994</v>
      </c>
      <c r="AA79" s="2">
        <v>0</v>
      </c>
      <c r="AB79" s="2">
        <f t="shared" si="79"/>
        <v>0</v>
      </c>
      <c r="AC79" s="2">
        <v>0</v>
      </c>
      <c r="AD79" s="2">
        <v>0</v>
      </c>
      <c r="AE79" s="2">
        <f t="shared" si="117"/>
        <v>3832702.2</v>
      </c>
      <c r="AF79" s="2"/>
      <c r="AG79" s="2">
        <f t="shared" si="80"/>
        <v>3832702.2</v>
      </c>
      <c r="AH79" s="29" t="s">
        <v>586</v>
      </c>
      <c r="AI79" s="30" t="s">
        <v>185</v>
      </c>
      <c r="AJ79" s="57">
        <v>0</v>
      </c>
      <c r="AK79" s="31">
        <v>0</v>
      </c>
    </row>
    <row r="80" spans="1:37" ht="141.75" x14ac:dyDescent="0.25">
      <c r="A80" s="348" t="s">
        <v>1669</v>
      </c>
      <c r="B80" s="20">
        <v>126214</v>
      </c>
      <c r="C80" s="16">
        <v>527</v>
      </c>
      <c r="D80" s="3" t="s">
        <v>1073</v>
      </c>
      <c r="E80" s="21" t="s">
        <v>967</v>
      </c>
      <c r="F80" s="22" t="s">
        <v>1133</v>
      </c>
      <c r="G80" s="114" t="s">
        <v>1255</v>
      </c>
      <c r="H80" s="33" t="s">
        <v>1256</v>
      </c>
      <c r="I80" s="3" t="s">
        <v>185</v>
      </c>
      <c r="J80" s="25" t="s">
        <v>1257</v>
      </c>
      <c r="K80" s="5">
        <v>43507</v>
      </c>
      <c r="L80" s="7">
        <v>44419</v>
      </c>
      <c r="M80" s="4">
        <f t="shared" si="114"/>
        <v>85.000000000000014</v>
      </c>
      <c r="N80" s="3">
        <v>6</v>
      </c>
      <c r="O80" s="3" t="s">
        <v>222</v>
      </c>
      <c r="P80" s="3" t="s">
        <v>308</v>
      </c>
      <c r="Q80" s="44" t="s">
        <v>212</v>
      </c>
      <c r="R80" s="3" t="s">
        <v>36</v>
      </c>
      <c r="S80" s="27">
        <f t="shared" si="115"/>
        <v>3316506.2</v>
      </c>
      <c r="T80" s="2">
        <v>3316506.2</v>
      </c>
      <c r="U80" s="2">
        <v>0</v>
      </c>
      <c r="V80" s="27">
        <f t="shared" si="78"/>
        <v>507230.36</v>
      </c>
      <c r="W80" s="2">
        <v>507230.36</v>
      </c>
      <c r="X80" s="2">
        <v>0</v>
      </c>
      <c r="Y80" s="27">
        <f t="shared" si="118"/>
        <v>78035.44</v>
      </c>
      <c r="Z80" s="2">
        <v>78035.44</v>
      </c>
      <c r="AA80" s="2">
        <v>0</v>
      </c>
      <c r="AB80" s="2">
        <f t="shared" si="79"/>
        <v>0</v>
      </c>
      <c r="AC80" s="2">
        <v>0</v>
      </c>
      <c r="AD80" s="2">
        <v>0</v>
      </c>
      <c r="AE80" s="2">
        <f t="shared" si="117"/>
        <v>3901772</v>
      </c>
      <c r="AF80" s="2">
        <v>0</v>
      </c>
      <c r="AG80" s="2">
        <f t="shared" si="80"/>
        <v>3901772</v>
      </c>
      <c r="AH80" s="29" t="s">
        <v>586</v>
      </c>
      <c r="AI80" s="30"/>
      <c r="AJ80" s="57">
        <v>0</v>
      </c>
      <c r="AK80" s="31">
        <v>0</v>
      </c>
    </row>
    <row r="81" spans="1:37" ht="299.25" x14ac:dyDescent="0.25">
      <c r="A81" s="348" t="s">
        <v>1670</v>
      </c>
      <c r="B81" s="3">
        <v>128473</v>
      </c>
      <c r="C81" s="16">
        <v>629</v>
      </c>
      <c r="D81" s="3" t="s">
        <v>173</v>
      </c>
      <c r="E81" s="21" t="str">
        <f>$E$177</f>
        <v>AP2/11i /2.1</v>
      </c>
      <c r="F81" s="73" t="s">
        <v>1416</v>
      </c>
      <c r="G81" s="114" t="s">
        <v>1498</v>
      </c>
      <c r="H81" s="33" t="s">
        <v>1499</v>
      </c>
      <c r="I81" s="3" t="s">
        <v>422</v>
      </c>
      <c r="J81" s="25" t="s">
        <v>1500</v>
      </c>
      <c r="K81" s="5">
        <v>43640</v>
      </c>
      <c r="L81" s="7">
        <v>44554</v>
      </c>
      <c r="M81" s="4">
        <f t="shared" si="114"/>
        <v>85</v>
      </c>
      <c r="N81" s="3">
        <v>6</v>
      </c>
      <c r="O81" s="3" t="s">
        <v>222</v>
      </c>
      <c r="P81" s="3" t="s">
        <v>308</v>
      </c>
      <c r="Q81" s="44" t="s">
        <v>212</v>
      </c>
      <c r="R81" s="3" t="s">
        <v>36</v>
      </c>
      <c r="S81" s="27">
        <f t="shared" si="115"/>
        <v>2773068.05</v>
      </c>
      <c r="T81" s="2">
        <v>2773068.05</v>
      </c>
      <c r="U81" s="2">
        <v>0</v>
      </c>
      <c r="V81" s="27">
        <f t="shared" si="78"/>
        <v>424116.29</v>
      </c>
      <c r="W81" s="2">
        <v>424116.29</v>
      </c>
      <c r="X81" s="2">
        <v>0</v>
      </c>
      <c r="Y81" s="27">
        <f t="shared" si="118"/>
        <v>65248.66</v>
      </c>
      <c r="Z81" s="2">
        <v>65248.66</v>
      </c>
      <c r="AA81" s="2">
        <v>0</v>
      </c>
      <c r="AB81" s="2">
        <f t="shared" si="79"/>
        <v>0</v>
      </c>
      <c r="AC81" s="2">
        <v>0</v>
      </c>
      <c r="AD81" s="2">
        <v>0</v>
      </c>
      <c r="AE81" s="2">
        <f t="shared" si="117"/>
        <v>3262433</v>
      </c>
      <c r="AF81" s="2">
        <v>102340</v>
      </c>
      <c r="AG81" s="2">
        <f t="shared" si="80"/>
        <v>3364773</v>
      </c>
      <c r="AH81" s="29" t="s">
        <v>871</v>
      </c>
      <c r="AI81" s="30"/>
      <c r="AJ81" s="57"/>
      <c r="AK81" s="31"/>
    </row>
    <row r="82" spans="1:37" ht="409.5" x14ac:dyDescent="0.25">
      <c r="A82" s="348" t="s">
        <v>1671</v>
      </c>
      <c r="B82" s="3">
        <v>129268</v>
      </c>
      <c r="C82" s="115">
        <v>655</v>
      </c>
      <c r="D82" s="3" t="s">
        <v>176</v>
      </c>
      <c r="E82" s="21" t="str">
        <f>$E$177</f>
        <v>AP2/11i /2.1</v>
      </c>
      <c r="F82" s="73" t="s">
        <v>1416</v>
      </c>
      <c r="G82" s="114" t="s">
        <v>1483</v>
      </c>
      <c r="H82" s="33" t="s">
        <v>1545</v>
      </c>
      <c r="I82" s="3" t="s">
        <v>185</v>
      </c>
      <c r="J82" s="25" t="s">
        <v>1484</v>
      </c>
      <c r="K82" s="5">
        <v>43634</v>
      </c>
      <c r="L82" s="7">
        <v>44214</v>
      </c>
      <c r="M82" s="4">
        <f t="shared" si="114"/>
        <v>84.999999999999986</v>
      </c>
      <c r="N82" s="3">
        <v>5</v>
      </c>
      <c r="O82" s="3" t="s">
        <v>222</v>
      </c>
      <c r="P82" s="3" t="s">
        <v>1485</v>
      </c>
      <c r="Q82" s="44" t="str">
        <f t="shared" ref="Q82:R82" si="119">Q80</f>
        <v>APL</v>
      </c>
      <c r="R82" s="3" t="str">
        <f t="shared" si="119"/>
        <v>119 - Investiții în capacitatea instituțională și în eficiența administrațiilor și a serviciilor publice la nivel național, regional și local, în perspectiva realizării de reforme, a unei mai bune legiferări și a bunei guvernanțe</v>
      </c>
      <c r="S82" s="27">
        <f t="shared" si="115"/>
        <v>1962765.6</v>
      </c>
      <c r="T82" s="2">
        <v>1962765.6</v>
      </c>
      <c r="U82" s="2">
        <v>0</v>
      </c>
      <c r="V82" s="27">
        <f t="shared" si="78"/>
        <v>300187.68</v>
      </c>
      <c r="W82" s="2">
        <v>300187.68</v>
      </c>
      <c r="X82" s="2">
        <v>0</v>
      </c>
      <c r="Y82" s="27">
        <f t="shared" si="118"/>
        <v>46182.720000000001</v>
      </c>
      <c r="Z82" s="2">
        <v>46182.720000000001</v>
      </c>
      <c r="AA82" s="2">
        <v>0</v>
      </c>
      <c r="AB82" s="2">
        <f t="shared" si="79"/>
        <v>0</v>
      </c>
      <c r="AC82" s="2">
        <v>0</v>
      </c>
      <c r="AD82" s="2">
        <v>0</v>
      </c>
      <c r="AE82" s="2">
        <f t="shared" si="117"/>
        <v>2309136.0000000005</v>
      </c>
      <c r="AF82" s="2">
        <v>0</v>
      </c>
      <c r="AG82" s="2">
        <f t="shared" si="80"/>
        <v>2309136.0000000005</v>
      </c>
      <c r="AH82" s="29" t="s">
        <v>586</v>
      </c>
      <c r="AI82" s="30" t="s">
        <v>185</v>
      </c>
      <c r="AJ82" s="57"/>
      <c r="AK82" s="31"/>
    </row>
    <row r="83" spans="1:37" ht="210" x14ac:dyDescent="0.25">
      <c r="A83" s="348" t="s">
        <v>1672</v>
      </c>
      <c r="B83" s="3">
        <v>120642</v>
      </c>
      <c r="C83" s="16">
        <v>84</v>
      </c>
      <c r="D83" s="3" t="s">
        <v>171</v>
      </c>
      <c r="E83" s="21" t="s">
        <v>967</v>
      </c>
      <c r="F83" s="22" t="s">
        <v>331</v>
      </c>
      <c r="G83" s="114" t="s">
        <v>332</v>
      </c>
      <c r="H83" s="3" t="s">
        <v>333</v>
      </c>
      <c r="I83" s="3" t="s">
        <v>185</v>
      </c>
      <c r="J83" s="66" t="s">
        <v>515</v>
      </c>
      <c r="K83" s="5">
        <v>43175</v>
      </c>
      <c r="L83" s="7">
        <v>43662</v>
      </c>
      <c r="M83" s="4">
        <f t="shared" ref="M83:M88" si="120">S83/AE83*100</f>
        <v>84.999998716744599</v>
      </c>
      <c r="N83" s="3">
        <v>2</v>
      </c>
      <c r="O83" s="3" t="s">
        <v>334</v>
      </c>
      <c r="P83" s="3" t="s">
        <v>335</v>
      </c>
      <c r="Q83" s="8" t="s">
        <v>212</v>
      </c>
      <c r="R83" s="3" t="s">
        <v>36</v>
      </c>
      <c r="S83" s="27">
        <f>T83+U83</f>
        <v>264951.15000000002</v>
      </c>
      <c r="T83" s="2">
        <v>264951.15000000002</v>
      </c>
      <c r="U83" s="2">
        <v>0</v>
      </c>
      <c r="V83" s="27">
        <f t="shared" si="78"/>
        <v>40521.949999999997</v>
      </c>
      <c r="W83" s="2">
        <v>40521.949999999997</v>
      </c>
      <c r="X83" s="2">
        <v>0</v>
      </c>
      <c r="Y83" s="27">
        <f>Z83+AA83</f>
        <v>6234.14</v>
      </c>
      <c r="Z83" s="2">
        <v>6234.14</v>
      </c>
      <c r="AA83" s="2">
        <v>0</v>
      </c>
      <c r="AB83" s="2">
        <f t="shared" si="79"/>
        <v>0</v>
      </c>
      <c r="AC83" s="2">
        <v>0</v>
      </c>
      <c r="AD83" s="2">
        <v>0</v>
      </c>
      <c r="AE83" s="2">
        <f>S83+V83+Y83+AB83</f>
        <v>311707.24000000005</v>
      </c>
      <c r="AF83" s="2">
        <v>0</v>
      </c>
      <c r="AG83" s="2">
        <f t="shared" si="80"/>
        <v>311707.24000000005</v>
      </c>
      <c r="AH83" s="29" t="s">
        <v>586</v>
      </c>
      <c r="AI83" s="30" t="s">
        <v>185</v>
      </c>
      <c r="AJ83" s="1">
        <f>27532.48+85262.91</f>
        <v>112795.39</v>
      </c>
      <c r="AK83" s="31">
        <f>4210.85+13040.2</f>
        <v>17251.050000000003</v>
      </c>
    </row>
    <row r="84" spans="1:37" ht="220.5" x14ac:dyDescent="0.25">
      <c r="A84" s="348" t="s">
        <v>1673</v>
      </c>
      <c r="B84" s="20">
        <v>116521</v>
      </c>
      <c r="C84" s="24">
        <v>405</v>
      </c>
      <c r="D84" s="3" t="s">
        <v>843</v>
      </c>
      <c r="E84" s="21" t="s">
        <v>704</v>
      </c>
      <c r="F84" s="23" t="s">
        <v>611</v>
      </c>
      <c r="G84" s="23" t="s">
        <v>810</v>
      </c>
      <c r="H84" s="23" t="s">
        <v>653</v>
      </c>
      <c r="I84" s="3" t="s">
        <v>185</v>
      </c>
      <c r="J84" s="23" t="s">
        <v>811</v>
      </c>
      <c r="K84" s="5">
        <v>43304</v>
      </c>
      <c r="L84" s="7">
        <v>43792</v>
      </c>
      <c r="M84" s="4">
        <f t="shared" si="120"/>
        <v>85.000001706742694</v>
      </c>
      <c r="N84" s="3">
        <v>2</v>
      </c>
      <c r="O84" s="3" t="s">
        <v>334</v>
      </c>
      <c r="P84" s="3" t="s">
        <v>334</v>
      </c>
      <c r="Q84" s="3" t="s">
        <v>212</v>
      </c>
      <c r="R84" s="3" t="s">
        <v>36</v>
      </c>
      <c r="S84" s="27">
        <f t="shared" ref="S84" si="121">T84+U84</f>
        <v>249012.35</v>
      </c>
      <c r="T84" s="31">
        <v>249012.35</v>
      </c>
      <c r="U84" s="31">
        <v>0</v>
      </c>
      <c r="V84" s="27">
        <f t="shared" si="78"/>
        <v>38084.239999999998</v>
      </c>
      <c r="W84" s="31">
        <v>38084.239999999998</v>
      </c>
      <c r="X84" s="31">
        <v>0</v>
      </c>
      <c r="Y84" s="31">
        <f>Z84+AA84</f>
        <v>5859.11</v>
      </c>
      <c r="Z84" s="31">
        <v>5859.11</v>
      </c>
      <c r="AA84" s="31">
        <v>0</v>
      </c>
      <c r="AB84" s="2">
        <f t="shared" si="79"/>
        <v>0</v>
      </c>
      <c r="AC84" s="31">
        <v>0</v>
      </c>
      <c r="AD84" s="31">
        <v>0</v>
      </c>
      <c r="AE84" s="2">
        <f t="shared" ref="AE84" si="122">S84+V84+Y84+AB84</f>
        <v>292955.7</v>
      </c>
      <c r="AF84" s="105">
        <v>0</v>
      </c>
      <c r="AG84" s="2">
        <f t="shared" si="80"/>
        <v>292955.7</v>
      </c>
      <c r="AH84" s="29" t="s">
        <v>586</v>
      </c>
      <c r="AI84" s="105"/>
      <c r="AJ84" s="57">
        <f>32343.8+5296.22+6433.86+7045.82</f>
        <v>51119.7</v>
      </c>
      <c r="AK84" s="57">
        <f>4946.7+810.01+983.99+1077.59</f>
        <v>7818.29</v>
      </c>
    </row>
    <row r="85" spans="1:37" ht="315" x14ac:dyDescent="0.25">
      <c r="A85" s="348" t="s">
        <v>1674</v>
      </c>
      <c r="B85" s="20">
        <v>126409</v>
      </c>
      <c r="C85" s="24">
        <v>551</v>
      </c>
      <c r="D85" s="3" t="s">
        <v>174</v>
      </c>
      <c r="E85" s="21" t="s">
        <v>967</v>
      </c>
      <c r="F85" s="23" t="s">
        <v>1133</v>
      </c>
      <c r="G85" s="23" t="s">
        <v>1160</v>
      </c>
      <c r="H85" s="23" t="s">
        <v>653</v>
      </c>
      <c r="I85" s="3" t="s">
        <v>185</v>
      </c>
      <c r="J85" s="23" t="s">
        <v>1161</v>
      </c>
      <c r="K85" s="5">
        <v>43439</v>
      </c>
      <c r="L85" s="7">
        <v>44321</v>
      </c>
      <c r="M85" s="4">
        <f>S85/AE85*100</f>
        <v>85.000000331630361</v>
      </c>
      <c r="N85" s="3">
        <v>2</v>
      </c>
      <c r="O85" s="3" t="s">
        <v>334</v>
      </c>
      <c r="P85" s="3" t="s">
        <v>334</v>
      </c>
      <c r="Q85" s="3" t="s">
        <v>212</v>
      </c>
      <c r="R85" s="3" t="s">
        <v>36</v>
      </c>
      <c r="S85" s="27">
        <f>T85+U85</f>
        <v>3075713.52</v>
      </c>
      <c r="T85" s="31">
        <v>3075713.52</v>
      </c>
      <c r="U85" s="31">
        <v>0</v>
      </c>
      <c r="V85" s="27">
        <f>W85+X85</f>
        <v>470403.23</v>
      </c>
      <c r="W85" s="31">
        <v>470403.23</v>
      </c>
      <c r="X85" s="31">
        <v>0</v>
      </c>
      <c r="Y85" s="31">
        <f>Z85+AA85</f>
        <v>72369.73000000001</v>
      </c>
      <c r="Z85" s="31">
        <v>72369.73000000001</v>
      </c>
      <c r="AA85" s="31">
        <v>0</v>
      </c>
      <c r="AB85" s="2">
        <f>AC85+AD85</f>
        <v>0</v>
      </c>
      <c r="AC85" s="31">
        <v>0</v>
      </c>
      <c r="AD85" s="31">
        <v>0</v>
      </c>
      <c r="AE85" s="2">
        <f>S85+V85+Y85+AB85</f>
        <v>3618486.48</v>
      </c>
      <c r="AF85" s="105">
        <v>0</v>
      </c>
      <c r="AG85" s="2">
        <f>AE85+AF85</f>
        <v>3618486.48</v>
      </c>
      <c r="AH85" s="29" t="s">
        <v>586</v>
      </c>
      <c r="AI85" s="105"/>
      <c r="AJ85" s="57">
        <v>8011.13</v>
      </c>
      <c r="AK85" s="57">
        <v>1225.23</v>
      </c>
    </row>
    <row r="86" spans="1:37" ht="141.75" x14ac:dyDescent="0.25">
      <c r="A86" s="348" t="s">
        <v>1675</v>
      </c>
      <c r="B86" s="20">
        <v>125754</v>
      </c>
      <c r="C86" s="24">
        <v>531</v>
      </c>
      <c r="D86" s="3" t="s">
        <v>1073</v>
      </c>
      <c r="E86" s="21" t="s">
        <v>967</v>
      </c>
      <c r="F86" s="23" t="s">
        <v>1133</v>
      </c>
      <c r="G86" s="23" t="s">
        <v>1337</v>
      </c>
      <c r="H86" s="23" t="s">
        <v>1497</v>
      </c>
      <c r="I86" s="3" t="s">
        <v>185</v>
      </c>
      <c r="J86" s="23" t="s">
        <v>1338</v>
      </c>
      <c r="K86" s="5">
        <v>43550</v>
      </c>
      <c r="L86" s="7">
        <v>44465</v>
      </c>
      <c r="M86" s="4">
        <f t="shared" ref="M86:M87" si="123">S86/AE86*100</f>
        <v>85</v>
      </c>
      <c r="N86" s="3">
        <v>2</v>
      </c>
      <c r="O86" s="3" t="s">
        <v>334</v>
      </c>
      <c r="P86" s="3" t="s">
        <v>334</v>
      </c>
      <c r="Q86" s="3" t="s">
        <v>212</v>
      </c>
      <c r="R86" s="3" t="s">
        <v>36</v>
      </c>
      <c r="S86" s="27">
        <f t="shared" ref="S86:S87" si="124">T86+U86</f>
        <v>1983050</v>
      </c>
      <c r="T86" s="31">
        <v>1983050</v>
      </c>
      <c r="U86" s="31">
        <v>0</v>
      </c>
      <c r="V86" s="27">
        <f t="shared" ref="V86:V87" si="125">W86+X86</f>
        <v>303290</v>
      </c>
      <c r="W86" s="31">
        <v>303290</v>
      </c>
      <c r="X86" s="31">
        <v>0</v>
      </c>
      <c r="Y86" s="31">
        <f t="shared" ref="Y86:Y87" si="126">Z86+AA86</f>
        <v>46660</v>
      </c>
      <c r="Z86" s="31">
        <v>46660</v>
      </c>
      <c r="AA86" s="31">
        <v>0</v>
      </c>
      <c r="AB86" s="2">
        <f t="shared" ref="AB86:AB87" si="127">AC86+AD86</f>
        <v>0</v>
      </c>
      <c r="AC86" s="31">
        <v>0</v>
      </c>
      <c r="AD86" s="31">
        <v>0</v>
      </c>
      <c r="AE86" s="2">
        <f t="shared" ref="AE86:AE87" si="128">S86+V86+Y86+AB86</f>
        <v>2333000</v>
      </c>
      <c r="AF86" s="105">
        <v>0</v>
      </c>
      <c r="AG86" s="2">
        <f t="shared" ref="AG86:AG87" si="129">AE86+AF86</f>
        <v>2333000</v>
      </c>
      <c r="AH86" s="29" t="s">
        <v>586</v>
      </c>
      <c r="AI86" s="105"/>
      <c r="AJ86" s="57">
        <v>0</v>
      </c>
      <c r="AK86" s="57">
        <v>0</v>
      </c>
    </row>
    <row r="87" spans="1:37" ht="299.25" x14ac:dyDescent="0.25">
      <c r="A87" s="348" t="s">
        <v>1676</v>
      </c>
      <c r="B87" s="20">
        <v>109686</v>
      </c>
      <c r="C87" s="75">
        <v>122</v>
      </c>
      <c r="D87" s="20" t="s">
        <v>175</v>
      </c>
      <c r="E87" s="21" t="s">
        <v>967</v>
      </c>
      <c r="F87" s="22" t="s">
        <v>331</v>
      </c>
      <c r="G87" s="23" t="s">
        <v>1577</v>
      </c>
      <c r="H87" s="33" t="s">
        <v>653</v>
      </c>
      <c r="I87" s="24" t="s">
        <v>422</v>
      </c>
      <c r="J87" s="116" t="s">
        <v>654</v>
      </c>
      <c r="K87" s="5">
        <v>43276</v>
      </c>
      <c r="L87" s="7">
        <v>43763</v>
      </c>
      <c r="M87" s="4">
        <f t="shared" si="123"/>
        <v>85.000000118226325</v>
      </c>
      <c r="N87" s="3">
        <v>2</v>
      </c>
      <c r="O87" s="3" t="s">
        <v>655</v>
      </c>
      <c r="P87" s="3" t="s">
        <v>655</v>
      </c>
      <c r="Q87" s="8" t="s">
        <v>212</v>
      </c>
      <c r="R87" s="3" t="s">
        <v>36</v>
      </c>
      <c r="S87" s="2">
        <f t="shared" si="124"/>
        <v>359480.02</v>
      </c>
      <c r="T87" s="2">
        <v>359480.02</v>
      </c>
      <c r="U87" s="2">
        <v>0</v>
      </c>
      <c r="V87" s="2">
        <f t="shared" si="125"/>
        <v>54979.3</v>
      </c>
      <c r="W87" s="2">
        <v>54979.3</v>
      </c>
      <c r="X87" s="2">
        <v>0</v>
      </c>
      <c r="Y87" s="2">
        <f t="shared" si="126"/>
        <v>8458.35</v>
      </c>
      <c r="Z87" s="2">
        <v>8458.35</v>
      </c>
      <c r="AA87" s="2">
        <v>0</v>
      </c>
      <c r="AB87" s="2">
        <f t="shared" si="127"/>
        <v>0</v>
      </c>
      <c r="AC87" s="2"/>
      <c r="AD87" s="2"/>
      <c r="AE87" s="2">
        <f t="shared" si="128"/>
        <v>422917.67</v>
      </c>
      <c r="AF87" s="2">
        <v>0</v>
      </c>
      <c r="AG87" s="2">
        <f t="shared" si="129"/>
        <v>422917.67</v>
      </c>
      <c r="AH87" s="29" t="s">
        <v>586</v>
      </c>
      <c r="AI87" s="30" t="s">
        <v>185</v>
      </c>
      <c r="AJ87" s="1">
        <f>31070.04+37860.62+76874</f>
        <v>145804.66</v>
      </c>
      <c r="AK87" s="31">
        <f>4751.89+5790.44+11757.2</f>
        <v>22299.53</v>
      </c>
    </row>
    <row r="88" spans="1:37" ht="236.25" x14ac:dyDescent="0.3">
      <c r="A88" s="348" t="s">
        <v>1677</v>
      </c>
      <c r="B88" s="15">
        <v>126515</v>
      </c>
      <c r="C88" s="16">
        <v>547</v>
      </c>
      <c r="D88" s="17" t="s">
        <v>177</v>
      </c>
      <c r="E88" s="23" t="s">
        <v>967</v>
      </c>
      <c r="F88" s="23" t="s">
        <v>1133</v>
      </c>
      <c r="G88" s="117" t="s">
        <v>1277</v>
      </c>
      <c r="H88" s="21" t="s">
        <v>1278</v>
      </c>
      <c r="I88" s="17" t="s">
        <v>185</v>
      </c>
      <c r="J88" s="43" t="s">
        <v>1279</v>
      </c>
      <c r="K88" s="5">
        <v>43521</v>
      </c>
      <c r="L88" s="7">
        <v>44433</v>
      </c>
      <c r="M88" s="17">
        <f t="shared" si="120"/>
        <v>84.999999929518182</v>
      </c>
      <c r="N88" s="3">
        <v>7</v>
      </c>
      <c r="O88" s="3" t="s">
        <v>1280</v>
      </c>
      <c r="P88" s="3" t="s">
        <v>1281</v>
      </c>
      <c r="Q88" s="3" t="s">
        <v>212</v>
      </c>
      <c r="R88" s="3" t="s">
        <v>36</v>
      </c>
      <c r="S88" s="27">
        <f t="shared" ref="S88" si="130">T88+U88</f>
        <v>2411970.2999999998</v>
      </c>
      <c r="T88" s="60">
        <v>2411970.2999999998</v>
      </c>
      <c r="U88" s="31">
        <v>0</v>
      </c>
      <c r="V88" s="27">
        <f t="shared" si="78"/>
        <v>368889.58</v>
      </c>
      <c r="W88" s="60">
        <v>368889.58</v>
      </c>
      <c r="X88" s="31">
        <v>0</v>
      </c>
      <c r="Y88" s="31">
        <f>Z88+AA88</f>
        <v>56752.24</v>
      </c>
      <c r="Z88" s="60">
        <v>56752.24</v>
      </c>
      <c r="AA88" s="60">
        <v>0</v>
      </c>
      <c r="AB88" s="65">
        <f t="shared" si="79"/>
        <v>0</v>
      </c>
      <c r="AC88" s="60">
        <v>0</v>
      </c>
      <c r="AD88" s="60">
        <v>0</v>
      </c>
      <c r="AE88" s="2">
        <f t="shared" ref="AE88" si="131">S88+V88+Y88+AB88</f>
        <v>2837612.12</v>
      </c>
      <c r="AF88" s="60">
        <v>72392.72</v>
      </c>
      <c r="AG88" s="2">
        <f t="shared" si="80"/>
        <v>2910004.8400000003</v>
      </c>
      <c r="AH88" s="29" t="s">
        <v>586</v>
      </c>
      <c r="AI88" s="105"/>
      <c r="AJ88" s="57">
        <v>0</v>
      </c>
      <c r="AK88" s="57">
        <v>0</v>
      </c>
    </row>
    <row r="89" spans="1:37" s="72" customFormat="1" ht="346.5" x14ac:dyDescent="0.25">
      <c r="A89" s="348" t="s">
        <v>1678</v>
      </c>
      <c r="B89" s="20">
        <v>120631</v>
      </c>
      <c r="C89" s="16">
        <v>81</v>
      </c>
      <c r="D89" s="16" t="s">
        <v>171</v>
      </c>
      <c r="E89" s="21" t="s">
        <v>967</v>
      </c>
      <c r="F89" s="22" t="s">
        <v>331</v>
      </c>
      <c r="G89" s="67" t="s">
        <v>227</v>
      </c>
      <c r="H89" s="8" t="s">
        <v>228</v>
      </c>
      <c r="I89" s="24" t="s">
        <v>185</v>
      </c>
      <c r="J89" s="21" t="s">
        <v>229</v>
      </c>
      <c r="K89" s="5">
        <v>43129</v>
      </c>
      <c r="L89" s="7">
        <v>43614</v>
      </c>
      <c r="M89" s="4">
        <f t="shared" ref="M89:M90" si="132">S89/AE89*100</f>
        <v>84.999999195969949</v>
      </c>
      <c r="N89" s="24">
        <v>3</v>
      </c>
      <c r="O89" s="24" t="s">
        <v>230</v>
      </c>
      <c r="P89" s="24" t="s">
        <v>242</v>
      </c>
      <c r="Q89" s="8" t="s">
        <v>212</v>
      </c>
      <c r="R89" s="24" t="s">
        <v>36</v>
      </c>
      <c r="S89" s="2">
        <f t="shared" ref="S89:S90" si="133">T89+U89</f>
        <v>528587.19999999995</v>
      </c>
      <c r="T89" s="69">
        <v>528587.19999999995</v>
      </c>
      <c r="U89" s="31">
        <v>0</v>
      </c>
      <c r="V89" s="27">
        <f t="shared" si="78"/>
        <v>80842.75</v>
      </c>
      <c r="W89" s="69">
        <v>80842.75</v>
      </c>
      <c r="X89" s="31">
        <v>0</v>
      </c>
      <c r="Y89" s="2">
        <f t="shared" ref="Y89:Y90" si="134">Z89+AA89</f>
        <v>12437.35</v>
      </c>
      <c r="Z89" s="69">
        <v>12437.35</v>
      </c>
      <c r="AA89" s="28">
        <v>0</v>
      </c>
      <c r="AB89" s="2">
        <f t="shared" si="79"/>
        <v>0</v>
      </c>
      <c r="AC89" s="28"/>
      <c r="AD89" s="28"/>
      <c r="AE89" s="2">
        <f>S89+V89+Y89+AB89</f>
        <v>621867.29999999993</v>
      </c>
      <c r="AF89" s="28">
        <v>0</v>
      </c>
      <c r="AG89" s="2">
        <f t="shared" si="80"/>
        <v>621867.29999999993</v>
      </c>
      <c r="AH89" s="29" t="s">
        <v>1072</v>
      </c>
      <c r="AI89" s="56" t="s">
        <v>185</v>
      </c>
      <c r="AJ89" s="1">
        <f>26400.15+283575.59</f>
        <v>309975.74000000005</v>
      </c>
      <c r="AK89" s="52">
        <f>4037.67+43370.38</f>
        <v>47408.049999999996</v>
      </c>
    </row>
    <row r="90" spans="1:37" ht="409.5" x14ac:dyDescent="0.25">
      <c r="A90" s="348" t="s">
        <v>1679</v>
      </c>
      <c r="B90" s="20">
        <v>118772</v>
      </c>
      <c r="C90" s="20">
        <v>441</v>
      </c>
      <c r="D90" s="20" t="s">
        <v>684</v>
      </c>
      <c r="E90" s="21" t="s">
        <v>704</v>
      </c>
      <c r="F90" s="21" t="s">
        <v>611</v>
      </c>
      <c r="G90" s="67" t="s">
        <v>873</v>
      </c>
      <c r="H90" s="8" t="s">
        <v>872</v>
      </c>
      <c r="I90" s="24" t="s">
        <v>185</v>
      </c>
      <c r="J90" s="21" t="s">
        <v>874</v>
      </c>
      <c r="K90" s="5">
        <v>43313</v>
      </c>
      <c r="L90" s="7">
        <v>43677</v>
      </c>
      <c r="M90" s="4">
        <f t="shared" si="132"/>
        <v>85</v>
      </c>
      <c r="N90" s="17">
        <v>3</v>
      </c>
      <c r="O90" s="24" t="s">
        <v>230</v>
      </c>
      <c r="P90" s="24" t="s">
        <v>875</v>
      </c>
      <c r="Q90" s="8" t="s">
        <v>212</v>
      </c>
      <c r="R90" s="24" t="s">
        <v>36</v>
      </c>
      <c r="S90" s="2">
        <f t="shared" si="133"/>
        <v>232055.1</v>
      </c>
      <c r="T90" s="31">
        <v>232055.1</v>
      </c>
      <c r="U90" s="31">
        <v>0</v>
      </c>
      <c r="V90" s="27">
        <f t="shared" si="78"/>
        <v>35490.78</v>
      </c>
      <c r="W90" s="31">
        <v>35490.78</v>
      </c>
      <c r="X90" s="31">
        <v>0</v>
      </c>
      <c r="Y90" s="2">
        <f t="shared" si="134"/>
        <v>5460.12</v>
      </c>
      <c r="Z90" s="31">
        <v>5460.12</v>
      </c>
      <c r="AA90" s="31">
        <v>0</v>
      </c>
      <c r="AB90" s="2">
        <f t="shared" si="79"/>
        <v>0</v>
      </c>
      <c r="AC90" s="31">
        <v>0</v>
      </c>
      <c r="AD90" s="31">
        <v>0</v>
      </c>
      <c r="AE90" s="2">
        <f t="shared" ref="AE90" si="135">S90+V90+Y90+AB90</f>
        <v>273006</v>
      </c>
      <c r="AF90" s="36">
        <v>0</v>
      </c>
      <c r="AG90" s="2">
        <f t="shared" si="80"/>
        <v>273006</v>
      </c>
      <c r="AH90" s="29" t="s">
        <v>586</v>
      </c>
      <c r="AI90" s="56" t="s">
        <v>185</v>
      </c>
      <c r="AJ90" s="40">
        <f>27300.6+41576.52+27300.6</f>
        <v>96177.72</v>
      </c>
      <c r="AK90" s="1">
        <v>10534.15</v>
      </c>
    </row>
    <row r="91" spans="1:37" s="49" customFormat="1" ht="315" x14ac:dyDescent="0.25">
      <c r="A91" s="348" t="s">
        <v>1680</v>
      </c>
      <c r="B91" s="20">
        <v>120693</v>
      </c>
      <c r="C91" s="16">
        <v>114</v>
      </c>
      <c r="D91" s="24" t="s">
        <v>168</v>
      </c>
      <c r="E91" s="21" t="s">
        <v>967</v>
      </c>
      <c r="F91" s="22" t="s">
        <v>331</v>
      </c>
      <c r="G91" s="84" t="s">
        <v>249</v>
      </c>
      <c r="H91" s="21" t="s">
        <v>250</v>
      </c>
      <c r="I91" s="24" t="s">
        <v>185</v>
      </c>
      <c r="J91" s="116" t="s">
        <v>251</v>
      </c>
      <c r="K91" s="5">
        <v>43145</v>
      </c>
      <c r="L91" s="7">
        <v>43630</v>
      </c>
      <c r="M91" s="47">
        <f t="shared" ref="M91" si="136">S91/AE91*100</f>
        <v>85.000000594539443</v>
      </c>
      <c r="N91" s="24">
        <v>4</v>
      </c>
      <c r="O91" s="24" t="s">
        <v>263</v>
      </c>
      <c r="P91" s="24" t="s">
        <v>252</v>
      </c>
      <c r="Q91" s="8" t="s">
        <v>212</v>
      </c>
      <c r="R91" s="24" t="s">
        <v>36</v>
      </c>
      <c r="S91" s="28">
        <f t="shared" ref="S91:S95" si="137">T91+U91</f>
        <v>357419.52000000002</v>
      </c>
      <c r="T91" s="2">
        <v>357419.52000000002</v>
      </c>
      <c r="U91" s="31">
        <v>0</v>
      </c>
      <c r="V91" s="27">
        <f t="shared" si="78"/>
        <v>54664.160000000003</v>
      </c>
      <c r="W91" s="69">
        <v>54664.160000000003</v>
      </c>
      <c r="X91" s="31">
        <v>0</v>
      </c>
      <c r="Y91" s="27">
        <f t="shared" ref="Y91:Y95" si="138">Z91+AA91</f>
        <v>8409.8700000000008</v>
      </c>
      <c r="Z91" s="69">
        <v>8409.8700000000008</v>
      </c>
      <c r="AA91" s="118">
        <v>0</v>
      </c>
      <c r="AB91" s="2">
        <f t="shared" si="79"/>
        <v>0</v>
      </c>
      <c r="AC91" s="28"/>
      <c r="AD91" s="28"/>
      <c r="AE91" s="28">
        <f>S91+V91+Y91+AB91</f>
        <v>420493.55000000005</v>
      </c>
      <c r="AF91" s="28">
        <v>0</v>
      </c>
      <c r="AG91" s="2">
        <f t="shared" si="80"/>
        <v>420493.55000000005</v>
      </c>
      <c r="AH91" s="29" t="s">
        <v>586</v>
      </c>
      <c r="AI91" s="56" t="s">
        <v>185</v>
      </c>
      <c r="AJ91" s="1">
        <f>23754.1+18458.09+169515.5</f>
        <v>211727.69</v>
      </c>
      <c r="AK91" s="31">
        <f>3632.98+2823.02+25925.91</f>
        <v>32381.91</v>
      </c>
    </row>
    <row r="92" spans="1:37" ht="409.5" x14ac:dyDescent="0.25">
      <c r="A92" s="348" t="s">
        <v>1681</v>
      </c>
      <c r="B92" s="17">
        <v>119288</v>
      </c>
      <c r="C92" s="16">
        <v>487</v>
      </c>
      <c r="D92" s="17" t="s">
        <v>175</v>
      </c>
      <c r="E92" s="24" t="s">
        <v>1040</v>
      </c>
      <c r="F92" s="24" t="s">
        <v>543</v>
      </c>
      <c r="G92" s="119" t="s">
        <v>645</v>
      </c>
      <c r="H92" s="21" t="s">
        <v>644</v>
      </c>
      <c r="I92" s="17" t="s">
        <v>185</v>
      </c>
      <c r="J92" s="43" t="s">
        <v>646</v>
      </c>
      <c r="K92" s="5">
        <v>43272</v>
      </c>
      <c r="L92" s="7">
        <v>43667</v>
      </c>
      <c r="M92" s="47">
        <f t="shared" ref="M92:M97" si="139">S92/AE92*100</f>
        <v>85</v>
      </c>
      <c r="N92" s="24">
        <v>4</v>
      </c>
      <c r="O92" s="24" t="s">
        <v>263</v>
      </c>
      <c r="P92" s="24" t="s">
        <v>421</v>
      </c>
      <c r="Q92" s="8" t="s">
        <v>212</v>
      </c>
      <c r="R92" s="24" t="s">
        <v>36</v>
      </c>
      <c r="S92" s="28">
        <f t="shared" si="137"/>
        <v>360400</v>
      </c>
      <c r="T92" s="31">
        <v>360400</v>
      </c>
      <c r="U92" s="31">
        <v>0</v>
      </c>
      <c r="V92" s="27">
        <f t="shared" si="78"/>
        <v>55120</v>
      </c>
      <c r="W92" s="2">
        <v>55120</v>
      </c>
      <c r="X92" s="20">
        <v>0</v>
      </c>
      <c r="Y92" s="27">
        <f t="shared" si="138"/>
        <v>8480</v>
      </c>
      <c r="Z92" s="44">
        <v>8480</v>
      </c>
      <c r="AA92" s="31">
        <v>0</v>
      </c>
      <c r="AB92" s="2">
        <f t="shared" si="79"/>
        <v>0</v>
      </c>
      <c r="AC92" s="44">
        <v>0</v>
      </c>
      <c r="AD92" s="44">
        <v>0</v>
      </c>
      <c r="AE92" s="28">
        <f t="shared" ref="AE92:AE95" si="140">S92+V92+Y92+AB92</f>
        <v>424000</v>
      </c>
      <c r="AF92" s="36"/>
      <c r="AG92" s="2">
        <f t="shared" si="80"/>
        <v>424000</v>
      </c>
      <c r="AH92" s="29" t="s">
        <v>1072</v>
      </c>
      <c r="AI92" s="56" t="s">
        <v>1400</v>
      </c>
      <c r="AJ92" s="1">
        <f>37115.76+50985.81+52794.78</f>
        <v>140896.35</v>
      </c>
      <c r="AK92" s="31">
        <f>5676.53+7797.82+8074.49</f>
        <v>21548.839999999997</v>
      </c>
    </row>
    <row r="93" spans="1:37" s="124" customFormat="1" ht="409.5" x14ac:dyDescent="0.25">
      <c r="A93" s="348" t="s">
        <v>1682</v>
      </c>
      <c r="B93" s="120">
        <v>118780</v>
      </c>
      <c r="C93" s="121">
        <v>443</v>
      </c>
      <c r="D93" s="121" t="s">
        <v>175</v>
      </c>
      <c r="E93" s="122" t="s">
        <v>704</v>
      </c>
      <c r="F93" s="122" t="s">
        <v>611</v>
      </c>
      <c r="G93" s="123" t="s">
        <v>855</v>
      </c>
      <c r="H93" s="122" t="s">
        <v>250</v>
      </c>
      <c r="I93" s="24" t="s">
        <v>856</v>
      </c>
      <c r="J93" s="21" t="s">
        <v>857</v>
      </c>
      <c r="K93" s="7">
        <v>43312</v>
      </c>
      <c r="L93" s="7">
        <v>43677</v>
      </c>
      <c r="M93" s="47">
        <f t="shared" si="139"/>
        <v>84.150233941460755</v>
      </c>
      <c r="N93" s="24">
        <v>4</v>
      </c>
      <c r="O93" s="24" t="s">
        <v>600</v>
      </c>
      <c r="P93" s="24" t="s">
        <v>858</v>
      </c>
      <c r="Q93" s="8" t="s">
        <v>212</v>
      </c>
      <c r="R93" s="24" t="s">
        <v>36</v>
      </c>
      <c r="S93" s="28">
        <f t="shared" si="137"/>
        <v>230233.66</v>
      </c>
      <c r="T93" s="1">
        <v>230233.66</v>
      </c>
      <c r="U93" s="1">
        <v>0</v>
      </c>
      <c r="V93" s="27">
        <f t="shared" si="78"/>
        <v>37892.730000000003</v>
      </c>
      <c r="W93" s="1">
        <v>37892.730000000003</v>
      </c>
      <c r="X93" s="1">
        <v>0</v>
      </c>
      <c r="Y93" s="27">
        <f t="shared" si="138"/>
        <v>2736.73</v>
      </c>
      <c r="Z93" s="1">
        <v>2736.73</v>
      </c>
      <c r="AA93" s="1">
        <v>0</v>
      </c>
      <c r="AB93" s="2">
        <f t="shared" si="79"/>
        <v>2735.24</v>
      </c>
      <c r="AC93" s="1">
        <v>2735.24</v>
      </c>
      <c r="AD93" s="48">
        <v>0</v>
      </c>
      <c r="AE93" s="28">
        <f t="shared" si="140"/>
        <v>273598.36</v>
      </c>
      <c r="AF93" s="29">
        <v>0</v>
      </c>
      <c r="AG93" s="2">
        <f t="shared" si="80"/>
        <v>273598.36</v>
      </c>
      <c r="AH93" s="29" t="s">
        <v>586</v>
      </c>
      <c r="AI93" s="56" t="s">
        <v>185</v>
      </c>
      <c r="AJ93" s="40">
        <f>20000+13556.78+14548.44+16155.2+43317.01</f>
        <v>107577.43</v>
      </c>
      <c r="AK93" s="1">
        <f>5449.34+2345.17+2850.92+7319.42</f>
        <v>17964.849999999999</v>
      </c>
    </row>
    <row r="94" spans="1:37" ht="409.5" x14ac:dyDescent="0.25">
      <c r="A94" s="348" t="s">
        <v>1683</v>
      </c>
      <c r="B94" s="37">
        <v>119830</v>
      </c>
      <c r="C94" s="24">
        <v>474</v>
      </c>
      <c r="D94" s="24" t="s">
        <v>172</v>
      </c>
      <c r="E94" s="24" t="s">
        <v>1040</v>
      </c>
      <c r="F94" s="24" t="s">
        <v>543</v>
      </c>
      <c r="G94" s="125" t="s">
        <v>922</v>
      </c>
      <c r="H94" s="24" t="s">
        <v>923</v>
      </c>
      <c r="I94" s="17" t="s">
        <v>185</v>
      </c>
      <c r="J94" s="21" t="s">
        <v>924</v>
      </c>
      <c r="K94" s="5">
        <v>43322</v>
      </c>
      <c r="L94" s="7">
        <v>43779</v>
      </c>
      <c r="M94" s="47">
        <f t="shared" si="139"/>
        <v>84.999997553055863</v>
      </c>
      <c r="N94" s="24">
        <v>4</v>
      </c>
      <c r="O94" s="24" t="s">
        <v>600</v>
      </c>
      <c r="P94" s="24" t="s">
        <v>925</v>
      </c>
      <c r="Q94" s="8" t="s">
        <v>212</v>
      </c>
      <c r="R94" s="24" t="s">
        <v>36</v>
      </c>
      <c r="S94" s="28">
        <f t="shared" si="137"/>
        <v>347372.04</v>
      </c>
      <c r="T94" s="1">
        <v>347372.04</v>
      </c>
      <c r="U94" s="1">
        <v>0</v>
      </c>
      <c r="V94" s="27">
        <f t="shared" si="78"/>
        <v>53127.519999999997</v>
      </c>
      <c r="W94" s="48">
        <v>53127.519999999997</v>
      </c>
      <c r="X94" s="48">
        <v>0</v>
      </c>
      <c r="Y94" s="27">
        <f t="shared" si="138"/>
        <v>8173.4400000000005</v>
      </c>
      <c r="Z94" s="1">
        <v>8173.4400000000005</v>
      </c>
      <c r="AA94" s="1">
        <v>0</v>
      </c>
      <c r="AB94" s="28">
        <f t="shared" si="79"/>
        <v>0</v>
      </c>
      <c r="AC94" s="126">
        <v>0</v>
      </c>
      <c r="AD94" s="126">
        <v>0</v>
      </c>
      <c r="AE94" s="28">
        <f>S94+V94+Y94+AB94</f>
        <v>408673</v>
      </c>
      <c r="AF94" s="28">
        <v>0</v>
      </c>
      <c r="AG94" s="2">
        <f t="shared" si="80"/>
        <v>408673</v>
      </c>
      <c r="AH94" s="105" t="s">
        <v>586</v>
      </c>
      <c r="AI94" s="56" t="s">
        <v>1079</v>
      </c>
      <c r="AJ94" s="40">
        <f>35636.51+21048.64</f>
        <v>56685.15</v>
      </c>
      <c r="AK94" s="31">
        <v>2750.67</v>
      </c>
    </row>
    <row r="95" spans="1:37" ht="378" x14ac:dyDescent="0.25">
      <c r="A95" s="348" t="s">
        <v>1684</v>
      </c>
      <c r="B95" s="37">
        <v>118793</v>
      </c>
      <c r="C95" s="24">
        <v>446</v>
      </c>
      <c r="D95" s="37" t="s">
        <v>1073</v>
      </c>
      <c r="E95" s="21" t="s">
        <v>704</v>
      </c>
      <c r="F95" s="24" t="s">
        <v>611</v>
      </c>
      <c r="G95" s="21" t="s">
        <v>926</v>
      </c>
      <c r="H95" s="24" t="s">
        <v>923</v>
      </c>
      <c r="I95" s="17"/>
      <c r="J95" s="41" t="s">
        <v>927</v>
      </c>
      <c r="K95" s="5">
        <v>43322</v>
      </c>
      <c r="L95" s="7">
        <v>43687</v>
      </c>
      <c r="M95" s="47">
        <f t="shared" si="139"/>
        <v>85.000000000000014</v>
      </c>
      <c r="N95" s="24">
        <v>4</v>
      </c>
      <c r="O95" s="24" t="s">
        <v>600</v>
      </c>
      <c r="P95" s="24" t="s">
        <v>925</v>
      </c>
      <c r="Q95" s="24" t="s">
        <v>212</v>
      </c>
      <c r="R95" s="24" t="s">
        <v>36</v>
      </c>
      <c r="S95" s="28">
        <f t="shared" si="137"/>
        <v>239897.2</v>
      </c>
      <c r="T95" s="127">
        <v>239897.2</v>
      </c>
      <c r="U95" s="48">
        <v>0</v>
      </c>
      <c r="V95" s="27">
        <f t="shared" si="78"/>
        <v>36690.160000000003</v>
      </c>
      <c r="W95" s="48">
        <v>36690.160000000003</v>
      </c>
      <c r="X95" s="48">
        <v>0</v>
      </c>
      <c r="Y95" s="27">
        <f t="shared" si="138"/>
        <v>5644.6399999999994</v>
      </c>
      <c r="Z95" s="1">
        <v>5644.6399999999994</v>
      </c>
      <c r="AA95" s="1">
        <v>0</v>
      </c>
      <c r="AB95" s="28">
        <f t="shared" si="79"/>
        <v>0</v>
      </c>
      <c r="AC95" s="48"/>
      <c r="AD95" s="48"/>
      <c r="AE95" s="28">
        <f t="shared" si="140"/>
        <v>282232</v>
      </c>
      <c r="AF95" s="29"/>
      <c r="AG95" s="28">
        <f t="shared" si="80"/>
        <v>282232</v>
      </c>
      <c r="AH95" s="29" t="s">
        <v>871</v>
      </c>
      <c r="AI95" s="36"/>
      <c r="AJ95" s="40">
        <f>28223.2-2998.75+22606.01+22326.95-3666.19+27637.47-3510+26460</f>
        <v>117078.69</v>
      </c>
      <c r="AK95" s="1">
        <f>2998.75+3414.71+3666.19+3510</f>
        <v>13589.65</v>
      </c>
    </row>
    <row r="96" spans="1:37" s="135" customFormat="1" ht="299.25" x14ac:dyDescent="0.25">
      <c r="A96" s="348" t="s">
        <v>1685</v>
      </c>
      <c r="B96" s="128">
        <v>126292</v>
      </c>
      <c r="C96" s="129">
        <v>514</v>
      </c>
      <c r="D96" s="130" t="s">
        <v>177</v>
      </c>
      <c r="E96" s="131" t="s">
        <v>967</v>
      </c>
      <c r="F96" s="102" t="s">
        <v>1133</v>
      </c>
      <c r="G96" s="132" t="s">
        <v>1153</v>
      </c>
      <c r="H96" s="102" t="s">
        <v>1154</v>
      </c>
      <c r="I96" s="133" t="s">
        <v>185</v>
      </c>
      <c r="J96" s="134" t="s">
        <v>1155</v>
      </c>
      <c r="K96" s="5">
        <v>43439</v>
      </c>
      <c r="L96" s="7">
        <v>43926</v>
      </c>
      <c r="M96" s="47">
        <f t="shared" si="139"/>
        <v>84.999999635678833</v>
      </c>
      <c r="N96" s="129">
        <v>4</v>
      </c>
      <c r="O96" s="102" t="s">
        <v>600</v>
      </c>
      <c r="P96" s="102" t="s">
        <v>421</v>
      </c>
      <c r="Q96" s="102" t="s">
        <v>212</v>
      </c>
      <c r="R96" s="102" t="s">
        <v>1156</v>
      </c>
      <c r="S96" s="28">
        <f>T96+U96</f>
        <v>2333106.34</v>
      </c>
      <c r="T96" s="1">
        <v>2333106.34</v>
      </c>
      <c r="U96" s="1">
        <v>0</v>
      </c>
      <c r="V96" s="27">
        <f>W96+X96</f>
        <v>356828.04</v>
      </c>
      <c r="W96" s="1">
        <v>356828.04</v>
      </c>
      <c r="X96" s="1">
        <v>0</v>
      </c>
      <c r="Y96" s="27">
        <f>Z96+AA96</f>
        <v>54896.62</v>
      </c>
      <c r="Z96" s="1">
        <v>54896.62</v>
      </c>
      <c r="AA96" s="1">
        <v>0</v>
      </c>
      <c r="AB96" s="27">
        <v>0</v>
      </c>
      <c r="AC96" s="1">
        <v>0</v>
      </c>
      <c r="AD96" s="1">
        <v>0</v>
      </c>
      <c r="AE96" s="28">
        <f>S96+V96+Y96+AB96</f>
        <v>2744831</v>
      </c>
      <c r="AF96" s="1"/>
      <c r="AG96" s="28">
        <f>AE96+AF96</f>
        <v>2744831</v>
      </c>
      <c r="AH96" s="29" t="s">
        <v>871</v>
      </c>
      <c r="AI96" s="60"/>
      <c r="AJ96" s="40">
        <v>0</v>
      </c>
      <c r="AK96" s="1">
        <v>0</v>
      </c>
    </row>
    <row r="97" spans="1:37" s="139" customFormat="1" ht="220.5" x14ac:dyDescent="0.25">
      <c r="A97" s="348" t="s">
        <v>1686</v>
      </c>
      <c r="B97" s="128">
        <v>126320</v>
      </c>
      <c r="C97" s="129">
        <v>515</v>
      </c>
      <c r="D97" s="130" t="s">
        <v>176</v>
      </c>
      <c r="E97" s="102" t="s">
        <v>967</v>
      </c>
      <c r="F97" s="102" t="s">
        <v>1133</v>
      </c>
      <c r="G97" s="136" t="s">
        <v>1289</v>
      </c>
      <c r="H97" s="121" t="s">
        <v>250</v>
      </c>
      <c r="I97" s="133" t="s">
        <v>1292</v>
      </c>
      <c r="J97" s="131" t="s">
        <v>1291</v>
      </c>
      <c r="K97" s="5">
        <v>43531</v>
      </c>
      <c r="L97" s="7">
        <v>44446</v>
      </c>
      <c r="M97" s="47">
        <f t="shared" si="139"/>
        <v>84.263733041248912</v>
      </c>
      <c r="N97" s="129">
        <v>4</v>
      </c>
      <c r="O97" s="102" t="s">
        <v>600</v>
      </c>
      <c r="P97" s="102" t="s">
        <v>858</v>
      </c>
      <c r="Q97" s="102" t="s">
        <v>212</v>
      </c>
      <c r="R97" s="3" t="s">
        <v>36</v>
      </c>
      <c r="S97" s="137">
        <f t="shared" ref="S97" si="141">T97+U97</f>
        <v>2765436.54</v>
      </c>
      <c r="T97" s="102">
        <v>2765436.54</v>
      </c>
      <c r="U97" s="102">
        <v>0</v>
      </c>
      <c r="V97" s="138">
        <f t="shared" ref="V97" si="142">W97+X97</f>
        <v>450808.12</v>
      </c>
      <c r="W97" s="102">
        <v>450808.12</v>
      </c>
      <c r="X97" s="102">
        <v>0</v>
      </c>
      <c r="Y97" s="138">
        <f t="shared" ref="Y97" si="143">Z97+AA97</f>
        <v>28427.56</v>
      </c>
      <c r="Z97" s="102">
        <v>28427.56</v>
      </c>
      <c r="AA97" s="102">
        <v>0</v>
      </c>
      <c r="AB97" s="54">
        <f t="shared" ref="AB97" si="144">AC97+AD97</f>
        <v>37210.080000000002</v>
      </c>
      <c r="AC97" s="102">
        <v>37210.080000000002</v>
      </c>
      <c r="AD97" s="102">
        <v>0</v>
      </c>
      <c r="AE97" s="137">
        <f>S97+V97+Y97+AB97</f>
        <v>3281882.3000000003</v>
      </c>
      <c r="AF97" s="102">
        <v>0</v>
      </c>
      <c r="AG97" s="137">
        <f t="shared" ref="AG97" si="145">AE97+AF97</f>
        <v>3281882.3000000003</v>
      </c>
      <c r="AH97" s="129"/>
      <c r="AI97" s="133"/>
      <c r="AJ97" s="40">
        <v>14000</v>
      </c>
      <c r="AK97" s="1">
        <v>0</v>
      </c>
    </row>
    <row r="98" spans="1:37" s="135" customFormat="1" ht="315" x14ac:dyDescent="0.25">
      <c r="A98" s="348" t="s">
        <v>1687</v>
      </c>
      <c r="B98" s="128">
        <v>128004</v>
      </c>
      <c r="C98" s="129">
        <v>635</v>
      </c>
      <c r="D98" s="130" t="s">
        <v>174</v>
      </c>
      <c r="E98" s="131" t="s">
        <v>967</v>
      </c>
      <c r="F98" s="109" t="s">
        <v>1416</v>
      </c>
      <c r="G98" s="132" t="s">
        <v>1439</v>
      </c>
      <c r="H98" s="102" t="s">
        <v>1438</v>
      </c>
      <c r="I98" s="133" t="s">
        <v>185</v>
      </c>
      <c r="J98" s="134" t="s">
        <v>1440</v>
      </c>
      <c r="K98" s="5">
        <v>43620</v>
      </c>
      <c r="L98" s="7">
        <v>44351</v>
      </c>
      <c r="M98" s="47">
        <f t="shared" ref="M98:M99" si="146">S98/AE98*100</f>
        <v>85</v>
      </c>
      <c r="N98" s="129">
        <v>4</v>
      </c>
      <c r="O98" s="102" t="s">
        <v>600</v>
      </c>
      <c r="P98" s="102" t="s">
        <v>421</v>
      </c>
      <c r="Q98" s="102" t="s">
        <v>212</v>
      </c>
      <c r="R98" s="102" t="s">
        <v>1156</v>
      </c>
      <c r="S98" s="28">
        <f>T98+U98</f>
        <v>1919118.95</v>
      </c>
      <c r="T98" s="1">
        <v>1919118.95</v>
      </c>
      <c r="U98" s="1">
        <v>0</v>
      </c>
      <c r="V98" s="27">
        <f>W98+X98</f>
        <v>293512.31</v>
      </c>
      <c r="W98" s="1">
        <v>293512.31</v>
      </c>
      <c r="X98" s="1">
        <v>0</v>
      </c>
      <c r="Y98" s="27">
        <f>Z98+AA98</f>
        <v>45155.74</v>
      </c>
      <c r="Z98" s="1">
        <v>45155.74</v>
      </c>
      <c r="AA98" s="1">
        <v>0</v>
      </c>
      <c r="AB98" s="27">
        <v>0</v>
      </c>
      <c r="AC98" s="1">
        <v>0</v>
      </c>
      <c r="AD98" s="1">
        <v>0</v>
      </c>
      <c r="AE98" s="28">
        <f>S98+V98+Y98+AB98</f>
        <v>2257787</v>
      </c>
      <c r="AF98" s="1">
        <v>0</v>
      </c>
      <c r="AG98" s="28">
        <f>AE98+AF98</f>
        <v>2257787</v>
      </c>
      <c r="AH98" s="29" t="s">
        <v>871</v>
      </c>
      <c r="AI98" s="60"/>
      <c r="AJ98" s="40">
        <v>0</v>
      </c>
      <c r="AK98" s="1">
        <v>0</v>
      </c>
    </row>
    <row r="99" spans="1:37" s="135" customFormat="1" ht="141.75" x14ac:dyDescent="0.25">
      <c r="A99" s="348" t="s">
        <v>1688</v>
      </c>
      <c r="B99" s="140">
        <v>126500</v>
      </c>
      <c r="C99" s="129">
        <v>501</v>
      </c>
      <c r="D99" s="130" t="s">
        <v>171</v>
      </c>
      <c r="E99" s="131" t="s">
        <v>967</v>
      </c>
      <c r="F99" s="109" t="s">
        <v>1266</v>
      </c>
      <c r="G99" s="141" t="s">
        <v>1452</v>
      </c>
      <c r="H99" s="102" t="s">
        <v>856</v>
      </c>
      <c r="I99" s="102" t="s">
        <v>293</v>
      </c>
      <c r="J99" s="134" t="s">
        <v>1453</v>
      </c>
      <c r="K99" s="5">
        <v>43626</v>
      </c>
      <c r="L99" s="7">
        <v>44357</v>
      </c>
      <c r="M99" s="47">
        <f t="shared" si="146"/>
        <v>83.560067781888534</v>
      </c>
      <c r="N99" s="129">
        <v>4</v>
      </c>
      <c r="O99" s="102" t="s">
        <v>600</v>
      </c>
      <c r="P99" s="102" t="s">
        <v>421</v>
      </c>
      <c r="Q99" s="102" t="s">
        <v>212</v>
      </c>
      <c r="R99" s="102" t="s">
        <v>1156</v>
      </c>
      <c r="S99" s="28">
        <f>T99+U99</f>
        <v>1824019.35</v>
      </c>
      <c r="T99" s="1">
        <v>1824019.35</v>
      </c>
      <c r="U99" s="1">
        <v>0</v>
      </c>
      <c r="V99" s="27">
        <f>W99+X99</f>
        <v>315206.96999999997</v>
      </c>
      <c r="W99" s="1">
        <v>315206.96999999997</v>
      </c>
      <c r="X99" s="1">
        <v>0</v>
      </c>
      <c r="Y99" s="27">
        <f>Z99+AA99</f>
        <v>6678.79</v>
      </c>
      <c r="Z99" s="1">
        <v>6678.79</v>
      </c>
      <c r="AA99" s="1">
        <v>0</v>
      </c>
      <c r="AB99" s="27">
        <f>AC99+AD99</f>
        <v>36978.89</v>
      </c>
      <c r="AC99" s="1">
        <v>36978.89</v>
      </c>
      <c r="AD99" s="1">
        <v>0</v>
      </c>
      <c r="AE99" s="28">
        <f>S99+V99+Y99+AB99</f>
        <v>2182884.0000000005</v>
      </c>
      <c r="AF99" s="1">
        <v>0</v>
      </c>
      <c r="AG99" s="28">
        <f>AE99+AF99</f>
        <v>2182884.0000000005</v>
      </c>
      <c r="AH99" s="29" t="s">
        <v>871</v>
      </c>
      <c r="AI99" s="60" t="s">
        <v>349</v>
      </c>
      <c r="AJ99" s="40">
        <v>0</v>
      </c>
      <c r="AK99" s="1">
        <v>0</v>
      </c>
    </row>
    <row r="100" spans="1:37" ht="409.5" x14ac:dyDescent="0.25">
      <c r="A100" s="348" t="s">
        <v>1689</v>
      </c>
      <c r="B100" s="20">
        <v>120590</v>
      </c>
      <c r="C100" s="16">
        <v>69</v>
      </c>
      <c r="D100" s="3" t="s">
        <v>684</v>
      </c>
      <c r="E100" s="21" t="s">
        <v>967</v>
      </c>
      <c r="F100" s="22" t="s">
        <v>331</v>
      </c>
      <c r="G100" s="23" t="s">
        <v>213</v>
      </c>
      <c r="H100" s="23" t="s">
        <v>216</v>
      </c>
      <c r="I100" s="3" t="s">
        <v>185</v>
      </c>
      <c r="J100" s="51" t="s">
        <v>219</v>
      </c>
      <c r="K100" s="5">
        <v>43129</v>
      </c>
      <c r="L100" s="7">
        <v>43553</v>
      </c>
      <c r="M100" s="4">
        <f t="shared" ref="M100:M101" si="147">S100/AE100*100</f>
        <v>85</v>
      </c>
      <c r="N100" s="3">
        <v>2</v>
      </c>
      <c r="O100" s="3" t="s">
        <v>226</v>
      </c>
      <c r="P100" s="3" t="s">
        <v>224</v>
      </c>
      <c r="Q100" s="44" t="s">
        <v>212</v>
      </c>
      <c r="R100" s="3" t="s">
        <v>36</v>
      </c>
      <c r="S100" s="2">
        <f t="shared" ref="S100:S101" si="148">T100+U100</f>
        <v>312939.57</v>
      </c>
      <c r="T100" s="2">
        <v>312939.57</v>
      </c>
      <c r="U100" s="2">
        <v>0</v>
      </c>
      <c r="V100" s="27">
        <f t="shared" si="78"/>
        <v>47861.35</v>
      </c>
      <c r="W100" s="2">
        <v>47861.35</v>
      </c>
      <c r="X100" s="2">
        <v>0</v>
      </c>
      <c r="Y100" s="2">
        <f t="shared" ref="Y100:Y101" si="149">Z100+AA100</f>
        <v>7363.28</v>
      </c>
      <c r="Z100" s="2">
        <v>7363.28</v>
      </c>
      <c r="AA100" s="2">
        <v>0</v>
      </c>
      <c r="AB100" s="2">
        <f t="shared" si="79"/>
        <v>0</v>
      </c>
      <c r="AC100" s="2"/>
      <c r="AD100" s="2"/>
      <c r="AE100" s="2">
        <f>S100+V100+Y100+AB100</f>
        <v>368164.2</v>
      </c>
      <c r="AF100" s="2">
        <v>0</v>
      </c>
      <c r="AG100" s="2">
        <f t="shared" si="80"/>
        <v>368164.2</v>
      </c>
      <c r="AH100" s="29" t="s">
        <v>1072</v>
      </c>
      <c r="AI100" s="30" t="s">
        <v>185</v>
      </c>
      <c r="AJ100" s="1">
        <f>9308-1234.73+160612.06+49663.87+46769.73</f>
        <v>265118.93</v>
      </c>
      <c r="AK100" s="52">
        <f>1234.73+24564.19+7595.65+7153.01</f>
        <v>40547.58</v>
      </c>
    </row>
    <row r="101" spans="1:37" s="142" customFormat="1" ht="409.5" x14ac:dyDescent="0.25">
      <c r="A101" s="348" t="s">
        <v>1690</v>
      </c>
      <c r="B101" s="37">
        <v>118013</v>
      </c>
      <c r="C101" s="24">
        <v>419</v>
      </c>
      <c r="D101" s="24"/>
      <c r="E101" s="21" t="s">
        <v>704</v>
      </c>
      <c r="F101" s="24" t="s">
        <v>611</v>
      </c>
      <c r="G101" s="21" t="s">
        <v>968</v>
      </c>
      <c r="H101" s="21" t="s">
        <v>969</v>
      </c>
      <c r="I101" s="24" t="s">
        <v>185</v>
      </c>
      <c r="J101" s="21" t="s">
        <v>970</v>
      </c>
      <c r="K101" s="7">
        <v>43336</v>
      </c>
      <c r="L101" s="7">
        <v>43762</v>
      </c>
      <c r="M101" s="47">
        <f t="shared" si="147"/>
        <v>84.999998597642829</v>
      </c>
      <c r="N101" s="24">
        <v>2</v>
      </c>
      <c r="O101" s="3" t="s">
        <v>226</v>
      </c>
      <c r="P101" s="3" t="s">
        <v>224</v>
      </c>
      <c r="Q101" s="44" t="s">
        <v>212</v>
      </c>
      <c r="R101" s="3" t="s">
        <v>36</v>
      </c>
      <c r="S101" s="28">
        <f t="shared" si="148"/>
        <v>242448.93</v>
      </c>
      <c r="T101" s="1">
        <v>242448.93</v>
      </c>
      <c r="U101" s="1">
        <v>0</v>
      </c>
      <c r="V101" s="27">
        <f t="shared" si="78"/>
        <v>37080.43</v>
      </c>
      <c r="W101" s="1">
        <v>37080.43</v>
      </c>
      <c r="X101" s="48">
        <v>0</v>
      </c>
      <c r="Y101" s="2">
        <f t="shared" si="149"/>
        <v>5704.68</v>
      </c>
      <c r="Z101" s="1">
        <v>5704.68</v>
      </c>
      <c r="AA101" s="1">
        <v>0</v>
      </c>
      <c r="AB101" s="28">
        <f t="shared" si="79"/>
        <v>0</v>
      </c>
      <c r="AC101" s="1">
        <v>0</v>
      </c>
      <c r="AD101" s="1">
        <v>0</v>
      </c>
      <c r="AE101" s="28">
        <f t="shared" ref="AE101:AE154" si="150">S101+V101+Y101+AB101</f>
        <v>285234.03999999998</v>
      </c>
      <c r="AF101" s="29">
        <v>0</v>
      </c>
      <c r="AG101" s="28">
        <f t="shared" si="80"/>
        <v>285234.03999999998</v>
      </c>
      <c r="AH101" s="29" t="s">
        <v>586</v>
      </c>
      <c r="AI101" s="30" t="s">
        <v>185</v>
      </c>
      <c r="AJ101" s="40">
        <v>15022.29</v>
      </c>
      <c r="AK101" s="1">
        <v>2297.52</v>
      </c>
    </row>
    <row r="102" spans="1:37" ht="315" x14ac:dyDescent="0.25">
      <c r="A102" s="348" t="s">
        <v>1691</v>
      </c>
      <c r="B102" s="20">
        <v>126419</v>
      </c>
      <c r="C102" s="75">
        <v>561</v>
      </c>
      <c r="D102" s="20" t="s">
        <v>174</v>
      </c>
      <c r="E102" s="24" t="s">
        <v>967</v>
      </c>
      <c r="F102" s="22" t="s">
        <v>1133</v>
      </c>
      <c r="G102" s="21" t="s">
        <v>1138</v>
      </c>
      <c r="H102" s="33" t="s">
        <v>969</v>
      </c>
      <c r="I102" s="24" t="s">
        <v>185</v>
      </c>
      <c r="J102" s="25" t="s">
        <v>1139</v>
      </c>
      <c r="K102" s="7">
        <v>43432</v>
      </c>
      <c r="L102" s="7">
        <v>44283</v>
      </c>
      <c r="M102" s="4">
        <f t="shared" ref="M102:M104" si="151">S102/AE102*100</f>
        <v>85</v>
      </c>
      <c r="N102" s="20">
        <v>2</v>
      </c>
      <c r="O102" s="24" t="s">
        <v>226</v>
      </c>
      <c r="P102" s="3" t="s">
        <v>224</v>
      </c>
      <c r="Q102" s="99" t="s">
        <v>212</v>
      </c>
      <c r="R102" s="100" t="s">
        <v>36</v>
      </c>
      <c r="S102" s="101">
        <f t="shared" ref="S102:S104" si="152">T102+U102</f>
        <v>2627225.9</v>
      </c>
      <c r="T102" s="31">
        <v>2627225.9</v>
      </c>
      <c r="U102" s="31">
        <v>0</v>
      </c>
      <c r="V102" s="27">
        <f t="shared" ref="V102:V104" si="153">W102+X102</f>
        <v>401811.02</v>
      </c>
      <c r="W102" s="2">
        <v>401811.02</v>
      </c>
      <c r="X102" s="31">
        <v>0</v>
      </c>
      <c r="Y102" s="102">
        <f t="shared" ref="Y102:Y104" si="154">Z102+AA102</f>
        <v>61817.079999999994</v>
      </c>
      <c r="Z102" s="103">
        <v>61817.079999999994</v>
      </c>
      <c r="AA102" s="31">
        <v>0</v>
      </c>
      <c r="AB102" s="28">
        <f t="shared" si="79"/>
        <v>0</v>
      </c>
      <c r="AC102" s="31">
        <v>0</v>
      </c>
      <c r="AD102" s="31">
        <v>0</v>
      </c>
      <c r="AE102" s="2">
        <f>S102+V102+Y102+AB102</f>
        <v>3090854</v>
      </c>
      <c r="AF102" s="20">
        <v>0</v>
      </c>
      <c r="AG102" s="2">
        <f t="shared" ref="AG102:AG104" si="155">AE102+AF102</f>
        <v>3090854</v>
      </c>
      <c r="AH102" s="20" t="s">
        <v>586</v>
      </c>
      <c r="AI102" s="36" t="s">
        <v>185</v>
      </c>
      <c r="AJ102" s="40">
        <v>0</v>
      </c>
      <c r="AK102" s="1">
        <v>0</v>
      </c>
    </row>
    <row r="103" spans="1:37" ht="299.25" x14ac:dyDescent="0.25">
      <c r="A103" s="348" t="s">
        <v>1692</v>
      </c>
      <c r="B103" s="20">
        <v>125256</v>
      </c>
      <c r="C103" s="75">
        <v>562</v>
      </c>
      <c r="D103" s="20" t="s">
        <v>176</v>
      </c>
      <c r="E103" s="24" t="s">
        <v>967</v>
      </c>
      <c r="F103" s="22" t="s">
        <v>1133</v>
      </c>
      <c r="G103" s="21" t="s">
        <v>1169</v>
      </c>
      <c r="H103" s="23" t="s">
        <v>1170</v>
      </c>
      <c r="I103" s="24" t="s">
        <v>185</v>
      </c>
      <c r="J103" s="25" t="s">
        <v>1168</v>
      </c>
      <c r="K103" s="7">
        <v>43444</v>
      </c>
      <c r="L103" s="7">
        <v>43809</v>
      </c>
      <c r="M103" s="4">
        <f t="shared" si="151"/>
        <v>84.999999921204406</v>
      </c>
      <c r="N103" s="20">
        <v>2</v>
      </c>
      <c r="O103" s="24" t="s">
        <v>226</v>
      </c>
      <c r="P103" s="24" t="s">
        <v>226</v>
      </c>
      <c r="Q103" s="99" t="s">
        <v>212</v>
      </c>
      <c r="R103" s="100" t="s">
        <v>36</v>
      </c>
      <c r="S103" s="101">
        <f t="shared" si="152"/>
        <v>3236221.13</v>
      </c>
      <c r="T103" s="31">
        <v>3236221.13</v>
      </c>
      <c r="U103" s="31">
        <v>0</v>
      </c>
      <c r="V103" s="27">
        <f t="shared" si="153"/>
        <v>494951.47</v>
      </c>
      <c r="W103" s="2">
        <v>494951.47</v>
      </c>
      <c r="X103" s="31">
        <v>0</v>
      </c>
      <c r="Y103" s="102">
        <f t="shared" si="154"/>
        <v>76146.38</v>
      </c>
      <c r="Z103" s="103">
        <v>76146.38</v>
      </c>
      <c r="AA103" s="31">
        <v>0</v>
      </c>
      <c r="AB103" s="28">
        <f t="shared" si="79"/>
        <v>0</v>
      </c>
      <c r="AC103" s="31">
        <v>0</v>
      </c>
      <c r="AD103" s="31">
        <v>0</v>
      </c>
      <c r="AE103" s="2">
        <f t="shared" ref="AE103:AE104" si="156">S103+V103+Y103+AB103</f>
        <v>3807318.9799999995</v>
      </c>
      <c r="AF103" s="20">
        <v>630578.23</v>
      </c>
      <c r="AG103" s="2">
        <f t="shared" si="155"/>
        <v>4437897.209999999</v>
      </c>
      <c r="AH103" s="20" t="s">
        <v>871</v>
      </c>
      <c r="AI103" s="36"/>
      <c r="AJ103" s="40">
        <f>160000+39034.57</f>
        <v>199034.57</v>
      </c>
      <c r="AK103" s="1">
        <v>30440.58</v>
      </c>
    </row>
    <row r="104" spans="1:37" ht="409.5" x14ac:dyDescent="0.25">
      <c r="A104" s="348" t="s">
        <v>1693</v>
      </c>
      <c r="B104" s="20">
        <v>126291</v>
      </c>
      <c r="C104" s="75">
        <v>535</v>
      </c>
      <c r="D104" s="20" t="s">
        <v>175</v>
      </c>
      <c r="E104" s="24" t="s">
        <v>967</v>
      </c>
      <c r="F104" s="22" t="s">
        <v>1133</v>
      </c>
      <c r="G104" s="21" t="s">
        <v>1240</v>
      </c>
      <c r="H104" s="33" t="s">
        <v>1241</v>
      </c>
      <c r="I104" s="24" t="s">
        <v>422</v>
      </c>
      <c r="J104" s="25" t="s">
        <v>1242</v>
      </c>
      <c r="K104" s="7">
        <v>43493</v>
      </c>
      <c r="L104" s="7">
        <v>44343</v>
      </c>
      <c r="M104" s="4">
        <f t="shared" si="151"/>
        <v>85</v>
      </c>
      <c r="N104" s="20">
        <v>2</v>
      </c>
      <c r="O104" s="24" t="s">
        <v>226</v>
      </c>
      <c r="P104" s="3" t="s">
        <v>226</v>
      </c>
      <c r="Q104" s="99" t="s">
        <v>212</v>
      </c>
      <c r="R104" s="100" t="s">
        <v>36</v>
      </c>
      <c r="S104" s="101">
        <f t="shared" si="152"/>
        <v>1421225.5</v>
      </c>
      <c r="T104" s="31">
        <v>1421225.5</v>
      </c>
      <c r="U104" s="31">
        <v>0</v>
      </c>
      <c r="V104" s="27">
        <f t="shared" si="153"/>
        <v>217363.9</v>
      </c>
      <c r="W104" s="2">
        <v>217363.9</v>
      </c>
      <c r="X104" s="20">
        <v>0</v>
      </c>
      <c r="Y104" s="102">
        <f t="shared" si="154"/>
        <v>33440.6</v>
      </c>
      <c r="Z104" s="103">
        <v>33440.6</v>
      </c>
      <c r="AA104" s="31">
        <v>0</v>
      </c>
      <c r="AB104" s="28">
        <f t="shared" si="79"/>
        <v>0</v>
      </c>
      <c r="AC104" s="24"/>
      <c r="AD104" s="31"/>
      <c r="AE104" s="2">
        <f t="shared" si="156"/>
        <v>1672030</v>
      </c>
      <c r="AF104" s="20"/>
      <c r="AG104" s="2">
        <f t="shared" si="155"/>
        <v>1672030</v>
      </c>
      <c r="AH104" s="20" t="s">
        <v>871</v>
      </c>
      <c r="AI104" s="36"/>
      <c r="AJ104" s="40">
        <v>61734</v>
      </c>
      <c r="AK104" s="1">
        <v>0</v>
      </c>
    </row>
    <row r="105" spans="1:37" ht="236.25" x14ac:dyDescent="0.25">
      <c r="A105" s="348" t="s">
        <v>1694</v>
      </c>
      <c r="B105" s="3">
        <v>111029</v>
      </c>
      <c r="C105" s="16">
        <v>126</v>
      </c>
      <c r="D105" s="3" t="s">
        <v>172</v>
      </c>
      <c r="E105" s="21" t="s">
        <v>967</v>
      </c>
      <c r="F105" s="22" t="s">
        <v>331</v>
      </c>
      <c r="G105" s="79" t="s">
        <v>391</v>
      </c>
      <c r="H105" s="33" t="s">
        <v>392</v>
      </c>
      <c r="I105" s="24" t="s">
        <v>185</v>
      </c>
      <c r="J105" s="25" t="s">
        <v>393</v>
      </c>
      <c r="K105" s="5">
        <v>43208</v>
      </c>
      <c r="L105" s="7">
        <v>43695</v>
      </c>
      <c r="M105" s="4">
        <f t="shared" ref="M105" si="157">S105/AE105*100</f>
        <v>85.000001177275294</v>
      </c>
      <c r="N105" s="3">
        <v>3</v>
      </c>
      <c r="O105" s="3" t="s">
        <v>390</v>
      </c>
      <c r="P105" s="3" t="s">
        <v>390</v>
      </c>
      <c r="Q105" s="8" t="s">
        <v>212</v>
      </c>
      <c r="R105" s="3" t="s">
        <v>36</v>
      </c>
      <c r="S105" s="27">
        <f t="shared" ref="S105" si="158">T105+U105</f>
        <v>361003.08</v>
      </c>
      <c r="T105" s="2">
        <v>361003.08</v>
      </c>
      <c r="U105" s="2">
        <v>0</v>
      </c>
      <c r="V105" s="27">
        <f t="shared" si="78"/>
        <v>55212.23</v>
      </c>
      <c r="W105" s="2">
        <v>55212.23</v>
      </c>
      <c r="X105" s="2"/>
      <c r="Y105" s="27">
        <f>Z105+AA105</f>
        <v>8494.19</v>
      </c>
      <c r="Z105" s="2">
        <v>8494.19</v>
      </c>
      <c r="AA105" s="2">
        <v>0</v>
      </c>
      <c r="AB105" s="2">
        <f t="shared" si="79"/>
        <v>0</v>
      </c>
      <c r="AC105" s="2"/>
      <c r="AD105" s="2"/>
      <c r="AE105" s="2">
        <f t="shared" si="150"/>
        <v>424709.5</v>
      </c>
      <c r="AF105" s="2">
        <v>0</v>
      </c>
      <c r="AG105" s="2">
        <f t="shared" si="80"/>
        <v>424709.5</v>
      </c>
      <c r="AH105" s="29" t="s">
        <v>586</v>
      </c>
      <c r="AI105" s="30" t="s">
        <v>185</v>
      </c>
      <c r="AJ105" s="1">
        <f>42470.95-5481.19+41319.73-5371.57+40493.34+1354.85+42470.95</f>
        <v>157257.06</v>
      </c>
      <c r="AK105" s="31">
        <f>5481.19+5371.57+6702.77</f>
        <v>17555.53</v>
      </c>
    </row>
    <row r="106" spans="1:37" ht="204.75" x14ac:dyDescent="0.25">
      <c r="A106" s="348" t="s">
        <v>1695</v>
      </c>
      <c r="B106" s="3">
        <v>116685</v>
      </c>
      <c r="C106" s="16">
        <v>407</v>
      </c>
      <c r="D106" s="3" t="s">
        <v>843</v>
      </c>
      <c r="E106" s="21" t="s">
        <v>704</v>
      </c>
      <c r="F106" s="22" t="s">
        <v>611</v>
      </c>
      <c r="G106" s="79" t="s">
        <v>796</v>
      </c>
      <c r="H106" s="33" t="s">
        <v>799</v>
      </c>
      <c r="I106" s="24" t="s">
        <v>797</v>
      </c>
      <c r="J106" s="25" t="s">
        <v>798</v>
      </c>
      <c r="K106" s="5">
        <v>43298</v>
      </c>
      <c r="L106" s="7">
        <v>43754</v>
      </c>
      <c r="M106" s="4">
        <f>S106/AE106*100</f>
        <v>84.519132769277391</v>
      </c>
      <c r="N106" s="3">
        <v>3</v>
      </c>
      <c r="O106" s="3" t="s">
        <v>390</v>
      </c>
      <c r="P106" s="3" t="s">
        <v>390</v>
      </c>
      <c r="Q106" s="8" t="s">
        <v>212</v>
      </c>
      <c r="R106" s="3" t="s">
        <v>36</v>
      </c>
      <c r="S106" s="27">
        <f>T106+U106</f>
        <v>335058.15000000002</v>
      </c>
      <c r="T106" s="2">
        <v>335058.15000000002</v>
      </c>
      <c r="U106" s="2">
        <v>0</v>
      </c>
      <c r="V106" s="27">
        <f>W106+X106</f>
        <v>53442.06</v>
      </c>
      <c r="W106" s="2">
        <v>53442.06</v>
      </c>
      <c r="X106" s="2">
        <v>0</v>
      </c>
      <c r="Y106" s="27">
        <f>Z106+AA106</f>
        <v>0</v>
      </c>
      <c r="Z106" s="2">
        <v>0</v>
      </c>
      <c r="AA106" s="2">
        <v>0</v>
      </c>
      <c r="AB106" s="2">
        <f>AC106+AD106</f>
        <v>7928.55</v>
      </c>
      <c r="AC106" s="2">
        <v>7928.55</v>
      </c>
      <c r="AD106" s="2">
        <v>0</v>
      </c>
      <c r="AE106" s="2">
        <f>S106+V106+Y106+AB106</f>
        <v>396428.76</v>
      </c>
      <c r="AF106" s="2">
        <v>0</v>
      </c>
      <c r="AG106" s="2">
        <f>AE106+AF106</f>
        <v>396428.76</v>
      </c>
      <c r="AH106" s="29" t="s">
        <v>586</v>
      </c>
      <c r="AI106" s="30" t="s">
        <v>1443</v>
      </c>
      <c r="AJ106" s="1">
        <f>39681.48+14195.1+26259.61+31194.01</f>
        <v>111330.2</v>
      </c>
      <c r="AK106" s="31">
        <f>7488.22+4204.9</f>
        <v>11693.119999999999</v>
      </c>
    </row>
    <row r="107" spans="1:37" ht="409.5" x14ac:dyDescent="0.25">
      <c r="A107" s="348" t="s">
        <v>1696</v>
      </c>
      <c r="B107" s="3">
        <v>118751</v>
      </c>
      <c r="C107" s="16">
        <v>437</v>
      </c>
      <c r="D107" s="3" t="s">
        <v>843</v>
      </c>
      <c r="E107" s="21" t="s">
        <v>704</v>
      </c>
      <c r="F107" s="22" t="s">
        <v>611</v>
      </c>
      <c r="G107" s="79" t="s">
        <v>976</v>
      </c>
      <c r="H107" s="33" t="s">
        <v>392</v>
      </c>
      <c r="I107" s="24" t="s">
        <v>185</v>
      </c>
      <c r="J107" s="25" t="s">
        <v>1081</v>
      </c>
      <c r="K107" s="5">
        <v>43340</v>
      </c>
      <c r="L107" s="7">
        <v>43644</v>
      </c>
      <c r="M107" s="4">
        <f t="shared" ref="M107:M108" si="159">S107/AE107*100</f>
        <v>85.000001668371198</v>
      </c>
      <c r="N107" s="3">
        <v>3</v>
      </c>
      <c r="O107" s="3" t="s">
        <v>390</v>
      </c>
      <c r="P107" s="3" t="s">
        <v>390</v>
      </c>
      <c r="Q107" s="8" t="s">
        <v>212</v>
      </c>
      <c r="R107" s="3" t="s">
        <v>36</v>
      </c>
      <c r="S107" s="27">
        <v>254739.48</v>
      </c>
      <c r="T107" s="31">
        <v>254739.48</v>
      </c>
      <c r="U107" s="2">
        <v>0</v>
      </c>
      <c r="V107" s="27">
        <v>38960.15</v>
      </c>
      <c r="W107" s="2">
        <v>38960.15</v>
      </c>
      <c r="X107" s="2">
        <v>0</v>
      </c>
      <c r="Y107" s="27">
        <f>Z107+AA107</f>
        <v>5993.87</v>
      </c>
      <c r="Z107" s="2">
        <v>5993.87</v>
      </c>
      <c r="AA107" s="2">
        <v>0</v>
      </c>
      <c r="AB107" s="2">
        <f t="shared" si="79"/>
        <v>0</v>
      </c>
      <c r="AC107" s="2">
        <v>0</v>
      </c>
      <c r="AD107" s="2">
        <v>0</v>
      </c>
      <c r="AE107" s="2">
        <f t="shared" si="150"/>
        <v>299693.5</v>
      </c>
      <c r="AF107" s="2">
        <v>0</v>
      </c>
      <c r="AG107" s="2">
        <f t="shared" si="80"/>
        <v>299693.5</v>
      </c>
      <c r="AH107" s="29" t="s">
        <v>586</v>
      </c>
      <c r="AI107" s="30" t="s">
        <v>185</v>
      </c>
      <c r="AJ107" s="1">
        <f>29969-3256.9+24552.01-3830.33</f>
        <v>47433.78</v>
      </c>
      <c r="AK107" s="31">
        <f>3256.9+3830.83</f>
        <v>7087.73</v>
      </c>
    </row>
    <row r="108" spans="1:37" ht="300" x14ac:dyDescent="0.25">
      <c r="A108" s="348" t="s">
        <v>1697</v>
      </c>
      <c r="B108" s="37">
        <v>126535</v>
      </c>
      <c r="C108" s="16">
        <v>564</v>
      </c>
      <c r="D108" s="17" t="s">
        <v>174</v>
      </c>
      <c r="E108" s="21" t="s">
        <v>967</v>
      </c>
      <c r="F108" s="22" t="s">
        <v>1133</v>
      </c>
      <c r="G108" s="37" t="s">
        <v>1191</v>
      </c>
      <c r="H108" s="100" t="s">
        <v>392</v>
      </c>
      <c r="I108" s="17" t="s">
        <v>185</v>
      </c>
      <c r="J108" s="143" t="s">
        <v>1192</v>
      </c>
      <c r="K108" s="5">
        <v>43447</v>
      </c>
      <c r="L108" s="7">
        <v>44178</v>
      </c>
      <c r="M108" s="4">
        <f t="shared" si="159"/>
        <v>85</v>
      </c>
      <c r="N108" s="3">
        <v>3</v>
      </c>
      <c r="O108" s="3" t="s">
        <v>390</v>
      </c>
      <c r="P108" s="3" t="s">
        <v>390</v>
      </c>
      <c r="Q108" s="8" t="s">
        <v>212</v>
      </c>
      <c r="R108" s="3" t="s">
        <v>36</v>
      </c>
      <c r="S108" s="27">
        <f>T108+U108</f>
        <v>3199377.9</v>
      </c>
      <c r="T108" s="31">
        <v>3199377.9</v>
      </c>
      <c r="U108" s="31">
        <v>0</v>
      </c>
      <c r="V108" s="144">
        <f>W108+X108</f>
        <v>489316.62</v>
      </c>
      <c r="W108" s="31">
        <v>489316.62</v>
      </c>
      <c r="X108" s="31">
        <v>0</v>
      </c>
      <c r="Y108" s="27">
        <f t="shared" ref="Y108" si="160">Z108+AA108</f>
        <v>75279.48</v>
      </c>
      <c r="Z108" s="2">
        <v>75279.48</v>
      </c>
      <c r="AA108" s="2">
        <v>0</v>
      </c>
      <c r="AB108" s="2">
        <f t="shared" si="79"/>
        <v>0</v>
      </c>
      <c r="AC108" s="31">
        <v>0</v>
      </c>
      <c r="AD108" s="31">
        <v>0</v>
      </c>
      <c r="AE108" s="2">
        <f t="shared" si="150"/>
        <v>3763974</v>
      </c>
      <c r="AF108" s="36"/>
      <c r="AG108" s="2">
        <f t="shared" si="80"/>
        <v>3763974</v>
      </c>
      <c r="AH108" s="29" t="s">
        <v>586</v>
      </c>
      <c r="AI108" s="30"/>
      <c r="AJ108" s="57">
        <v>376397</v>
      </c>
      <c r="AK108" s="57">
        <v>0</v>
      </c>
    </row>
    <row r="109" spans="1:37" ht="204.75" x14ac:dyDescent="0.25">
      <c r="A109" s="348" t="s">
        <v>1698</v>
      </c>
      <c r="B109" s="3">
        <v>120638</v>
      </c>
      <c r="C109" s="16">
        <v>97</v>
      </c>
      <c r="D109" s="3" t="s">
        <v>171</v>
      </c>
      <c r="E109" s="21" t="s">
        <v>967</v>
      </c>
      <c r="F109" s="22" t="s">
        <v>331</v>
      </c>
      <c r="G109" s="23" t="s">
        <v>278</v>
      </c>
      <c r="H109" s="3" t="s">
        <v>277</v>
      </c>
      <c r="I109" s="3" t="s">
        <v>185</v>
      </c>
      <c r="J109" s="51" t="s">
        <v>279</v>
      </c>
      <c r="K109" s="5">
        <v>43145</v>
      </c>
      <c r="L109" s="7">
        <v>43630</v>
      </c>
      <c r="M109" s="4">
        <f t="shared" ref="M109:M111" si="161">S109/AE109*100</f>
        <v>84.999998641808133</v>
      </c>
      <c r="N109" s="3">
        <v>4</v>
      </c>
      <c r="O109" s="3" t="s">
        <v>275</v>
      </c>
      <c r="P109" s="3" t="s">
        <v>276</v>
      </c>
      <c r="Q109" s="44" t="s">
        <v>212</v>
      </c>
      <c r="R109" s="3" t="s">
        <v>36</v>
      </c>
      <c r="S109" s="2">
        <f t="shared" ref="S109:S111" si="162">T109+U109</f>
        <v>312916.02</v>
      </c>
      <c r="T109" s="26">
        <v>312916.02</v>
      </c>
      <c r="U109" s="145">
        <v>0</v>
      </c>
      <c r="V109" s="27">
        <f t="shared" si="78"/>
        <v>47857.75</v>
      </c>
      <c r="W109" s="2">
        <v>47857.75</v>
      </c>
      <c r="X109" s="2">
        <v>0</v>
      </c>
      <c r="Y109" s="2">
        <f t="shared" ref="Y109:Y111" si="163">Z109+AA109</f>
        <v>7362.73</v>
      </c>
      <c r="Z109" s="2">
        <v>7362.73</v>
      </c>
      <c r="AA109" s="2">
        <v>0</v>
      </c>
      <c r="AB109" s="2">
        <f t="shared" si="79"/>
        <v>0</v>
      </c>
      <c r="AC109" s="2"/>
      <c r="AD109" s="2"/>
      <c r="AE109" s="2">
        <f t="shared" si="150"/>
        <v>368136.5</v>
      </c>
      <c r="AF109" s="2">
        <v>0</v>
      </c>
      <c r="AG109" s="2">
        <f t="shared" si="80"/>
        <v>368136.5</v>
      </c>
      <c r="AH109" s="29" t="s">
        <v>586</v>
      </c>
      <c r="AI109" s="30"/>
      <c r="AJ109" s="1">
        <f>52755.63+22985.7</f>
        <v>75741.33</v>
      </c>
      <c r="AK109" s="31">
        <f>8068.51+3515.46</f>
        <v>11583.970000000001</v>
      </c>
    </row>
    <row r="110" spans="1:37" ht="189" x14ac:dyDescent="0.25">
      <c r="A110" s="348" t="s">
        <v>1699</v>
      </c>
      <c r="B110" s="15">
        <v>120714</v>
      </c>
      <c r="C110" s="16">
        <v>111</v>
      </c>
      <c r="D110" s="16" t="s">
        <v>171</v>
      </c>
      <c r="E110" s="21" t="s">
        <v>967</v>
      </c>
      <c r="F110" s="22" t="s">
        <v>331</v>
      </c>
      <c r="G110" s="23" t="s">
        <v>298</v>
      </c>
      <c r="H110" s="3" t="s">
        <v>296</v>
      </c>
      <c r="I110" s="3" t="s">
        <v>297</v>
      </c>
      <c r="J110" s="25" t="s">
        <v>516</v>
      </c>
      <c r="K110" s="5">
        <v>43166</v>
      </c>
      <c r="L110" s="7">
        <v>43653</v>
      </c>
      <c r="M110" s="4">
        <f t="shared" si="161"/>
        <v>85</v>
      </c>
      <c r="N110" s="3">
        <v>4</v>
      </c>
      <c r="O110" s="3" t="s">
        <v>275</v>
      </c>
      <c r="P110" s="3" t="s">
        <v>276</v>
      </c>
      <c r="Q110" s="44" t="s">
        <v>212</v>
      </c>
      <c r="R110" s="3" t="s">
        <v>36</v>
      </c>
      <c r="S110" s="2">
        <f t="shared" si="162"/>
        <v>355906.39</v>
      </c>
      <c r="T110" s="69">
        <v>355906.39</v>
      </c>
      <c r="U110" s="69">
        <v>0</v>
      </c>
      <c r="V110" s="27">
        <f t="shared" si="78"/>
        <v>54432.74</v>
      </c>
      <c r="W110" s="2">
        <v>54432.74</v>
      </c>
      <c r="X110" s="2">
        <v>0</v>
      </c>
      <c r="Y110" s="2">
        <f t="shared" si="163"/>
        <v>8374.27</v>
      </c>
      <c r="Z110" s="2">
        <v>8374.27</v>
      </c>
      <c r="AA110" s="2">
        <v>0</v>
      </c>
      <c r="AB110" s="2">
        <f t="shared" si="79"/>
        <v>0</v>
      </c>
      <c r="AC110" s="2"/>
      <c r="AD110" s="2"/>
      <c r="AE110" s="2">
        <f t="shared" si="150"/>
        <v>418713.4</v>
      </c>
      <c r="AF110" s="2">
        <v>0</v>
      </c>
      <c r="AG110" s="2">
        <f t="shared" si="80"/>
        <v>418713.4</v>
      </c>
      <c r="AH110" s="29" t="s">
        <v>586</v>
      </c>
      <c r="AI110" s="30" t="s">
        <v>185</v>
      </c>
      <c r="AJ110" s="1">
        <f>3489.68+25692.1+174568.93</f>
        <v>203750.71</v>
      </c>
      <c r="AK110" s="31">
        <f>533.71+3929.38+26698.78</f>
        <v>31161.87</v>
      </c>
    </row>
    <row r="111" spans="1:37" ht="236.25" x14ac:dyDescent="0.25">
      <c r="A111" s="348" t="s">
        <v>1700</v>
      </c>
      <c r="B111" s="15">
        <v>119758</v>
      </c>
      <c r="C111" s="16">
        <v>460</v>
      </c>
      <c r="D111" s="16" t="s">
        <v>684</v>
      </c>
      <c r="E111" s="24" t="s">
        <v>1040</v>
      </c>
      <c r="F111" s="22" t="s">
        <v>543</v>
      </c>
      <c r="G111" s="146" t="s">
        <v>574</v>
      </c>
      <c r="H111" s="23" t="s">
        <v>575</v>
      </c>
      <c r="I111" s="3" t="s">
        <v>185</v>
      </c>
      <c r="J111" s="25" t="s">
        <v>576</v>
      </c>
      <c r="K111" s="5">
        <v>43264</v>
      </c>
      <c r="L111" s="7">
        <v>43751</v>
      </c>
      <c r="M111" s="4">
        <f t="shared" si="161"/>
        <v>85</v>
      </c>
      <c r="N111" s="3">
        <v>4</v>
      </c>
      <c r="O111" s="3" t="s">
        <v>275</v>
      </c>
      <c r="P111" s="3" t="s">
        <v>577</v>
      </c>
      <c r="Q111" s="44" t="s">
        <v>212</v>
      </c>
      <c r="R111" s="3" t="s">
        <v>36</v>
      </c>
      <c r="S111" s="2">
        <f t="shared" si="162"/>
        <v>356536.75</v>
      </c>
      <c r="T111" s="69">
        <v>356536.75</v>
      </c>
      <c r="U111" s="69">
        <v>0</v>
      </c>
      <c r="V111" s="27">
        <f t="shared" si="78"/>
        <v>54529.15</v>
      </c>
      <c r="W111" s="2">
        <v>54529.15</v>
      </c>
      <c r="X111" s="2"/>
      <c r="Y111" s="2">
        <f t="shared" si="163"/>
        <v>8389.1</v>
      </c>
      <c r="Z111" s="2">
        <v>8389.1</v>
      </c>
      <c r="AA111" s="2">
        <v>0</v>
      </c>
      <c r="AB111" s="2">
        <f t="shared" ref="AB111" si="164">AC111+AD111</f>
        <v>0</v>
      </c>
      <c r="AC111" s="2"/>
      <c r="AD111" s="2"/>
      <c r="AE111" s="2">
        <f t="shared" si="150"/>
        <v>419455</v>
      </c>
      <c r="AF111" s="2"/>
      <c r="AG111" s="2">
        <f t="shared" si="80"/>
        <v>419455</v>
      </c>
      <c r="AH111" s="29" t="s">
        <v>586</v>
      </c>
      <c r="AI111" s="30"/>
      <c r="AJ111" s="40">
        <f>41000-4123.49+46557.9+41000-738.9+41000-662.4+104836.1</f>
        <v>268869.21000000002</v>
      </c>
      <c r="AK111" s="31">
        <f>5639.94+7120.62+6157.58+22203.04</f>
        <v>41121.18</v>
      </c>
    </row>
    <row r="112" spans="1:37" ht="252" x14ac:dyDescent="0.25">
      <c r="A112" s="348" t="s">
        <v>1701</v>
      </c>
      <c r="B112" s="15">
        <v>116766</v>
      </c>
      <c r="C112" s="16">
        <v>409</v>
      </c>
      <c r="D112" s="16" t="s">
        <v>684</v>
      </c>
      <c r="E112" s="21" t="s">
        <v>704</v>
      </c>
      <c r="F112" s="3" t="s">
        <v>611</v>
      </c>
      <c r="G112" s="21" t="s">
        <v>656</v>
      </c>
      <c r="H112" s="23" t="s">
        <v>297</v>
      </c>
      <c r="I112" s="17" t="s">
        <v>185</v>
      </c>
      <c r="J112" s="23" t="s">
        <v>657</v>
      </c>
      <c r="K112" s="5">
        <v>43278</v>
      </c>
      <c r="L112" s="7">
        <v>43765</v>
      </c>
      <c r="M112" s="4">
        <f>S112/AE112*100</f>
        <v>85.000000275422053</v>
      </c>
      <c r="N112" s="3">
        <v>4</v>
      </c>
      <c r="O112" s="3" t="s">
        <v>275</v>
      </c>
      <c r="P112" s="17" t="s">
        <v>658</v>
      </c>
      <c r="Q112" s="17" t="s">
        <v>212</v>
      </c>
      <c r="R112" s="3" t="s">
        <v>36</v>
      </c>
      <c r="S112" s="2">
        <f>T112+U112</f>
        <v>308617.27</v>
      </c>
      <c r="T112" s="69">
        <v>308617.27</v>
      </c>
      <c r="U112" s="69">
        <v>0</v>
      </c>
      <c r="V112" s="27">
        <f>W112+X112</f>
        <v>47200.29</v>
      </c>
      <c r="W112" s="2">
        <v>47200.29</v>
      </c>
      <c r="X112" s="2">
        <v>0</v>
      </c>
      <c r="Y112" s="2">
        <f>Z112+AA112</f>
        <v>7261.58</v>
      </c>
      <c r="Z112" s="2">
        <v>7261.58</v>
      </c>
      <c r="AA112" s="65">
        <v>0</v>
      </c>
      <c r="AB112" s="2">
        <f>AC112+AD112</f>
        <v>0</v>
      </c>
      <c r="AC112" s="65">
        <v>0</v>
      </c>
      <c r="AD112" s="65">
        <v>0</v>
      </c>
      <c r="AE112" s="2">
        <f>S112+V112+Y112+AB112</f>
        <v>363079.14</v>
      </c>
      <c r="AF112" s="147">
        <v>0</v>
      </c>
      <c r="AG112" s="2">
        <f>AE112+AF112</f>
        <v>363079.14</v>
      </c>
      <c r="AH112" s="29" t="s">
        <v>586</v>
      </c>
      <c r="AI112" s="93" t="s">
        <v>185</v>
      </c>
      <c r="AJ112" s="40">
        <v>30060.880000000001</v>
      </c>
      <c r="AK112" s="57">
        <v>4597.55</v>
      </c>
    </row>
    <row r="113" spans="1:38" ht="141.75" x14ac:dyDescent="0.25">
      <c r="A113" s="348" t="s">
        <v>1702</v>
      </c>
      <c r="B113" s="15">
        <v>126293</v>
      </c>
      <c r="C113" s="16">
        <v>523</v>
      </c>
      <c r="D113" s="17" t="s">
        <v>177</v>
      </c>
      <c r="E113" s="21" t="s">
        <v>967</v>
      </c>
      <c r="F113" s="24" t="s">
        <v>1133</v>
      </c>
      <c r="G113" s="21" t="s">
        <v>1178</v>
      </c>
      <c r="H113" s="21" t="s">
        <v>1147</v>
      </c>
      <c r="I113" s="17" t="s">
        <v>185</v>
      </c>
      <c r="J113" s="21" t="s">
        <v>1148</v>
      </c>
      <c r="K113" s="5">
        <v>43437</v>
      </c>
      <c r="L113" s="7">
        <v>44289</v>
      </c>
      <c r="M113" s="4">
        <f>S113/AE113*100</f>
        <v>85.000000538702352</v>
      </c>
      <c r="N113" s="3">
        <v>4</v>
      </c>
      <c r="O113" s="3" t="s">
        <v>275</v>
      </c>
      <c r="P113" s="17" t="s">
        <v>658</v>
      </c>
      <c r="Q113" s="17" t="s">
        <v>212</v>
      </c>
      <c r="R113" s="3" t="s">
        <v>36</v>
      </c>
      <c r="S113" s="2">
        <f>T113+U113</f>
        <v>2366798.75</v>
      </c>
      <c r="T113" s="69">
        <v>2366798.75</v>
      </c>
      <c r="U113" s="69">
        <v>0</v>
      </c>
      <c r="V113" s="27">
        <f>W113+X113</f>
        <v>361980.97</v>
      </c>
      <c r="W113" s="2">
        <v>361980.97</v>
      </c>
      <c r="X113" s="2">
        <v>0</v>
      </c>
      <c r="Y113" s="2">
        <f>Z113+AA113</f>
        <v>55689.38</v>
      </c>
      <c r="Z113" s="2">
        <v>55689.38</v>
      </c>
      <c r="AA113" s="31">
        <v>0</v>
      </c>
      <c r="AB113" s="2">
        <f>AC113+AD113</f>
        <v>0</v>
      </c>
      <c r="AC113" s="31">
        <v>0</v>
      </c>
      <c r="AD113" s="31">
        <v>0</v>
      </c>
      <c r="AE113" s="2">
        <f>S113+V113+Y113</f>
        <v>2784469.0999999996</v>
      </c>
      <c r="AF113" s="2">
        <v>129948</v>
      </c>
      <c r="AG113" s="2">
        <f>AE113+AF113</f>
        <v>2914417.0999999996</v>
      </c>
      <c r="AH113" s="29" t="s">
        <v>586</v>
      </c>
      <c r="AI113" s="93" t="s">
        <v>185</v>
      </c>
      <c r="AJ113" s="57">
        <v>3500.5</v>
      </c>
      <c r="AK113" s="57">
        <v>535.38</v>
      </c>
    </row>
    <row r="114" spans="1:38" ht="204.75" x14ac:dyDescent="0.25">
      <c r="A114" s="348" t="s">
        <v>1703</v>
      </c>
      <c r="B114" s="15">
        <v>126212</v>
      </c>
      <c r="C114" s="16">
        <v>516</v>
      </c>
      <c r="D114" s="17" t="s">
        <v>177</v>
      </c>
      <c r="E114" s="21" t="s">
        <v>967</v>
      </c>
      <c r="F114" s="24" t="s">
        <v>1133</v>
      </c>
      <c r="G114" s="21" t="s">
        <v>1177</v>
      </c>
      <c r="H114" s="21" t="s">
        <v>575</v>
      </c>
      <c r="I114" s="17" t="s">
        <v>185</v>
      </c>
      <c r="J114" s="21" t="s">
        <v>1176</v>
      </c>
      <c r="K114" s="5">
        <v>43445</v>
      </c>
      <c r="L114" s="7">
        <v>43993</v>
      </c>
      <c r="M114" s="4">
        <f t="shared" ref="M114:M115" si="165">S114/AE114*100</f>
        <v>85.000000138721092</v>
      </c>
      <c r="N114" s="3">
        <v>4</v>
      </c>
      <c r="O114" s="3" t="s">
        <v>275</v>
      </c>
      <c r="P114" s="3" t="s">
        <v>577</v>
      </c>
      <c r="Q114" s="3" t="s">
        <v>212</v>
      </c>
      <c r="R114" s="3" t="s">
        <v>36</v>
      </c>
      <c r="S114" s="2">
        <f t="shared" ref="S114:S115" si="166">T114+U114</f>
        <v>3063701.5</v>
      </c>
      <c r="T114" s="69">
        <v>3063701.5</v>
      </c>
      <c r="U114" s="69">
        <v>0</v>
      </c>
      <c r="V114" s="27">
        <f t="shared" ref="V114:V115" si="167">W114+X114</f>
        <v>468566.11</v>
      </c>
      <c r="W114" s="2">
        <v>468566.11</v>
      </c>
      <c r="X114" s="2">
        <v>0</v>
      </c>
      <c r="Y114" s="2">
        <f t="shared" ref="Y114:Y115" si="168">Z114+AA114</f>
        <v>72087.09</v>
      </c>
      <c r="Z114" s="2">
        <v>72087.09</v>
      </c>
      <c r="AA114" s="31">
        <v>0</v>
      </c>
      <c r="AB114" s="2">
        <f t="shared" ref="AB114:AB115" si="169">AC114+AD114</f>
        <v>0</v>
      </c>
      <c r="AC114" s="31">
        <v>0</v>
      </c>
      <c r="AD114" s="31">
        <v>0</v>
      </c>
      <c r="AE114" s="2">
        <f t="shared" ref="AE114:AE115" si="170">S114+V114+Y114</f>
        <v>3604354.6999999997</v>
      </c>
      <c r="AF114" s="36">
        <v>0</v>
      </c>
      <c r="AG114" s="2">
        <f>AE114+AF114</f>
        <v>3604354.6999999997</v>
      </c>
      <c r="AH114" s="29" t="s">
        <v>586</v>
      </c>
      <c r="AI114" s="93" t="s">
        <v>185</v>
      </c>
      <c r="AJ114" s="57">
        <v>70000</v>
      </c>
      <c r="AK114" s="57">
        <v>0</v>
      </c>
    </row>
    <row r="115" spans="1:38" ht="141.75" x14ac:dyDescent="0.25">
      <c r="A115" s="348" t="s">
        <v>1704</v>
      </c>
      <c r="B115" s="15">
        <v>125603</v>
      </c>
      <c r="C115" s="16">
        <v>528</v>
      </c>
      <c r="D115" s="17" t="s">
        <v>1073</v>
      </c>
      <c r="E115" s="21" t="s">
        <v>967</v>
      </c>
      <c r="F115" s="24" t="s">
        <v>1133</v>
      </c>
      <c r="G115" s="21" t="s">
        <v>1235</v>
      </c>
      <c r="H115" s="21" t="s">
        <v>277</v>
      </c>
      <c r="I115" s="17" t="s">
        <v>185</v>
      </c>
      <c r="J115" s="21" t="s">
        <v>1236</v>
      </c>
      <c r="K115" s="5">
        <v>43486</v>
      </c>
      <c r="L115" s="7">
        <v>44398</v>
      </c>
      <c r="M115" s="4">
        <f t="shared" si="165"/>
        <v>85.000000127543871</v>
      </c>
      <c r="N115" s="3">
        <v>4</v>
      </c>
      <c r="O115" s="3" t="s">
        <v>275</v>
      </c>
      <c r="P115" s="17" t="s">
        <v>658</v>
      </c>
      <c r="Q115" s="17" t="s">
        <v>212</v>
      </c>
      <c r="R115" s="3" t="s">
        <v>36</v>
      </c>
      <c r="S115" s="2">
        <f t="shared" si="166"/>
        <v>2998968.16</v>
      </c>
      <c r="T115" s="69">
        <v>2998968.16</v>
      </c>
      <c r="U115" s="69">
        <v>0</v>
      </c>
      <c r="V115" s="27">
        <f t="shared" si="167"/>
        <v>458665.73</v>
      </c>
      <c r="W115" s="2">
        <v>458665.73</v>
      </c>
      <c r="X115" s="2">
        <v>0</v>
      </c>
      <c r="Y115" s="2">
        <f t="shared" si="168"/>
        <v>70563.94</v>
      </c>
      <c r="Z115" s="2">
        <v>70563.94</v>
      </c>
      <c r="AA115" s="31">
        <v>0</v>
      </c>
      <c r="AB115" s="2">
        <f t="shared" si="169"/>
        <v>0</v>
      </c>
      <c r="AC115" s="31">
        <v>0</v>
      </c>
      <c r="AD115" s="31">
        <v>0</v>
      </c>
      <c r="AE115" s="2">
        <f t="shared" si="170"/>
        <v>3528197.83</v>
      </c>
      <c r="AF115" s="36">
        <v>0</v>
      </c>
      <c r="AG115" s="2">
        <f>AE115+AF115</f>
        <v>3528197.83</v>
      </c>
      <c r="AH115" s="29" t="s">
        <v>586</v>
      </c>
      <c r="AI115" s="93"/>
      <c r="AJ115" s="57">
        <v>0</v>
      </c>
      <c r="AK115" s="57">
        <v>0</v>
      </c>
    </row>
    <row r="116" spans="1:38" ht="173.25" x14ac:dyDescent="0.25">
      <c r="A116" s="348" t="s">
        <v>1705</v>
      </c>
      <c r="B116" s="20">
        <v>111237</v>
      </c>
      <c r="C116" s="16">
        <v>124</v>
      </c>
      <c r="D116" s="3" t="s">
        <v>172</v>
      </c>
      <c r="E116" s="21" t="s">
        <v>967</v>
      </c>
      <c r="F116" s="22" t="s">
        <v>331</v>
      </c>
      <c r="G116" s="23" t="s">
        <v>517</v>
      </c>
      <c r="H116" s="23" t="s">
        <v>261</v>
      </c>
      <c r="I116" s="24" t="s">
        <v>185</v>
      </c>
      <c r="J116" s="25" t="s">
        <v>518</v>
      </c>
      <c r="K116" s="5">
        <v>43145</v>
      </c>
      <c r="L116" s="7">
        <v>43691</v>
      </c>
      <c r="M116" s="4">
        <f t="shared" ref="M116:M119" si="171">S116/AE116*100</f>
        <v>85.000000000000014</v>
      </c>
      <c r="N116" s="3">
        <v>7</v>
      </c>
      <c r="O116" s="78" t="s">
        <v>266</v>
      </c>
      <c r="P116" s="3" t="s">
        <v>260</v>
      </c>
      <c r="Q116" s="8" t="s">
        <v>212</v>
      </c>
      <c r="R116" s="24" t="s">
        <v>36</v>
      </c>
      <c r="S116" s="148">
        <f t="shared" ref="S116:S119" si="172">T116+U116</f>
        <v>306686.8</v>
      </c>
      <c r="T116" s="69">
        <v>306686.8</v>
      </c>
      <c r="U116" s="149">
        <v>0</v>
      </c>
      <c r="V116" s="27">
        <f t="shared" ref="V116:V166" si="173">W116+X116</f>
        <v>46905.04</v>
      </c>
      <c r="W116" s="2">
        <v>46905.04</v>
      </c>
      <c r="X116" s="2">
        <v>0</v>
      </c>
      <c r="Y116" s="2">
        <f t="shared" ref="Y116:Y119" si="174">Z116+AA116</f>
        <v>7216.16</v>
      </c>
      <c r="Z116" s="2">
        <v>7216.16</v>
      </c>
      <c r="AA116" s="2">
        <v>0</v>
      </c>
      <c r="AB116" s="2">
        <f t="shared" ref="AB116:AB166" si="175">AC116+AD116</f>
        <v>0</v>
      </c>
      <c r="AC116" s="2"/>
      <c r="AD116" s="2"/>
      <c r="AE116" s="2">
        <f t="shared" si="150"/>
        <v>360807.99999999994</v>
      </c>
      <c r="AF116" s="2">
        <v>0</v>
      </c>
      <c r="AG116" s="2">
        <f t="shared" ref="AG116:AG168" si="176">AE116+AF116</f>
        <v>360807.99999999994</v>
      </c>
      <c r="AH116" s="29" t="s">
        <v>586</v>
      </c>
      <c r="AI116" s="30" t="s">
        <v>1246</v>
      </c>
      <c r="AJ116" s="1">
        <v>0</v>
      </c>
      <c r="AK116" s="31">
        <v>0</v>
      </c>
    </row>
    <row r="117" spans="1:38" ht="346.5" x14ac:dyDescent="0.25">
      <c r="A117" s="348" t="s">
        <v>1706</v>
      </c>
      <c r="B117" s="15">
        <v>122784</v>
      </c>
      <c r="C117" s="16">
        <v>94</v>
      </c>
      <c r="D117" s="17" t="s">
        <v>176</v>
      </c>
      <c r="E117" s="21" t="s">
        <v>967</v>
      </c>
      <c r="F117" s="22" t="s">
        <v>331</v>
      </c>
      <c r="G117" s="21" t="s">
        <v>1029</v>
      </c>
      <c r="H117" s="21" t="s">
        <v>1028</v>
      </c>
      <c r="I117" s="21" t="s">
        <v>185</v>
      </c>
      <c r="J117" s="25" t="s">
        <v>1120</v>
      </c>
      <c r="K117" s="7">
        <v>43264</v>
      </c>
      <c r="L117" s="7">
        <v>43751</v>
      </c>
      <c r="M117" s="4">
        <f t="shared" si="171"/>
        <v>85.000002941982572</v>
      </c>
      <c r="N117" s="3">
        <v>7</v>
      </c>
      <c r="O117" s="32" t="s">
        <v>266</v>
      </c>
      <c r="P117" s="3" t="s">
        <v>1030</v>
      </c>
      <c r="Q117" s="8" t="s">
        <v>212</v>
      </c>
      <c r="R117" s="24" t="s">
        <v>36</v>
      </c>
      <c r="S117" s="148">
        <f t="shared" si="172"/>
        <v>361151.03</v>
      </c>
      <c r="T117" s="60">
        <v>361151.03</v>
      </c>
      <c r="U117" s="35">
        <v>0</v>
      </c>
      <c r="V117" s="27">
        <f t="shared" si="173"/>
        <v>55234.85</v>
      </c>
      <c r="W117" s="35">
        <v>55234.85</v>
      </c>
      <c r="X117" s="35">
        <v>0</v>
      </c>
      <c r="Y117" s="2">
        <f t="shared" si="174"/>
        <v>8497.67</v>
      </c>
      <c r="Z117" s="60">
        <v>8497.67</v>
      </c>
      <c r="AA117" s="60">
        <v>0</v>
      </c>
      <c r="AB117" s="2">
        <f t="shared" si="175"/>
        <v>0</v>
      </c>
      <c r="AC117" s="35"/>
      <c r="AD117" s="35"/>
      <c r="AE117" s="2">
        <f t="shared" si="150"/>
        <v>424883.55</v>
      </c>
      <c r="AF117" s="2">
        <v>0</v>
      </c>
      <c r="AG117" s="2">
        <f t="shared" si="176"/>
        <v>424883.55</v>
      </c>
      <c r="AH117" s="29" t="s">
        <v>1342</v>
      </c>
      <c r="AI117" s="36"/>
      <c r="AJ117" s="40">
        <v>0</v>
      </c>
      <c r="AK117" s="1">
        <v>0</v>
      </c>
    </row>
    <row r="118" spans="1:38" ht="393.75" x14ac:dyDescent="0.25">
      <c r="A118" s="348" t="s">
        <v>1707</v>
      </c>
      <c r="B118" s="15">
        <v>126548</v>
      </c>
      <c r="C118" s="16">
        <v>533</v>
      </c>
      <c r="D118" s="17" t="s">
        <v>175</v>
      </c>
      <c r="E118" s="21" t="s">
        <v>967</v>
      </c>
      <c r="F118" s="22" t="s">
        <v>1133</v>
      </c>
      <c r="G118" s="21" t="s">
        <v>1387</v>
      </c>
      <c r="H118" s="21" t="s">
        <v>1388</v>
      </c>
      <c r="I118" s="21" t="s">
        <v>185</v>
      </c>
      <c r="J118" s="25" t="s">
        <v>1389</v>
      </c>
      <c r="K118" s="7">
        <v>43598</v>
      </c>
      <c r="L118" s="7">
        <v>44087</v>
      </c>
      <c r="M118" s="4">
        <f t="shared" si="171"/>
        <v>85.000009423673518</v>
      </c>
      <c r="N118" s="3">
        <v>7</v>
      </c>
      <c r="O118" s="32" t="s">
        <v>266</v>
      </c>
      <c r="P118" s="32" t="s">
        <v>266</v>
      </c>
      <c r="Q118" s="8" t="s">
        <v>212</v>
      </c>
      <c r="R118" s="24" t="s">
        <v>1156</v>
      </c>
      <c r="S118" s="148">
        <f t="shared" si="172"/>
        <v>518640.69</v>
      </c>
      <c r="T118" s="60">
        <v>518640.69</v>
      </c>
      <c r="U118" s="35">
        <v>0</v>
      </c>
      <c r="V118" s="27">
        <f t="shared" si="173"/>
        <v>79321.45</v>
      </c>
      <c r="W118" s="35">
        <v>79321.45</v>
      </c>
      <c r="X118" s="35">
        <v>0</v>
      </c>
      <c r="Y118" s="2">
        <f t="shared" si="174"/>
        <v>12203.31</v>
      </c>
      <c r="Z118" s="60">
        <v>12203.31</v>
      </c>
      <c r="AA118" s="60">
        <v>0</v>
      </c>
      <c r="AB118" s="2">
        <f t="shared" si="175"/>
        <v>0</v>
      </c>
      <c r="AC118" s="35"/>
      <c r="AD118" s="35"/>
      <c r="AE118" s="2">
        <f t="shared" si="150"/>
        <v>610165.45000000007</v>
      </c>
      <c r="AF118" s="2"/>
      <c r="AG118" s="2">
        <f t="shared" si="176"/>
        <v>610165.45000000007</v>
      </c>
      <c r="AH118" s="29" t="s">
        <v>871</v>
      </c>
      <c r="AI118" s="36"/>
      <c r="AJ118" s="40"/>
      <c r="AK118" s="1"/>
    </row>
    <row r="119" spans="1:38" ht="173.25" x14ac:dyDescent="0.25">
      <c r="A119" s="348" t="s">
        <v>1708</v>
      </c>
      <c r="B119" s="15">
        <v>128765</v>
      </c>
      <c r="C119" s="16">
        <v>633</v>
      </c>
      <c r="D119" s="17" t="s">
        <v>173</v>
      </c>
      <c r="E119" s="21" t="s">
        <v>967</v>
      </c>
      <c r="F119" s="22" t="s">
        <v>1416</v>
      </c>
      <c r="G119" s="23" t="s">
        <v>1518</v>
      </c>
      <c r="H119" s="21" t="s">
        <v>1028</v>
      </c>
      <c r="I119" s="21" t="s">
        <v>422</v>
      </c>
      <c r="J119" s="25" t="s">
        <v>1520</v>
      </c>
      <c r="K119" s="5">
        <v>43647</v>
      </c>
      <c r="L119" s="7">
        <v>44501</v>
      </c>
      <c r="M119" s="4">
        <f t="shared" si="171"/>
        <v>85.000000191241938</v>
      </c>
      <c r="N119" s="3">
        <v>7</v>
      </c>
      <c r="O119" s="78" t="s">
        <v>266</v>
      </c>
      <c r="P119" s="78" t="s">
        <v>1519</v>
      </c>
      <c r="Q119" s="44" t="s">
        <v>212</v>
      </c>
      <c r="R119" s="3" t="s">
        <v>36</v>
      </c>
      <c r="S119" s="148">
        <f t="shared" si="172"/>
        <v>2222316.08</v>
      </c>
      <c r="T119" s="60">
        <v>2222316.08</v>
      </c>
      <c r="U119" s="35">
        <v>0</v>
      </c>
      <c r="V119" s="27">
        <f t="shared" si="173"/>
        <v>339883.63</v>
      </c>
      <c r="W119" s="35">
        <v>339883.63</v>
      </c>
      <c r="X119" s="35">
        <v>0</v>
      </c>
      <c r="Y119" s="2">
        <f t="shared" si="174"/>
        <v>52289.79</v>
      </c>
      <c r="Z119" s="60">
        <v>52289.79</v>
      </c>
      <c r="AA119" s="60">
        <v>0</v>
      </c>
      <c r="AB119" s="2">
        <f t="shared" si="175"/>
        <v>0</v>
      </c>
      <c r="AC119" s="35">
        <v>0</v>
      </c>
      <c r="AD119" s="35">
        <v>0</v>
      </c>
      <c r="AE119" s="2">
        <f t="shared" si="150"/>
        <v>2614489.5</v>
      </c>
      <c r="AF119" s="2">
        <v>0</v>
      </c>
      <c r="AG119" s="2">
        <f>AE119+AF119</f>
        <v>2614489.5</v>
      </c>
      <c r="AH119" s="29" t="s">
        <v>871</v>
      </c>
      <c r="AI119" s="36"/>
      <c r="AJ119" s="40"/>
      <c r="AK119" s="1"/>
    </row>
    <row r="120" spans="1:38" ht="299.25" x14ac:dyDescent="0.25">
      <c r="A120" s="348" t="s">
        <v>1709</v>
      </c>
      <c r="B120" s="20">
        <v>120617</v>
      </c>
      <c r="C120" s="16">
        <v>79</v>
      </c>
      <c r="D120" s="3" t="s">
        <v>175</v>
      </c>
      <c r="E120" s="21" t="s">
        <v>967</v>
      </c>
      <c r="F120" s="22" t="s">
        <v>331</v>
      </c>
      <c r="G120" s="150" t="s">
        <v>253</v>
      </c>
      <c r="H120" s="59" t="s">
        <v>254</v>
      </c>
      <c r="I120" s="24" t="s">
        <v>185</v>
      </c>
      <c r="J120" s="25" t="s">
        <v>257</v>
      </c>
      <c r="K120" s="5">
        <v>43145</v>
      </c>
      <c r="L120" s="7">
        <v>43630</v>
      </c>
      <c r="M120" s="4">
        <f t="shared" ref="M120:M124" si="177">S120/AE120*100</f>
        <v>84.999999644441075</v>
      </c>
      <c r="N120" s="3">
        <v>5</v>
      </c>
      <c r="O120" s="3" t="s">
        <v>264</v>
      </c>
      <c r="P120" s="3" t="s">
        <v>258</v>
      </c>
      <c r="Q120" s="8" t="s">
        <v>212</v>
      </c>
      <c r="R120" s="24" t="s">
        <v>36</v>
      </c>
      <c r="S120" s="2">
        <f>T120+U120</f>
        <v>358590.34</v>
      </c>
      <c r="T120" s="69">
        <v>358590.34</v>
      </c>
      <c r="U120" s="2">
        <v>0</v>
      </c>
      <c r="V120" s="27">
        <f t="shared" si="173"/>
        <v>54843.23</v>
      </c>
      <c r="W120" s="69">
        <v>54843.23</v>
      </c>
      <c r="X120" s="27">
        <v>0</v>
      </c>
      <c r="Y120" s="27">
        <f t="shared" ref="Y120:Y122" si="178">Z120+AA120</f>
        <v>8437.42</v>
      </c>
      <c r="Z120" s="69">
        <v>8437.42</v>
      </c>
      <c r="AA120" s="27">
        <v>0</v>
      </c>
      <c r="AB120" s="2">
        <f t="shared" si="175"/>
        <v>0</v>
      </c>
      <c r="AC120" s="2"/>
      <c r="AD120" s="2"/>
      <c r="AE120" s="2">
        <f t="shared" si="150"/>
        <v>421870.99</v>
      </c>
      <c r="AF120" s="2">
        <v>0</v>
      </c>
      <c r="AG120" s="2">
        <f t="shared" si="176"/>
        <v>421870.99</v>
      </c>
      <c r="AH120" s="29" t="s">
        <v>1072</v>
      </c>
      <c r="AI120" s="30" t="s">
        <v>185</v>
      </c>
      <c r="AJ120" s="1">
        <f>96397.63+83926.36-2519.15+41501.07-4777.79+36017.22</f>
        <v>250545.34</v>
      </c>
      <c r="AK120" s="31">
        <f>9960.19+14072.92+2519.15+536.51+4777.79</f>
        <v>31866.560000000001</v>
      </c>
    </row>
    <row r="121" spans="1:38" ht="236.25" x14ac:dyDescent="0.25">
      <c r="A121" s="348" t="s">
        <v>1710</v>
      </c>
      <c r="B121" s="15">
        <v>118193</v>
      </c>
      <c r="C121" s="16">
        <v>424</v>
      </c>
      <c r="D121" s="17" t="s">
        <v>684</v>
      </c>
      <c r="E121" s="21" t="s">
        <v>704</v>
      </c>
      <c r="F121" s="22" t="s">
        <v>611</v>
      </c>
      <c r="G121" s="150" t="s">
        <v>721</v>
      </c>
      <c r="H121" s="38" t="s">
        <v>722</v>
      </c>
      <c r="I121" s="24" t="s">
        <v>185</v>
      </c>
      <c r="J121" s="21" t="s">
        <v>793</v>
      </c>
      <c r="K121" s="5">
        <v>43285</v>
      </c>
      <c r="L121" s="7">
        <v>43773</v>
      </c>
      <c r="M121" s="4">
        <f t="shared" si="177"/>
        <v>85.000000000000014</v>
      </c>
      <c r="N121" s="17">
        <v>5</v>
      </c>
      <c r="O121" s="24" t="s">
        <v>723</v>
      </c>
      <c r="P121" s="24" t="s">
        <v>724</v>
      </c>
      <c r="Q121" s="24" t="s">
        <v>212</v>
      </c>
      <c r="R121" s="3" t="s">
        <v>36</v>
      </c>
      <c r="S121" s="2">
        <v>239111.8</v>
      </c>
      <c r="T121" s="48">
        <v>239111.8</v>
      </c>
      <c r="U121" s="35">
        <v>0</v>
      </c>
      <c r="V121" s="27">
        <v>36570.04</v>
      </c>
      <c r="W121" s="48">
        <v>36570.04</v>
      </c>
      <c r="X121" s="35"/>
      <c r="Y121" s="27">
        <v>5626.16</v>
      </c>
      <c r="Z121" s="1">
        <v>5626.16</v>
      </c>
      <c r="AA121" s="60">
        <v>0</v>
      </c>
      <c r="AB121" s="2">
        <f t="shared" si="175"/>
        <v>0</v>
      </c>
      <c r="AC121" s="35"/>
      <c r="AD121" s="35"/>
      <c r="AE121" s="2">
        <f t="shared" si="150"/>
        <v>281307.99999999994</v>
      </c>
      <c r="AF121" s="36"/>
      <c r="AG121" s="2">
        <f t="shared" si="176"/>
        <v>281307.99999999994</v>
      </c>
      <c r="AH121" s="29" t="s">
        <v>586</v>
      </c>
      <c r="AI121" s="36"/>
      <c r="AJ121" s="57">
        <f>28130+781.9+43081.69+28130</f>
        <v>100123.59</v>
      </c>
      <c r="AK121" s="57">
        <f>4421.82+6588.95</f>
        <v>11010.77</v>
      </c>
    </row>
    <row r="122" spans="1:38" ht="378" x14ac:dyDescent="0.25">
      <c r="A122" s="348" t="s">
        <v>1711</v>
      </c>
      <c r="B122" s="37">
        <v>117483</v>
      </c>
      <c r="C122" s="37">
        <v>412</v>
      </c>
      <c r="D122" s="37" t="s">
        <v>172</v>
      </c>
      <c r="E122" s="21" t="s">
        <v>704</v>
      </c>
      <c r="F122" s="22" t="s">
        <v>611</v>
      </c>
      <c r="G122" s="150" t="s">
        <v>866</v>
      </c>
      <c r="H122" s="151" t="s">
        <v>254</v>
      </c>
      <c r="I122" s="24" t="s">
        <v>185</v>
      </c>
      <c r="J122" s="21" t="s">
        <v>867</v>
      </c>
      <c r="K122" s="5">
        <v>43314</v>
      </c>
      <c r="L122" s="7">
        <v>43678</v>
      </c>
      <c r="M122" s="4">
        <f t="shared" si="177"/>
        <v>85.000000000000014</v>
      </c>
      <c r="N122" s="17">
        <v>5</v>
      </c>
      <c r="O122" s="24" t="s">
        <v>723</v>
      </c>
      <c r="P122" s="3" t="s">
        <v>258</v>
      </c>
      <c r="Q122" s="8" t="s">
        <v>212</v>
      </c>
      <c r="R122" s="3" t="s">
        <v>36</v>
      </c>
      <c r="S122" s="2">
        <v>242732.46</v>
      </c>
      <c r="T122" s="26">
        <f>S122</f>
        <v>242732.46</v>
      </c>
      <c r="U122" s="2">
        <v>0</v>
      </c>
      <c r="V122" s="2">
        <f t="shared" si="173"/>
        <v>37123.78</v>
      </c>
      <c r="W122" s="26">
        <v>37123.78</v>
      </c>
      <c r="X122" s="27">
        <v>0</v>
      </c>
      <c r="Y122" s="27">
        <f t="shared" si="178"/>
        <v>5711.36</v>
      </c>
      <c r="Z122" s="26">
        <v>5711.36</v>
      </c>
      <c r="AA122" s="27">
        <v>0</v>
      </c>
      <c r="AB122" s="2">
        <f t="shared" si="175"/>
        <v>0</v>
      </c>
      <c r="AC122" s="2"/>
      <c r="AD122" s="2"/>
      <c r="AE122" s="2">
        <f t="shared" si="150"/>
        <v>285567.59999999998</v>
      </c>
      <c r="AF122" s="2">
        <v>0</v>
      </c>
      <c r="AG122" s="2">
        <f t="shared" si="176"/>
        <v>285567.59999999998</v>
      </c>
      <c r="AH122" s="29" t="s">
        <v>586</v>
      </c>
      <c r="AI122" s="30" t="s">
        <v>185</v>
      </c>
      <c r="AJ122" s="57">
        <f>24768.62+25919.16+42164.52+19764.2+19764.2-1842.36+25219.06</f>
        <v>155757.4</v>
      </c>
      <c r="AK122" s="57">
        <f>3788.14+2637.6+3407.69+3022.76+3022.76+1842.36+1732.9</f>
        <v>19454.210000000003</v>
      </c>
      <c r="AL122" s="30"/>
    </row>
    <row r="123" spans="1:38" ht="220.5" x14ac:dyDescent="0.25">
      <c r="A123" s="348" t="s">
        <v>1712</v>
      </c>
      <c r="B123" s="20">
        <v>126237</v>
      </c>
      <c r="C123" s="16">
        <v>529</v>
      </c>
      <c r="D123" s="3" t="s">
        <v>174</v>
      </c>
      <c r="E123" s="21" t="s">
        <v>967</v>
      </c>
      <c r="F123" s="3" t="s">
        <v>1133</v>
      </c>
      <c r="G123" s="23" t="s">
        <v>1198</v>
      </c>
      <c r="H123" s="23" t="s">
        <v>1179</v>
      </c>
      <c r="I123" s="3" t="s">
        <v>185</v>
      </c>
      <c r="J123" s="51" t="s">
        <v>1199</v>
      </c>
      <c r="K123" s="5">
        <v>43446</v>
      </c>
      <c r="L123" s="7">
        <v>44177</v>
      </c>
      <c r="M123" s="4">
        <f t="shared" ref="M123" si="179">S123/AE123*100</f>
        <v>85.000000000000014</v>
      </c>
      <c r="N123" s="3">
        <v>5</v>
      </c>
      <c r="O123" s="3" t="s">
        <v>723</v>
      </c>
      <c r="P123" s="3" t="s">
        <v>723</v>
      </c>
      <c r="Q123" s="44" t="s">
        <v>212</v>
      </c>
      <c r="R123" s="3" t="s">
        <v>36</v>
      </c>
      <c r="S123" s="2">
        <f t="shared" ref="S123:S129" si="180">T123+U123</f>
        <v>2072800.65</v>
      </c>
      <c r="T123" s="69">
        <v>2072800.65</v>
      </c>
      <c r="U123" s="2">
        <v>0</v>
      </c>
      <c r="V123" s="27">
        <f t="shared" ref="V123:V124" si="181">W123+X123</f>
        <v>317016.56999999995</v>
      </c>
      <c r="W123" s="2">
        <v>317016.56999999995</v>
      </c>
      <c r="X123" s="2">
        <v>0</v>
      </c>
      <c r="Y123" s="2">
        <f t="shared" ref="Y123:Y124" si="182">Z123+AA123</f>
        <v>48771.78</v>
      </c>
      <c r="Z123" s="2">
        <v>48771.78</v>
      </c>
      <c r="AA123" s="2">
        <v>0</v>
      </c>
      <c r="AB123" s="2">
        <f>AC123+AD123</f>
        <v>0</v>
      </c>
      <c r="AC123" s="2">
        <v>0</v>
      </c>
      <c r="AD123" s="2">
        <v>0</v>
      </c>
      <c r="AE123" s="2">
        <f t="shared" ref="AE123:AE124" si="183">S123+V123+Y123+AB123</f>
        <v>2438588.9999999995</v>
      </c>
      <c r="AF123" s="2">
        <v>0</v>
      </c>
      <c r="AG123" s="2">
        <f t="shared" ref="AG123:AG124" si="184">AE123+AF123</f>
        <v>2438588.9999999995</v>
      </c>
      <c r="AH123" s="29" t="s">
        <v>586</v>
      </c>
      <c r="AI123" s="30" t="s">
        <v>185</v>
      </c>
      <c r="AJ123" s="1">
        <v>25282.91</v>
      </c>
      <c r="AK123" s="31">
        <v>3866.8</v>
      </c>
    </row>
    <row r="124" spans="1:38" ht="283.5" x14ac:dyDescent="0.25">
      <c r="A124" s="348" t="s">
        <v>1713</v>
      </c>
      <c r="B124" s="15">
        <v>126422</v>
      </c>
      <c r="C124" s="16">
        <v>536</v>
      </c>
      <c r="D124" s="17" t="s">
        <v>176</v>
      </c>
      <c r="E124" s="21" t="s">
        <v>967</v>
      </c>
      <c r="F124" s="3" t="s">
        <v>1133</v>
      </c>
      <c r="G124" s="23" t="s">
        <v>1349</v>
      </c>
      <c r="H124" s="152" t="s">
        <v>722</v>
      </c>
      <c r="I124" s="153" t="s">
        <v>1350</v>
      </c>
      <c r="J124" s="51" t="s">
        <v>1351</v>
      </c>
      <c r="K124" s="5">
        <v>43556</v>
      </c>
      <c r="L124" s="7">
        <v>44470</v>
      </c>
      <c r="M124" s="4">
        <f t="shared" si="177"/>
        <v>84.449828692364051</v>
      </c>
      <c r="N124" s="3">
        <v>5</v>
      </c>
      <c r="O124" s="3" t="s">
        <v>723</v>
      </c>
      <c r="P124" s="17" t="s">
        <v>724</v>
      </c>
      <c r="Q124" s="44" t="s">
        <v>212</v>
      </c>
      <c r="R124" s="3" t="s">
        <v>36</v>
      </c>
      <c r="S124" s="2">
        <f t="shared" si="180"/>
        <v>3195443.02</v>
      </c>
      <c r="T124" s="60">
        <v>3195443.02</v>
      </c>
      <c r="U124" s="60">
        <v>0</v>
      </c>
      <c r="V124" s="27">
        <f t="shared" si="181"/>
        <v>512716.26</v>
      </c>
      <c r="W124" s="60">
        <v>512716.26</v>
      </c>
      <c r="X124" s="35">
        <v>0</v>
      </c>
      <c r="Y124" s="2">
        <f t="shared" si="182"/>
        <v>51185.440000000002</v>
      </c>
      <c r="Z124" s="60">
        <v>51185.440000000002</v>
      </c>
      <c r="AA124" s="60">
        <v>0</v>
      </c>
      <c r="AB124" s="2">
        <f t="shared" ref="AB124" si="185">AC124+AD124</f>
        <v>24491.279999999999</v>
      </c>
      <c r="AC124" s="60">
        <v>24491.279999999999</v>
      </c>
      <c r="AD124" s="35">
        <v>0</v>
      </c>
      <c r="AE124" s="2">
        <f t="shared" si="183"/>
        <v>3783836</v>
      </c>
      <c r="AF124" s="2">
        <v>0</v>
      </c>
      <c r="AG124" s="2">
        <f t="shared" si="184"/>
        <v>3783836</v>
      </c>
      <c r="AH124" s="29" t="s">
        <v>586</v>
      </c>
      <c r="AI124" s="30" t="s">
        <v>185</v>
      </c>
      <c r="AJ124" s="1">
        <v>78194</v>
      </c>
      <c r="AK124" s="1">
        <v>0</v>
      </c>
    </row>
    <row r="125" spans="1:38" ht="299.25" x14ac:dyDescent="0.25">
      <c r="A125" s="348" t="s">
        <v>1714</v>
      </c>
      <c r="B125" s="15">
        <v>127741</v>
      </c>
      <c r="C125" s="16">
        <v>642</v>
      </c>
      <c r="D125" s="17" t="s">
        <v>177</v>
      </c>
      <c r="E125" s="21" t="s">
        <v>967</v>
      </c>
      <c r="F125" s="3" t="s">
        <v>1416</v>
      </c>
      <c r="G125" s="23" t="s">
        <v>1456</v>
      </c>
      <c r="H125" s="152" t="s">
        <v>1457</v>
      </c>
      <c r="I125" s="153" t="s">
        <v>185</v>
      </c>
      <c r="J125" s="51" t="s">
        <v>1458</v>
      </c>
      <c r="K125" s="5">
        <v>43622</v>
      </c>
      <c r="L125" s="7">
        <v>44353</v>
      </c>
      <c r="M125" s="4">
        <f t="shared" ref="M125" si="186">S125/AE125*100</f>
        <v>85.000000180308987</v>
      </c>
      <c r="N125" s="3">
        <v>5</v>
      </c>
      <c r="O125" s="3" t="s">
        <v>723</v>
      </c>
      <c r="P125" s="17" t="s">
        <v>1459</v>
      </c>
      <c r="Q125" s="44" t="s">
        <v>212</v>
      </c>
      <c r="R125" s="3" t="s">
        <v>36</v>
      </c>
      <c r="S125" s="2">
        <f t="shared" si="180"/>
        <v>2357064.88</v>
      </c>
      <c r="T125" s="60">
        <v>2357064.88</v>
      </c>
      <c r="U125" s="60">
        <v>0</v>
      </c>
      <c r="V125" s="27">
        <f t="shared" ref="V125:V126" si="187">W125+X125</f>
        <v>360492.27</v>
      </c>
      <c r="W125" s="60">
        <v>360492.27</v>
      </c>
      <c r="X125" s="35">
        <v>0</v>
      </c>
      <c r="Y125" s="2">
        <f t="shared" ref="Y125:Y126" si="188">Z125+AA125</f>
        <v>55460.35</v>
      </c>
      <c r="Z125" s="60">
        <v>55460.35</v>
      </c>
      <c r="AA125" s="60">
        <v>0</v>
      </c>
      <c r="AB125" s="2">
        <f t="shared" ref="AB125:AB126" si="189">AC125+AD125</f>
        <v>0</v>
      </c>
      <c r="AC125" s="60"/>
      <c r="AD125" s="35">
        <v>0</v>
      </c>
      <c r="AE125" s="2">
        <f t="shared" ref="AE125" si="190">S125+V125+Y125+AB125</f>
        <v>2773017.5</v>
      </c>
      <c r="AF125" s="2">
        <v>1</v>
      </c>
      <c r="AG125" s="2">
        <f t="shared" ref="AG125" si="191">AE125+AF125</f>
        <v>2773018.5</v>
      </c>
      <c r="AH125" s="29" t="s">
        <v>586</v>
      </c>
      <c r="AI125" s="30"/>
      <c r="AJ125" s="1"/>
      <c r="AK125" s="1"/>
    </row>
    <row r="126" spans="1:38" ht="330.75" x14ac:dyDescent="0.25">
      <c r="A126" s="348" t="s">
        <v>1715</v>
      </c>
      <c r="B126" s="15">
        <v>128531</v>
      </c>
      <c r="C126" s="16">
        <v>643</v>
      </c>
      <c r="D126" s="17" t="s">
        <v>177</v>
      </c>
      <c r="E126" s="21" t="s">
        <v>967</v>
      </c>
      <c r="F126" s="3" t="s">
        <v>1416</v>
      </c>
      <c r="G126" s="23" t="s">
        <v>1480</v>
      </c>
      <c r="H126" s="152" t="s">
        <v>1479</v>
      </c>
      <c r="I126" s="153" t="s">
        <v>185</v>
      </c>
      <c r="J126" s="51" t="s">
        <v>1481</v>
      </c>
      <c r="K126" s="5">
        <v>43634</v>
      </c>
      <c r="L126" s="7">
        <v>44365</v>
      </c>
      <c r="M126" s="4">
        <f t="shared" ref="M126" si="192">S126/AE126*100</f>
        <v>85</v>
      </c>
      <c r="N126" s="3">
        <v>5</v>
      </c>
      <c r="O126" s="3" t="s">
        <v>723</v>
      </c>
      <c r="P126" s="17" t="s">
        <v>1482</v>
      </c>
      <c r="Q126" s="44" t="s">
        <v>212</v>
      </c>
      <c r="R126" s="3" t="s">
        <v>36</v>
      </c>
      <c r="S126" s="2">
        <f t="shared" si="180"/>
        <v>2728625.8</v>
      </c>
      <c r="T126" s="60">
        <v>2728625.8</v>
      </c>
      <c r="U126" s="60">
        <v>0</v>
      </c>
      <c r="V126" s="27">
        <f t="shared" si="187"/>
        <v>417319.24</v>
      </c>
      <c r="W126" s="60">
        <v>417319.24</v>
      </c>
      <c r="X126" s="35">
        <v>0</v>
      </c>
      <c r="Y126" s="2">
        <f t="shared" si="188"/>
        <v>64202.96</v>
      </c>
      <c r="Z126" s="60">
        <v>64202.96</v>
      </c>
      <c r="AA126" s="60">
        <v>0</v>
      </c>
      <c r="AB126" s="2">
        <f t="shared" si="189"/>
        <v>0</v>
      </c>
      <c r="AC126" s="60"/>
      <c r="AD126" s="35"/>
      <c r="AE126" s="2">
        <f t="shared" ref="AE126" si="193">S126+V126+Y126+AB126</f>
        <v>3210148</v>
      </c>
      <c r="AF126" s="2"/>
      <c r="AG126" s="2">
        <f t="shared" ref="AG126" si="194">AE126+AF126</f>
        <v>3210148</v>
      </c>
      <c r="AH126" s="29" t="s">
        <v>586</v>
      </c>
      <c r="AI126" s="30"/>
      <c r="AJ126" s="1"/>
      <c r="AK126" s="1"/>
    </row>
    <row r="127" spans="1:38" ht="141.75" x14ac:dyDescent="0.25">
      <c r="A127" s="348" t="s">
        <v>1716</v>
      </c>
      <c r="B127" s="15">
        <v>129575</v>
      </c>
      <c r="C127" s="16">
        <v>659</v>
      </c>
      <c r="D127" s="17" t="s">
        <v>177</v>
      </c>
      <c r="E127" s="21" t="s">
        <v>967</v>
      </c>
      <c r="F127" s="3" t="s">
        <v>1416</v>
      </c>
      <c r="G127" s="23" t="s">
        <v>1509</v>
      </c>
      <c r="H127" s="152" t="s">
        <v>1507</v>
      </c>
      <c r="I127" s="153" t="s">
        <v>185</v>
      </c>
      <c r="J127" s="51" t="s">
        <v>1510</v>
      </c>
      <c r="K127" s="5">
        <v>43640</v>
      </c>
      <c r="L127" s="7">
        <v>44371</v>
      </c>
      <c r="M127" s="4">
        <f>S127/AE127*100</f>
        <v>85</v>
      </c>
      <c r="N127" s="3">
        <v>5</v>
      </c>
      <c r="O127" s="3" t="s">
        <v>723</v>
      </c>
      <c r="P127" s="17" t="s">
        <v>1508</v>
      </c>
      <c r="Q127" s="44" t="s">
        <v>212</v>
      </c>
      <c r="R127" s="3" t="s">
        <v>36</v>
      </c>
      <c r="S127" s="2">
        <f t="shared" si="180"/>
        <v>2733685.85</v>
      </c>
      <c r="T127" s="60">
        <v>2733685.85</v>
      </c>
      <c r="U127" s="60">
        <v>0</v>
      </c>
      <c r="V127" s="27">
        <f>W127+X127</f>
        <v>418093.13</v>
      </c>
      <c r="W127" s="60">
        <v>418093.13</v>
      </c>
      <c r="X127" s="154">
        <v>0</v>
      </c>
      <c r="Y127" s="2">
        <f>Z127+AA127</f>
        <v>64322.02</v>
      </c>
      <c r="Z127" s="60">
        <v>64322.02</v>
      </c>
      <c r="AA127" s="60">
        <v>0</v>
      </c>
      <c r="AB127" s="2">
        <f>AC127+AD127</f>
        <v>0</v>
      </c>
      <c r="AC127" s="60">
        <v>0</v>
      </c>
      <c r="AD127" s="60">
        <v>0</v>
      </c>
      <c r="AE127" s="2">
        <f>S127+V127+Y127+AB127</f>
        <v>3216101</v>
      </c>
      <c r="AF127" s="2">
        <v>0</v>
      </c>
      <c r="AG127" s="2">
        <f>AE127+AF127</f>
        <v>3216101</v>
      </c>
      <c r="AH127" s="29" t="s">
        <v>586</v>
      </c>
      <c r="AI127" s="30"/>
      <c r="AJ127" s="1"/>
      <c r="AK127" s="1"/>
    </row>
    <row r="128" spans="1:38" ht="283.5" x14ac:dyDescent="0.25">
      <c r="A128" s="348" t="s">
        <v>1717</v>
      </c>
      <c r="B128" s="20">
        <v>120482</v>
      </c>
      <c r="C128" s="16">
        <v>68</v>
      </c>
      <c r="D128" s="3" t="s">
        <v>684</v>
      </c>
      <c r="E128" s="21" t="s">
        <v>967</v>
      </c>
      <c r="F128" s="22" t="s">
        <v>331</v>
      </c>
      <c r="G128" s="23" t="s">
        <v>280</v>
      </c>
      <c r="H128" s="23" t="s">
        <v>283</v>
      </c>
      <c r="I128" s="3" t="s">
        <v>185</v>
      </c>
      <c r="J128" s="51" t="s">
        <v>286</v>
      </c>
      <c r="K128" s="5">
        <v>43145</v>
      </c>
      <c r="L128" s="7">
        <v>43630</v>
      </c>
      <c r="M128" s="4">
        <f t="shared" ref="M128" si="195">S128/AE128*100</f>
        <v>85</v>
      </c>
      <c r="N128" s="3">
        <v>3</v>
      </c>
      <c r="O128" s="3" t="s">
        <v>287</v>
      </c>
      <c r="P128" s="3" t="s">
        <v>288</v>
      </c>
      <c r="Q128" s="44" t="s">
        <v>212</v>
      </c>
      <c r="R128" s="3" t="s">
        <v>36</v>
      </c>
      <c r="S128" s="2">
        <f t="shared" si="180"/>
        <v>508342.5</v>
      </c>
      <c r="T128" s="69">
        <v>508342.5</v>
      </c>
      <c r="U128" s="2">
        <v>0</v>
      </c>
      <c r="V128" s="27">
        <f t="shared" si="173"/>
        <v>77746.5</v>
      </c>
      <c r="W128" s="2">
        <v>77746.5</v>
      </c>
      <c r="X128" s="2">
        <v>0</v>
      </c>
      <c r="Y128" s="2">
        <f t="shared" ref="Y128" si="196">Z128+AA128</f>
        <v>11961</v>
      </c>
      <c r="Z128" s="2">
        <v>11961</v>
      </c>
      <c r="AA128" s="2">
        <v>0</v>
      </c>
      <c r="AB128" s="2">
        <f t="shared" si="175"/>
        <v>0</v>
      </c>
      <c r="AC128" s="2"/>
      <c r="AD128" s="2"/>
      <c r="AE128" s="2">
        <f t="shared" si="150"/>
        <v>598050</v>
      </c>
      <c r="AF128" s="2">
        <v>0</v>
      </c>
      <c r="AG128" s="2">
        <f t="shared" si="176"/>
        <v>598050</v>
      </c>
      <c r="AH128" s="29" t="s">
        <v>586</v>
      </c>
      <c r="AI128" s="30"/>
      <c r="AJ128" s="1">
        <f>139474.65+11873.47+58460.39+21305.82+73284.52</f>
        <v>304398.85000000003</v>
      </c>
      <c r="AK128" s="31">
        <f>21331.41+1815.94+8941+3258.54+11208.22</f>
        <v>46555.11</v>
      </c>
    </row>
    <row r="129" spans="1:37" ht="409.5" x14ac:dyDescent="0.25">
      <c r="A129" s="348" t="s">
        <v>1718</v>
      </c>
      <c r="B129" s="20">
        <v>122108</v>
      </c>
      <c r="C129" s="16">
        <v>83</v>
      </c>
      <c r="D129" s="3" t="s">
        <v>684</v>
      </c>
      <c r="E129" s="21" t="s">
        <v>967</v>
      </c>
      <c r="F129" s="22" t="s">
        <v>331</v>
      </c>
      <c r="G129" s="23" t="s">
        <v>466</v>
      </c>
      <c r="H129" s="23" t="s">
        <v>467</v>
      </c>
      <c r="I129" s="3" t="s">
        <v>185</v>
      </c>
      <c r="J129" s="51" t="s">
        <v>519</v>
      </c>
      <c r="K129" s="5">
        <v>43234</v>
      </c>
      <c r="L129" s="7">
        <v>43722</v>
      </c>
      <c r="M129" s="4">
        <f t="shared" ref="M129:M131" si="197">S129/AE129*100</f>
        <v>84.999995128143141</v>
      </c>
      <c r="N129" s="3">
        <v>3</v>
      </c>
      <c r="O129" s="3" t="s">
        <v>287</v>
      </c>
      <c r="P129" s="3" t="s">
        <v>468</v>
      </c>
      <c r="Q129" s="44" t="s">
        <v>212</v>
      </c>
      <c r="R129" s="3" t="s">
        <v>36</v>
      </c>
      <c r="S129" s="2">
        <f t="shared" si="180"/>
        <v>322772.19</v>
      </c>
      <c r="T129" s="26">
        <v>322772.19</v>
      </c>
      <c r="U129" s="155">
        <v>0</v>
      </c>
      <c r="V129" s="27">
        <f t="shared" ref="V129" si="198">W129+X129</f>
        <v>49365.18</v>
      </c>
      <c r="W129" s="2">
        <v>49365.18</v>
      </c>
      <c r="X129" s="2">
        <v>0</v>
      </c>
      <c r="Y129" s="2">
        <f t="shared" ref="Y129" si="199">Z129+AA129</f>
        <v>7594.64</v>
      </c>
      <c r="Z129" s="2">
        <v>7594.64</v>
      </c>
      <c r="AA129" s="2">
        <v>0</v>
      </c>
      <c r="AB129" s="2">
        <f t="shared" ref="AB129" si="200">AC129+AD129</f>
        <v>0</v>
      </c>
      <c r="AC129" s="2">
        <v>0</v>
      </c>
      <c r="AD129" s="2">
        <v>0</v>
      </c>
      <c r="AE129" s="2">
        <v>379732.01</v>
      </c>
      <c r="AF129" s="2">
        <v>55635.199999999997</v>
      </c>
      <c r="AG129" s="2">
        <f t="shared" si="176"/>
        <v>435367.21</v>
      </c>
      <c r="AH129" s="29" t="s">
        <v>586</v>
      </c>
      <c r="AI129" s="30" t="s">
        <v>1451</v>
      </c>
      <c r="AJ129" s="1">
        <f>33333.97+12894.42+14394.75</f>
        <v>60623.14</v>
      </c>
      <c r="AK129" s="31">
        <f>5098.14+1972.08+2201.55</f>
        <v>9271.77</v>
      </c>
    </row>
    <row r="130" spans="1:37" ht="362.25" x14ac:dyDescent="0.25">
      <c r="A130" s="348" t="s">
        <v>1719</v>
      </c>
      <c r="B130" s="37">
        <v>118782</v>
      </c>
      <c r="C130" s="24">
        <v>444</v>
      </c>
      <c r="D130" s="24" t="s">
        <v>684</v>
      </c>
      <c r="E130" s="21" t="s">
        <v>704</v>
      </c>
      <c r="F130" s="22" t="s">
        <v>611</v>
      </c>
      <c r="G130" s="21" t="s">
        <v>830</v>
      </c>
      <c r="H130" s="21" t="s">
        <v>829</v>
      </c>
      <c r="I130" s="17"/>
      <c r="J130" s="41" t="s">
        <v>828</v>
      </c>
      <c r="K130" s="5">
        <v>43304</v>
      </c>
      <c r="L130" s="7">
        <v>43791</v>
      </c>
      <c r="M130" s="4">
        <f t="shared" si="197"/>
        <v>85</v>
      </c>
      <c r="N130" s="17">
        <v>3</v>
      </c>
      <c r="O130" s="3" t="s">
        <v>287</v>
      </c>
      <c r="P130" s="24" t="s">
        <v>831</v>
      </c>
      <c r="Q130" s="44" t="s">
        <v>212</v>
      </c>
      <c r="R130" s="3" t="s">
        <v>36</v>
      </c>
      <c r="S130" s="2">
        <v>242091.39</v>
      </c>
      <c r="T130" s="156">
        <f>S130</f>
        <v>242091.39</v>
      </c>
      <c r="U130" s="35">
        <v>0</v>
      </c>
      <c r="V130" s="27">
        <v>37025.74</v>
      </c>
      <c r="W130" s="1">
        <f>V130</f>
        <v>37025.74</v>
      </c>
      <c r="X130" s="35">
        <v>0</v>
      </c>
      <c r="Y130" s="1">
        <v>5696.27</v>
      </c>
      <c r="Z130" s="1">
        <f>Y130</f>
        <v>5696.27</v>
      </c>
      <c r="AA130" s="1">
        <v>0</v>
      </c>
      <c r="AB130" s="2">
        <f t="shared" si="175"/>
        <v>0</v>
      </c>
      <c r="AC130" s="35"/>
      <c r="AD130" s="35"/>
      <c r="AE130" s="2">
        <f>S130+V130+Y130+AB130</f>
        <v>284813.40000000002</v>
      </c>
      <c r="AF130" s="36"/>
      <c r="AG130" s="2">
        <f t="shared" si="176"/>
        <v>284813.40000000002</v>
      </c>
      <c r="AH130" s="29" t="s">
        <v>586</v>
      </c>
      <c r="AI130" s="36" t="s">
        <v>1591</v>
      </c>
      <c r="AJ130" s="2">
        <f>28481.34-3066.97+23120.26-3309.72+24950.16</f>
        <v>70175.069999999992</v>
      </c>
      <c r="AK130" s="2">
        <f>3066.97+3309.72</f>
        <v>6376.69</v>
      </c>
    </row>
    <row r="131" spans="1:37" s="157" customFormat="1" ht="409.5" x14ac:dyDescent="0.25">
      <c r="A131" s="348" t="s">
        <v>1720</v>
      </c>
      <c r="B131" s="37">
        <v>118562</v>
      </c>
      <c r="C131" s="24">
        <v>430</v>
      </c>
      <c r="D131" s="24" t="s">
        <v>684</v>
      </c>
      <c r="E131" s="21" t="s">
        <v>704</v>
      </c>
      <c r="F131" s="22" t="s">
        <v>611</v>
      </c>
      <c r="G131" s="21" t="s">
        <v>889</v>
      </c>
      <c r="H131" s="24" t="s">
        <v>890</v>
      </c>
      <c r="I131" s="17" t="s">
        <v>185</v>
      </c>
      <c r="J131" s="41" t="s">
        <v>891</v>
      </c>
      <c r="K131" s="5">
        <v>43318</v>
      </c>
      <c r="L131" s="7">
        <v>43683</v>
      </c>
      <c r="M131" s="4">
        <f t="shared" si="197"/>
        <v>85</v>
      </c>
      <c r="N131" s="17">
        <v>3</v>
      </c>
      <c r="O131" s="3" t="s">
        <v>287</v>
      </c>
      <c r="P131" s="24" t="s">
        <v>288</v>
      </c>
      <c r="Q131" s="44" t="s">
        <v>212</v>
      </c>
      <c r="R131" s="3" t="s">
        <v>36</v>
      </c>
      <c r="S131" s="2">
        <f>T131+U131</f>
        <v>244199.22</v>
      </c>
      <c r="T131" s="156">
        <v>244199.22</v>
      </c>
      <c r="U131" s="35">
        <v>0</v>
      </c>
      <c r="V131" s="27">
        <f>W131+X131</f>
        <v>37348.11</v>
      </c>
      <c r="W131" s="1">
        <v>37348.11</v>
      </c>
      <c r="X131" s="35">
        <v>0</v>
      </c>
      <c r="Y131" s="1">
        <f t="shared" ref="Y131:Y137" si="201">Z131+AA131</f>
        <v>5745.87</v>
      </c>
      <c r="Z131" s="1">
        <v>5745.87</v>
      </c>
      <c r="AA131" s="1">
        <v>0</v>
      </c>
      <c r="AC131" s="35">
        <v>0</v>
      </c>
      <c r="AD131" s="35">
        <v>0</v>
      </c>
      <c r="AE131" s="2">
        <f>S131+V131+Y131+AB132</f>
        <v>287293.2</v>
      </c>
      <c r="AF131" s="36">
        <v>0</v>
      </c>
      <c r="AG131" s="2">
        <f t="shared" si="176"/>
        <v>287293.2</v>
      </c>
      <c r="AH131" s="29" t="s">
        <v>586</v>
      </c>
      <c r="AI131" s="36"/>
      <c r="AJ131" s="2">
        <f>28906.01+15593.07</f>
        <v>44499.08</v>
      </c>
      <c r="AK131" s="2">
        <f>4420.92+2384.82</f>
        <v>6805.74</v>
      </c>
    </row>
    <row r="132" spans="1:37" s="157" customFormat="1" ht="330.75" x14ac:dyDescent="0.25">
      <c r="A132" s="348" t="s">
        <v>1721</v>
      </c>
      <c r="B132" s="37">
        <v>128788</v>
      </c>
      <c r="C132" s="24">
        <v>632</v>
      </c>
      <c r="D132" s="24" t="s">
        <v>173</v>
      </c>
      <c r="E132" s="21" t="s">
        <v>967</v>
      </c>
      <c r="F132" s="22" t="s">
        <v>1416</v>
      </c>
      <c r="G132" s="21" t="s">
        <v>1447</v>
      </c>
      <c r="H132" s="24" t="s">
        <v>1444</v>
      </c>
      <c r="I132" s="17" t="s">
        <v>185</v>
      </c>
      <c r="J132" s="41" t="s">
        <v>1446</v>
      </c>
      <c r="K132" s="5">
        <v>43622</v>
      </c>
      <c r="L132" s="7">
        <v>44475</v>
      </c>
      <c r="M132" s="4">
        <f>S132/AE132*100</f>
        <v>85.000000230035937</v>
      </c>
      <c r="N132" s="17">
        <v>3</v>
      </c>
      <c r="O132" s="3" t="s">
        <v>287</v>
      </c>
      <c r="P132" s="24" t="s">
        <v>1445</v>
      </c>
      <c r="Q132" s="44" t="s">
        <v>212</v>
      </c>
      <c r="R132" s="3" t="s">
        <v>36</v>
      </c>
      <c r="S132" s="2">
        <f>T132+U132</f>
        <v>1847537.48</v>
      </c>
      <c r="T132" s="156">
        <v>1847537.48</v>
      </c>
      <c r="U132" s="35">
        <v>0</v>
      </c>
      <c r="V132" s="27">
        <f>W132+X132</f>
        <v>282564.55</v>
      </c>
      <c r="W132" s="1">
        <v>282564.55</v>
      </c>
      <c r="X132" s="35">
        <v>0</v>
      </c>
      <c r="Y132" s="1">
        <f t="shared" si="201"/>
        <v>43471.47</v>
      </c>
      <c r="Z132" s="1">
        <v>43471.47</v>
      </c>
      <c r="AA132" s="1">
        <v>0</v>
      </c>
      <c r="AB132" s="1">
        <f>AC132+AD132</f>
        <v>0</v>
      </c>
      <c r="AC132" s="35">
        <v>0</v>
      </c>
      <c r="AD132" s="35">
        <v>0</v>
      </c>
      <c r="AE132" s="2">
        <f>S132+V132+Y132+AB132</f>
        <v>2173573.5</v>
      </c>
      <c r="AF132" s="36">
        <v>0</v>
      </c>
      <c r="AG132" s="2">
        <f t="shared" si="176"/>
        <v>2173573.5</v>
      </c>
      <c r="AH132" s="29" t="s">
        <v>586</v>
      </c>
      <c r="AI132" s="36"/>
      <c r="AJ132" s="2"/>
      <c r="AK132" s="2"/>
    </row>
    <row r="133" spans="1:37" s="157" customFormat="1" ht="220.5" x14ac:dyDescent="0.25">
      <c r="A133" s="348" t="s">
        <v>1722</v>
      </c>
      <c r="B133" s="37">
        <v>129218</v>
      </c>
      <c r="C133" s="24">
        <v>645</v>
      </c>
      <c r="D133" s="24" t="s">
        <v>177</v>
      </c>
      <c r="E133" s="21" t="s">
        <v>967</v>
      </c>
      <c r="F133" s="22" t="s">
        <v>1416</v>
      </c>
      <c r="G133" s="158" t="s">
        <v>1514</v>
      </c>
      <c r="H133" s="24" t="s">
        <v>1515</v>
      </c>
      <c r="I133" s="17" t="s">
        <v>185</v>
      </c>
      <c r="J133" s="41" t="s">
        <v>1516</v>
      </c>
      <c r="K133" s="5">
        <v>43643</v>
      </c>
      <c r="L133" s="7">
        <v>44192</v>
      </c>
      <c r="M133" s="4">
        <f>S133/AE133*100</f>
        <v>84.999999707660962</v>
      </c>
      <c r="N133" s="17">
        <v>3</v>
      </c>
      <c r="O133" s="3" t="s">
        <v>287</v>
      </c>
      <c r="P133" s="24" t="s">
        <v>468</v>
      </c>
      <c r="Q133" s="44" t="s">
        <v>212</v>
      </c>
      <c r="R133" s="3" t="s">
        <v>36</v>
      </c>
      <c r="S133" s="2">
        <f>T133+U133</f>
        <v>2326066.37</v>
      </c>
      <c r="T133" s="156">
        <v>2326066.37</v>
      </c>
      <c r="U133" s="35">
        <v>0</v>
      </c>
      <c r="V133" s="27">
        <f>W133+X133</f>
        <v>355751.33</v>
      </c>
      <c r="W133" s="1">
        <v>355751.33</v>
      </c>
      <c r="X133" s="35">
        <v>0</v>
      </c>
      <c r="Y133" s="1">
        <f t="shared" si="201"/>
        <v>54730.98</v>
      </c>
      <c r="Z133" s="1">
        <v>54730.98</v>
      </c>
      <c r="AA133" s="1">
        <v>0</v>
      </c>
      <c r="AB133" s="1">
        <f>AC133+AD133</f>
        <v>0</v>
      </c>
      <c r="AC133" s="35">
        <v>0</v>
      </c>
      <c r="AD133" s="35">
        <v>0</v>
      </c>
      <c r="AE133" s="2">
        <f>S133+V133+Y133+AB134</f>
        <v>2736548.68</v>
      </c>
      <c r="AF133" s="36">
        <v>0</v>
      </c>
      <c r="AG133" s="2">
        <f t="shared" si="176"/>
        <v>2736548.68</v>
      </c>
      <c r="AH133" s="29" t="s">
        <v>586</v>
      </c>
      <c r="AI133" s="36"/>
      <c r="AJ133" s="2"/>
      <c r="AK133" s="2"/>
    </row>
    <row r="134" spans="1:37" ht="299.25" x14ac:dyDescent="0.25">
      <c r="A134" s="348" t="s">
        <v>1723</v>
      </c>
      <c r="B134" s="20">
        <v>128275</v>
      </c>
      <c r="C134" s="75">
        <v>636</v>
      </c>
      <c r="D134" s="20" t="s">
        <v>174</v>
      </c>
      <c r="E134" s="21" t="s">
        <v>967</v>
      </c>
      <c r="F134" s="22" t="s">
        <v>1416</v>
      </c>
      <c r="G134" s="76" t="s">
        <v>1465</v>
      </c>
      <c r="H134" s="33" t="s">
        <v>1463</v>
      </c>
      <c r="I134" s="17" t="s">
        <v>185</v>
      </c>
      <c r="J134" s="25" t="s">
        <v>1470</v>
      </c>
      <c r="K134" s="5">
        <v>43629</v>
      </c>
      <c r="L134" s="5">
        <v>44360</v>
      </c>
      <c r="M134" s="4">
        <f>S134/AE134*100</f>
        <v>85.000000189128897</v>
      </c>
      <c r="N134" s="77">
        <v>1</v>
      </c>
      <c r="O134" s="3" t="s">
        <v>817</v>
      </c>
      <c r="P134" s="3" t="s">
        <v>1468</v>
      </c>
      <c r="Q134" s="78" t="s">
        <v>212</v>
      </c>
      <c r="R134" s="3" t="s">
        <v>36</v>
      </c>
      <c r="S134" s="2">
        <f>T134+U134</f>
        <v>2247144.58</v>
      </c>
      <c r="T134" s="156">
        <v>0</v>
      </c>
      <c r="U134" s="2">
        <v>2247144.58</v>
      </c>
      <c r="V134" s="27">
        <f t="shared" ref="V134" si="202">W134+X134</f>
        <v>343680.93</v>
      </c>
      <c r="W134" s="1">
        <v>0</v>
      </c>
      <c r="X134" s="35">
        <v>343680.93</v>
      </c>
      <c r="Y134" s="1">
        <f t="shared" si="201"/>
        <v>52873.99</v>
      </c>
      <c r="Z134" s="1">
        <v>0</v>
      </c>
      <c r="AA134" s="1">
        <v>52873.99</v>
      </c>
      <c r="AB134" s="1">
        <f>AC134+AD134</f>
        <v>0</v>
      </c>
      <c r="AC134" s="108">
        <v>0</v>
      </c>
      <c r="AD134" s="108">
        <v>0</v>
      </c>
      <c r="AE134" s="2">
        <f>S134+V134+Y134+AB404</f>
        <v>2643699.5000000005</v>
      </c>
      <c r="AF134" s="39">
        <v>0</v>
      </c>
      <c r="AG134" s="2">
        <f>AE134+AF134</f>
        <v>2643699.5000000005</v>
      </c>
      <c r="AH134" s="105"/>
      <c r="AI134" s="30"/>
      <c r="AJ134" s="31"/>
      <c r="AK134" s="31"/>
    </row>
    <row r="135" spans="1:37" ht="409.5" x14ac:dyDescent="0.25">
      <c r="A135" s="348" t="s">
        <v>1724</v>
      </c>
      <c r="B135" s="24">
        <v>119895</v>
      </c>
      <c r="C135" s="24">
        <v>458</v>
      </c>
      <c r="D135" s="24" t="s">
        <v>1073</v>
      </c>
      <c r="E135" s="24" t="s">
        <v>1040</v>
      </c>
      <c r="F135" s="43" t="s">
        <v>841</v>
      </c>
      <c r="G135" s="159" t="s">
        <v>850</v>
      </c>
      <c r="H135" s="159" t="s">
        <v>851</v>
      </c>
      <c r="I135" s="17" t="s">
        <v>185</v>
      </c>
      <c r="J135" s="21" t="s">
        <v>852</v>
      </c>
      <c r="K135" s="5">
        <v>43312</v>
      </c>
      <c r="L135" s="7">
        <v>43830</v>
      </c>
      <c r="M135" s="4">
        <f t="shared" ref="M135:M137" si="203">S135/AE135*100</f>
        <v>79.999998251321642</v>
      </c>
      <c r="N135" s="24">
        <v>8</v>
      </c>
      <c r="O135" s="3" t="s">
        <v>853</v>
      </c>
      <c r="P135" s="3" t="s">
        <v>854</v>
      </c>
      <c r="Q135" s="3" t="s">
        <v>212</v>
      </c>
      <c r="R135" s="3" t="s">
        <v>36</v>
      </c>
      <c r="S135" s="2">
        <f>T135+U135</f>
        <v>457488.35</v>
      </c>
      <c r="T135" s="160">
        <v>0</v>
      </c>
      <c r="U135" s="161">
        <v>457488.35</v>
      </c>
      <c r="V135" s="27">
        <f t="shared" si="173"/>
        <v>102934.89</v>
      </c>
      <c r="W135" s="161">
        <v>0</v>
      </c>
      <c r="X135" s="162">
        <v>102934.89</v>
      </c>
      <c r="Y135" s="2">
        <f t="shared" si="201"/>
        <v>11437.21</v>
      </c>
      <c r="Z135" s="161">
        <v>0</v>
      </c>
      <c r="AA135" s="163">
        <v>11437.21</v>
      </c>
      <c r="AB135" s="2">
        <f t="shared" si="175"/>
        <v>0</v>
      </c>
      <c r="AC135" s="161">
        <v>0</v>
      </c>
      <c r="AD135" s="163">
        <v>0</v>
      </c>
      <c r="AE135" s="2">
        <f>S135+V135+Y135+AB135</f>
        <v>571860.44999999995</v>
      </c>
      <c r="AF135" s="2">
        <v>0</v>
      </c>
      <c r="AG135" s="2">
        <f t="shared" si="176"/>
        <v>571860.44999999995</v>
      </c>
      <c r="AH135" s="29" t="s">
        <v>586</v>
      </c>
      <c r="AI135" s="36"/>
      <c r="AJ135" s="28">
        <v>26798.799999999999</v>
      </c>
      <c r="AK135" s="2">
        <v>6029.73</v>
      </c>
    </row>
    <row r="136" spans="1:37" ht="220.5" x14ac:dyDescent="0.25">
      <c r="A136" s="348" t="s">
        <v>1725</v>
      </c>
      <c r="B136" s="37">
        <v>126391</v>
      </c>
      <c r="C136" s="24">
        <v>508</v>
      </c>
      <c r="D136" s="24" t="s">
        <v>843</v>
      </c>
      <c r="E136" s="24" t="s">
        <v>967</v>
      </c>
      <c r="F136" s="3" t="s">
        <v>1140</v>
      </c>
      <c r="G136" s="21" t="s">
        <v>1201</v>
      </c>
      <c r="H136" s="159" t="s">
        <v>851</v>
      </c>
      <c r="I136" s="17" t="s">
        <v>185</v>
      </c>
      <c r="J136" s="21" t="s">
        <v>1202</v>
      </c>
      <c r="K136" s="5">
        <v>43452</v>
      </c>
      <c r="L136" s="7">
        <v>44365</v>
      </c>
      <c r="M136" s="4">
        <f t="shared" si="203"/>
        <v>80.000000098352359</v>
      </c>
      <c r="N136" s="24">
        <v>8</v>
      </c>
      <c r="O136" s="3" t="s">
        <v>853</v>
      </c>
      <c r="P136" s="3" t="s">
        <v>854</v>
      </c>
      <c r="Q136" s="3" t="s">
        <v>212</v>
      </c>
      <c r="R136" s="3" t="s">
        <v>36</v>
      </c>
      <c r="S136" s="2">
        <f t="shared" ref="S136:S137" si="204">T136+U136</f>
        <v>1626803.97</v>
      </c>
      <c r="T136" s="164">
        <v>0</v>
      </c>
      <c r="U136" s="165">
        <v>1626803.97</v>
      </c>
      <c r="V136" s="63">
        <f t="shared" si="173"/>
        <v>366030.89</v>
      </c>
      <c r="W136" s="166">
        <v>0</v>
      </c>
      <c r="X136" s="31">
        <v>366030.89</v>
      </c>
      <c r="Y136" s="31">
        <f t="shared" si="201"/>
        <v>40670.1</v>
      </c>
      <c r="Z136" s="166">
        <v>0</v>
      </c>
      <c r="AA136" s="166">
        <v>40670.1</v>
      </c>
      <c r="AB136" s="2">
        <f t="shared" si="175"/>
        <v>0</v>
      </c>
      <c r="AC136" s="166">
        <v>0</v>
      </c>
      <c r="AD136" s="166">
        <v>0</v>
      </c>
      <c r="AE136" s="2">
        <f>S136+V136+Y136+AB136</f>
        <v>2033504.96</v>
      </c>
      <c r="AF136" s="39">
        <v>485522.74</v>
      </c>
      <c r="AG136" s="2">
        <f t="shared" si="176"/>
        <v>2519027.7000000002</v>
      </c>
      <c r="AH136" s="29" t="s">
        <v>586</v>
      </c>
      <c r="AI136" s="36"/>
      <c r="AJ136" s="2">
        <v>0</v>
      </c>
      <c r="AK136" s="2">
        <v>0</v>
      </c>
    </row>
    <row r="137" spans="1:37" ht="141.75" x14ac:dyDescent="0.25">
      <c r="A137" s="348" t="s">
        <v>1726</v>
      </c>
      <c r="B137" s="37">
        <v>128946</v>
      </c>
      <c r="C137" s="24">
        <v>654</v>
      </c>
      <c r="D137" s="24" t="s">
        <v>647</v>
      </c>
      <c r="E137" s="24" t="s">
        <v>967</v>
      </c>
      <c r="F137" s="3" t="s">
        <v>1486</v>
      </c>
      <c r="G137" s="21" t="s">
        <v>1553</v>
      </c>
      <c r="H137" s="159" t="s">
        <v>851</v>
      </c>
      <c r="I137" s="17" t="s">
        <v>185</v>
      </c>
      <c r="J137" s="21" t="s">
        <v>1554</v>
      </c>
      <c r="K137" s="5">
        <v>43657</v>
      </c>
      <c r="L137" s="7">
        <v>44207</v>
      </c>
      <c r="M137" s="4">
        <f t="shared" si="203"/>
        <v>80</v>
      </c>
      <c r="N137" s="24">
        <v>8</v>
      </c>
      <c r="O137" s="3" t="s">
        <v>853</v>
      </c>
      <c r="P137" s="3" t="s">
        <v>854</v>
      </c>
      <c r="Q137" s="3" t="s">
        <v>212</v>
      </c>
      <c r="R137" s="3" t="s">
        <v>36</v>
      </c>
      <c r="S137" s="2">
        <f t="shared" si="204"/>
        <v>271938.8</v>
      </c>
      <c r="T137" s="166">
        <v>0</v>
      </c>
      <c r="U137" s="1">
        <v>271938.8</v>
      </c>
      <c r="V137" s="63">
        <f t="shared" si="173"/>
        <v>61186.239999999998</v>
      </c>
      <c r="W137" s="166">
        <v>0</v>
      </c>
      <c r="X137" s="31">
        <v>61186.239999999998</v>
      </c>
      <c r="Y137" s="31">
        <f t="shared" si="201"/>
        <v>6798.46</v>
      </c>
      <c r="Z137" s="166">
        <v>0</v>
      </c>
      <c r="AA137" s="166">
        <v>6798.46</v>
      </c>
      <c r="AB137" s="2">
        <f t="shared" si="175"/>
        <v>0</v>
      </c>
      <c r="AC137" s="166">
        <v>0</v>
      </c>
      <c r="AD137" s="166">
        <v>0</v>
      </c>
      <c r="AE137" s="2">
        <f>S137+V137+Y137+AB137</f>
        <v>339923.5</v>
      </c>
      <c r="AF137" s="39">
        <v>0</v>
      </c>
      <c r="AG137" s="2">
        <f t="shared" si="176"/>
        <v>339923.5</v>
      </c>
      <c r="AH137" s="29" t="s">
        <v>586</v>
      </c>
      <c r="AI137" s="36"/>
      <c r="AJ137" s="2"/>
      <c r="AK137" s="2"/>
    </row>
    <row r="138" spans="1:37" ht="252" x14ac:dyDescent="0.25">
      <c r="A138" s="348" t="s">
        <v>1727</v>
      </c>
      <c r="B138" s="20">
        <v>122738</v>
      </c>
      <c r="C138" s="16">
        <v>73</v>
      </c>
      <c r="D138" s="3" t="s">
        <v>684</v>
      </c>
      <c r="E138" s="21" t="s">
        <v>967</v>
      </c>
      <c r="F138" s="22" t="s">
        <v>331</v>
      </c>
      <c r="G138" s="167" t="s">
        <v>705</v>
      </c>
      <c r="H138" s="21" t="s">
        <v>706</v>
      </c>
      <c r="I138" s="17" t="s">
        <v>185</v>
      </c>
      <c r="J138" s="21" t="s">
        <v>1380</v>
      </c>
      <c r="K138" s="5">
        <v>43284</v>
      </c>
      <c r="L138" s="7">
        <v>43772</v>
      </c>
      <c r="M138" s="4">
        <f t="shared" ref="M138:M139" si="205">S138/AE138*100</f>
        <v>85.000002334434541</v>
      </c>
      <c r="N138" s="3">
        <v>6</v>
      </c>
      <c r="O138" s="3" t="s">
        <v>707</v>
      </c>
      <c r="P138" s="3" t="s">
        <v>708</v>
      </c>
      <c r="Q138" s="44" t="s">
        <v>212</v>
      </c>
      <c r="R138" s="3" t="s">
        <v>36</v>
      </c>
      <c r="S138" s="27">
        <f t="shared" ref="S138" si="206">T138+U138</f>
        <v>527965.13</v>
      </c>
      <c r="T138" s="161">
        <v>527965.13</v>
      </c>
      <c r="U138" s="2">
        <v>0</v>
      </c>
      <c r="V138" s="27">
        <f t="shared" ref="V138" si="207">W138+X138</f>
        <v>80747.570000000007</v>
      </c>
      <c r="W138" s="161">
        <v>80747.570000000007</v>
      </c>
      <c r="X138" s="2">
        <v>0</v>
      </c>
      <c r="Y138" s="27">
        <f t="shared" ref="Y138" si="208">Z138+AA138</f>
        <v>12422.73</v>
      </c>
      <c r="Z138" s="168">
        <v>12422.73</v>
      </c>
      <c r="AA138" s="2">
        <v>0</v>
      </c>
      <c r="AB138" s="2">
        <f t="shared" ref="AB138" si="209">AC138+AD138</f>
        <v>0</v>
      </c>
      <c r="AC138" s="2">
        <v>0</v>
      </c>
      <c r="AD138" s="2">
        <v>0</v>
      </c>
      <c r="AE138" s="2">
        <f t="shared" ref="AE138" si="210">S138+V138+Y138+AB138</f>
        <v>621135.42999999993</v>
      </c>
      <c r="AF138" s="2">
        <v>0</v>
      </c>
      <c r="AG138" s="2">
        <f t="shared" ref="AG138" si="211">AE138+AF138</f>
        <v>621135.42999999993</v>
      </c>
      <c r="AH138" s="29" t="s">
        <v>586</v>
      </c>
      <c r="AI138" s="30"/>
      <c r="AJ138" s="28">
        <f>21406.41+58309.25+17499.8</f>
        <v>97215.46</v>
      </c>
      <c r="AK138" s="2">
        <f>3273.92+8917.89+2676.44</f>
        <v>14868.25</v>
      </c>
    </row>
    <row r="139" spans="1:37" ht="315" x14ac:dyDescent="0.25">
      <c r="A139" s="348" t="s">
        <v>1728</v>
      </c>
      <c r="B139" s="37">
        <v>126337</v>
      </c>
      <c r="C139" s="16">
        <v>556</v>
      </c>
      <c r="D139" s="17" t="s">
        <v>1073</v>
      </c>
      <c r="E139" s="24" t="s">
        <v>967</v>
      </c>
      <c r="F139" s="22" t="s">
        <v>1133</v>
      </c>
      <c r="G139" s="21" t="s">
        <v>1379</v>
      </c>
      <c r="H139" s="21" t="s">
        <v>706</v>
      </c>
      <c r="I139" s="17" t="s">
        <v>185</v>
      </c>
      <c r="J139" s="21" t="s">
        <v>1381</v>
      </c>
      <c r="K139" s="5">
        <v>43577</v>
      </c>
      <c r="L139" s="7">
        <v>44491</v>
      </c>
      <c r="M139" s="4">
        <f t="shared" si="205"/>
        <v>85.000000442818262</v>
      </c>
      <c r="N139" s="3">
        <v>6</v>
      </c>
      <c r="O139" s="3" t="s">
        <v>707</v>
      </c>
      <c r="P139" s="3" t="s">
        <v>708</v>
      </c>
      <c r="Q139" s="44" t="s">
        <v>212</v>
      </c>
      <c r="R139" s="3" t="s">
        <v>36</v>
      </c>
      <c r="S139" s="2">
        <f t="shared" ref="S139" si="212">T139+U139</f>
        <v>3359165.89</v>
      </c>
      <c r="T139" s="161">
        <v>3359165.89</v>
      </c>
      <c r="U139" s="2">
        <v>0</v>
      </c>
      <c r="V139" s="27">
        <f t="shared" si="173"/>
        <v>513754.76</v>
      </c>
      <c r="W139" s="161">
        <v>513754.76</v>
      </c>
      <c r="X139" s="2">
        <v>0</v>
      </c>
      <c r="Y139" s="156">
        <f>Z139+AA139</f>
        <v>79039.199999999997</v>
      </c>
      <c r="Z139" s="168">
        <v>79039.199999999997</v>
      </c>
      <c r="AA139" s="2">
        <v>0</v>
      </c>
      <c r="AB139" s="2">
        <f t="shared" si="175"/>
        <v>0</v>
      </c>
      <c r="AC139" s="2">
        <v>0</v>
      </c>
      <c r="AD139" s="2">
        <v>0</v>
      </c>
      <c r="AE139" s="2">
        <f t="shared" si="150"/>
        <v>3951959.8500000006</v>
      </c>
      <c r="AF139" s="2">
        <v>15981.7</v>
      </c>
      <c r="AG139" s="2">
        <f t="shared" si="176"/>
        <v>3967941.5500000007</v>
      </c>
      <c r="AH139" s="29" t="s">
        <v>586</v>
      </c>
      <c r="AI139" s="36"/>
      <c r="AJ139" s="2">
        <v>0</v>
      </c>
      <c r="AK139" s="2">
        <v>0</v>
      </c>
    </row>
    <row r="140" spans="1:37" ht="283.5" x14ac:dyDescent="0.25">
      <c r="A140" s="348" t="s">
        <v>1729</v>
      </c>
      <c r="B140" s="20">
        <v>110238</v>
      </c>
      <c r="C140" s="16">
        <v>120</v>
      </c>
      <c r="D140" s="3" t="s">
        <v>172</v>
      </c>
      <c r="E140" s="21" t="s">
        <v>967</v>
      </c>
      <c r="F140" s="22" t="s">
        <v>331</v>
      </c>
      <c r="G140" s="169" t="s">
        <v>292</v>
      </c>
      <c r="H140" s="23" t="s">
        <v>293</v>
      </c>
      <c r="I140" s="3" t="s">
        <v>185</v>
      </c>
      <c r="J140" s="25" t="s">
        <v>309</v>
      </c>
      <c r="K140" s="5">
        <v>43166</v>
      </c>
      <c r="L140" s="7">
        <v>43836</v>
      </c>
      <c r="M140" s="4">
        <f t="shared" ref="M140:M141" si="213">S140/AE140*100</f>
        <v>85.000000235397167</v>
      </c>
      <c r="N140" s="3">
        <v>4</v>
      </c>
      <c r="O140" s="3" t="s">
        <v>295</v>
      </c>
      <c r="P140" s="3" t="s">
        <v>294</v>
      </c>
      <c r="Q140" s="44" t="s">
        <v>212</v>
      </c>
      <c r="R140" s="3" t="s">
        <v>36</v>
      </c>
      <c r="S140" s="27">
        <f t="shared" ref="S140:S141" si="214">T140+U140</f>
        <v>361091.85</v>
      </c>
      <c r="T140" s="162">
        <v>361091.85</v>
      </c>
      <c r="U140" s="2">
        <v>0</v>
      </c>
      <c r="V140" s="27">
        <f t="shared" si="173"/>
        <v>55225.82</v>
      </c>
      <c r="W140" s="162">
        <v>55225.82</v>
      </c>
      <c r="X140" s="2">
        <v>0</v>
      </c>
      <c r="Y140" s="27">
        <f t="shared" ref="Y140" si="215">Z140+AA140</f>
        <v>8496.27</v>
      </c>
      <c r="Z140" s="170">
        <v>8496.27</v>
      </c>
      <c r="AA140" s="2">
        <v>0</v>
      </c>
      <c r="AB140" s="2">
        <f t="shared" si="175"/>
        <v>0</v>
      </c>
      <c r="AC140" s="2"/>
      <c r="AD140" s="2"/>
      <c r="AE140" s="2">
        <f t="shared" si="150"/>
        <v>424813.94</v>
      </c>
      <c r="AF140" s="2">
        <v>0</v>
      </c>
      <c r="AG140" s="2">
        <f t="shared" si="176"/>
        <v>424813.94</v>
      </c>
      <c r="AH140" s="29" t="s">
        <v>586</v>
      </c>
      <c r="AI140" s="30" t="s">
        <v>1401</v>
      </c>
      <c r="AJ140" s="28">
        <f>36851.39+107373.8</f>
        <v>144225.19</v>
      </c>
      <c r="AK140" s="2">
        <f>5630+16427.98</f>
        <v>22057.98</v>
      </c>
    </row>
    <row r="141" spans="1:37" ht="236.25" x14ac:dyDescent="0.25">
      <c r="A141" s="348" t="s">
        <v>1730</v>
      </c>
      <c r="B141" s="20">
        <v>117741</v>
      </c>
      <c r="C141" s="24">
        <v>415</v>
      </c>
      <c r="D141" s="3" t="s">
        <v>175</v>
      </c>
      <c r="E141" s="21" t="s">
        <v>704</v>
      </c>
      <c r="F141" s="23" t="s">
        <v>611</v>
      </c>
      <c r="G141" s="23" t="s">
        <v>844</v>
      </c>
      <c r="H141" s="23" t="s">
        <v>845</v>
      </c>
      <c r="I141" s="3" t="s">
        <v>746</v>
      </c>
      <c r="J141" s="23" t="s">
        <v>846</v>
      </c>
      <c r="K141" s="5">
        <v>43311</v>
      </c>
      <c r="L141" s="7">
        <v>43676</v>
      </c>
      <c r="M141" s="4">
        <f t="shared" si="213"/>
        <v>84.15024511492409</v>
      </c>
      <c r="N141" s="3">
        <v>4</v>
      </c>
      <c r="O141" s="3" t="s">
        <v>295</v>
      </c>
      <c r="P141" s="3" t="s">
        <v>294</v>
      </c>
      <c r="Q141" s="3" t="s">
        <v>212</v>
      </c>
      <c r="R141" s="3" t="s">
        <v>36</v>
      </c>
      <c r="S141" s="27">
        <f t="shared" si="214"/>
        <v>242958.31</v>
      </c>
      <c r="T141" s="31">
        <v>242958.31</v>
      </c>
      <c r="U141" s="45">
        <v>0</v>
      </c>
      <c r="V141" s="27">
        <f t="shared" si="173"/>
        <v>39986.97</v>
      </c>
      <c r="W141" s="31">
        <v>39986.97</v>
      </c>
      <c r="X141" s="45">
        <v>0</v>
      </c>
      <c r="Y141" s="31">
        <f>Z141+AA141</f>
        <v>2888.03</v>
      </c>
      <c r="Z141" s="31">
        <v>2888.03</v>
      </c>
      <c r="AA141" s="31">
        <v>0</v>
      </c>
      <c r="AB141" s="2">
        <f t="shared" si="175"/>
        <v>2886.36</v>
      </c>
      <c r="AC141" s="31">
        <v>2886.36</v>
      </c>
      <c r="AD141" s="45">
        <v>0</v>
      </c>
      <c r="AE141" s="2">
        <f t="shared" si="150"/>
        <v>288719.67000000004</v>
      </c>
      <c r="AF141" s="105"/>
      <c r="AG141" s="2">
        <f t="shared" si="176"/>
        <v>288719.67000000004</v>
      </c>
      <c r="AH141" s="29" t="s">
        <v>586</v>
      </c>
      <c r="AI141" s="105"/>
      <c r="AJ141" s="2">
        <f>28871.96-265.54+15843.66+15843.66+10893.14+20357.69</f>
        <v>91544.57</v>
      </c>
      <c r="AK141" s="2">
        <f>4137.44+2795.94+2795.94+1922.32+3592.53</f>
        <v>15244.17</v>
      </c>
    </row>
    <row r="142" spans="1:37" ht="220.5" x14ac:dyDescent="0.25">
      <c r="A142" s="348" t="s">
        <v>1731</v>
      </c>
      <c r="B142" s="15">
        <v>126246</v>
      </c>
      <c r="C142" s="16">
        <v>537</v>
      </c>
      <c r="D142" s="17" t="s">
        <v>176</v>
      </c>
      <c r="E142" s="24" t="s">
        <v>967</v>
      </c>
      <c r="F142" s="22" t="s">
        <v>1133</v>
      </c>
      <c r="G142" s="23" t="s">
        <v>1302</v>
      </c>
      <c r="H142" s="23" t="s">
        <v>845</v>
      </c>
      <c r="I142" s="3" t="s">
        <v>598</v>
      </c>
      <c r="J142" s="25" t="s">
        <v>1303</v>
      </c>
      <c r="K142" s="5">
        <v>43532</v>
      </c>
      <c r="L142" s="7">
        <v>44447</v>
      </c>
      <c r="M142" s="4">
        <f t="shared" ref="M142" si="216">S142/AE142*100</f>
        <v>84.376572868603944</v>
      </c>
      <c r="N142" s="3">
        <v>4</v>
      </c>
      <c r="O142" s="3" t="s">
        <v>295</v>
      </c>
      <c r="P142" s="3" t="s">
        <v>294</v>
      </c>
      <c r="Q142" s="3" t="s">
        <v>212</v>
      </c>
      <c r="R142" s="3" t="s">
        <v>36</v>
      </c>
      <c r="S142" s="27">
        <f t="shared" ref="S142" si="217">T142+U142</f>
        <v>3134478.71</v>
      </c>
      <c r="T142" s="60">
        <v>3134478.71</v>
      </c>
      <c r="U142" s="35">
        <v>0</v>
      </c>
      <c r="V142" s="27">
        <f t="shared" ref="V142" si="218">W142+X142</f>
        <v>506092.39</v>
      </c>
      <c r="W142" s="60">
        <v>506092.39</v>
      </c>
      <c r="X142" s="35">
        <v>0</v>
      </c>
      <c r="Y142" s="31">
        <f>Z142+AA142</f>
        <v>47050.879999999997</v>
      </c>
      <c r="Z142" s="60">
        <v>47050.879999999997</v>
      </c>
      <c r="AA142" s="60">
        <v>0</v>
      </c>
      <c r="AB142" s="2">
        <f t="shared" ref="AB142" si="219">AC142+AD142</f>
        <v>27246.5</v>
      </c>
      <c r="AC142" s="60">
        <v>27246.5</v>
      </c>
      <c r="AD142" s="35">
        <v>0</v>
      </c>
      <c r="AE142" s="2">
        <f t="shared" si="150"/>
        <v>3714868.48</v>
      </c>
      <c r="AF142" s="36">
        <v>0</v>
      </c>
      <c r="AG142" s="2">
        <f t="shared" ref="AG142" si="220">AE142+AF142</f>
        <v>3714868.48</v>
      </c>
      <c r="AH142" s="29" t="s">
        <v>586</v>
      </c>
      <c r="AI142" s="36"/>
      <c r="AJ142" s="57">
        <v>283028.44</v>
      </c>
      <c r="AK142" s="57">
        <v>0</v>
      </c>
    </row>
    <row r="143" spans="1:37" s="72" customFormat="1" ht="252" x14ac:dyDescent="0.25">
      <c r="A143" s="348" t="s">
        <v>1732</v>
      </c>
      <c r="B143" s="20">
        <v>120531</v>
      </c>
      <c r="C143" s="16">
        <v>76</v>
      </c>
      <c r="D143" s="21" t="s">
        <v>843</v>
      </c>
      <c r="E143" s="21" t="s">
        <v>967</v>
      </c>
      <c r="F143" s="22" t="s">
        <v>331</v>
      </c>
      <c r="G143" s="67" t="s">
        <v>231</v>
      </c>
      <c r="H143" s="67" t="s">
        <v>232</v>
      </c>
      <c r="I143" s="24" t="s">
        <v>185</v>
      </c>
      <c r="J143" s="21" t="s">
        <v>233</v>
      </c>
      <c r="K143" s="5">
        <v>43129</v>
      </c>
      <c r="L143" s="7">
        <v>43798</v>
      </c>
      <c r="M143" s="4">
        <f t="shared" ref="M143:M147" si="221">S143/AE143*100</f>
        <v>85.000000405063261</v>
      </c>
      <c r="N143" s="24">
        <v>3</v>
      </c>
      <c r="O143" s="24" t="s">
        <v>235</v>
      </c>
      <c r="P143" s="24" t="s">
        <v>234</v>
      </c>
      <c r="Q143" s="8" t="s">
        <v>212</v>
      </c>
      <c r="R143" s="24" t="s">
        <v>36</v>
      </c>
      <c r="S143" s="2">
        <f t="shared" ref="S143:S147" si="222">T143+U143</f>
        <v>524609.42000000004</v>
      </c>
      <c r="T143" s="69">
        <v>524609.42000000004</v>
      </c>
      <c r="U143" s="28">
        <v>0</v>
      </c>
      <c r="V143" s="27">
        <f t="shared" si="173"/>
        <v>80234.38</v>
      </c>
      <c r="W143" s="69">
        <v>80234.38</v>
      </c>
      <c r="X143" s="28">
        <v>0</v>
      </c>
      <c r="Y143" s="2">
        <f t="shared" ref="Y143:Y147" si="223">Z143+AA143</f>
        <v>12343.75</v>
      </c>
      <c r="Z143" s="69">
        <v>12343.75</v>
      </c>
      <c r="AA143" s="28">
        <v>0</v>
      </c>
      <c r="AB143" s="2">
        <f t="shared" si="175"/>
        <v>0</v>
      </c>
      <c r="AC143" s="28"/>
      <c r="AD143" s="28"/>
      <c r="AE143" s="2">
        <f t="shared" si="150"/>
        <v>617187.55000000005</v>
      </c>
      <c r="AF143" s="28">
        <v>0</v>
      </c>
      <c r="AG143" s="2">
        <f t="shared" si="176"/>
        <v>617187.55000000005</v>
      </c>
      <c r="AH143" s="29" t="s">
        <v>586</v>
      </c>
      <c r="AI143" s="56" t="s">
        <v>185</v>
      </c>
      <c r="AJ143" s="1">
        <f>40294.21+38633.5</f>
        <v>78927.709999999992</v>
      </c>
      <c r="AK143" s="1">
        <f>6162.64+5908.66</f>
        <v>12071.3</v>
      </c>
    </row>
    <row r="144" spans="1:37" s="173" customFormat="1" ht="236.25" x14ac:dyDescent="0.25">
      <c r="A144" s="348" t="s">
        <v>1733</v>
      </c>
      <c r="B144" s="37">
        <v>119702</v>
      </c>
      <c r="C144" s="16">
        <v>462</v>
      </c>
      <c r="D144" s="21" t="s">
        <v>684</v>
      </c>
      <c r="E144" s="24" t="s">
        <v>1040</v>
      </c>
      <c r="F144" s="171" t="s">
        <v>543</v>
      </c>
      <c r="G144" s="21" t="s">
        <v>604</v>
      </c>
      <c r="H144" s="21" t="s">
        <v>232</v>
      </c>
      <c r="I144" s="24" t="s">
        <v>185</v>
      </c>
      <c r="J144" s="21" t="s">
        <v>606</v>
      </c>
      <c r="K144" s="5">
        <v>43269</v>
      </c>
      <c r="L144" s="7">
        <v>43756</v>
      </c>
      <c r="M144" s="47">
        <f t="shared" si="221"/>
        <v>85.000000000000014</v>
      </c>
      <c r="N144" s="24">
        <v>3</v>
      </c>
      <c r="O144" s="24" t="s">
        <v>235</v>
      </c>
      <c r="P144" s="24" t="s">
        <v>234</v>
      </c>
      <c r="Q144" s="24" t="s">
        <v>212</v>
      </c>
      <c r="R144" s="24" t="s">
        <v>547</v>
      </c>
      <c r="S144" s="28">
        <f t="shared" si="222"/>
        <v>289363.96999999997</v>
      </c>
      <c r="T144" s="1">
        <v>289363.96999999997</v>
      </c>
      <c r="U144" s="28">
        <v>0</v>
      </c>
      <c r="V144" s="27">
        <f t="shared" ref="V144" si="224">W144+X144</f>
        <v>44255.67</v>
      </c>
      <c r="W144" s="1">
        <v>44255.67</v>
      </c>
      <c r="X144" s="28">
        <v>0</v>
      </c>
      <c r="Y144" s="28">
        <f t="shared" si="223"/>
        <v>6808.5599999999995</v>
      </c>
      <c r="Z144" s="1">
        <v>6808.5599999999995</v>
      </c>
      <c r="AA144" s="28">
        <v>0</v>
      </c>
      <c r="AB144" s="28">
        <f t="shared" ref="AB144" si="225">AC144+AD144</f>
        <v>0</v>
      </c>
      <c r="AC144" s="28">
        <v>0</v>
      </c>
      <c r="AD144" s="28">
        <v>0</v>
      </c>
      <c r="AE144" s="28">
        <f>S144+V144+Y144+AB144</f>
        <v>340428.19999999995</v>
      </c>
      <c r="AF144" s="28">
        <v>0</v>
      </c>
      <c r="AG144" s="28">
        <f t="shared" ref="AG144" si="226">AE144+AF144</f>
        <v>340428.19999999995</v>
      </c>
      <c r="AH144" s="29" t="s">
        <v>586</v>
      </c>
      <c r="AI144" s="172" t="s">
        <v>1375</v>
      </c>
      <c r="AJ144" s="1">
        <f>29938.25-3891.97+46974.03+87210</f>
        <v>160230.31</v>
      </c>
      <c r="AK144" s="1">
        <f>3891.97+7275.84+13338</f>
        <v>24505.809999999998</v>
      </c>
    </row>
    <row r="145" spans="1:37" s="174" customFormat="1" ht="362.25" x14ac:dyDescent="0.25">
      <c r="A145" s="348" t="s">
        <v>1734</v>
      </c>
      <c r="B145" s="37">
        <v>117960</v>
      </c>
      <c r="C145" s="24">
        <v>418</v>
      </c>
      <c r="D145" s="24" t="s">
        <v>843</v>
      </c>
      <c r="E145" s="21" t="s">
        <v>704</v>
      </c>
      <c r="F145" s="21" t="s">
        <v>611</v>
      </c>
      <c r="G145" s="21" t="s">
        <v>892</v>
      </c>
      <c r="H145" s="21" t="s">
        <v>232</v>
      </c>
      <c r="I145" s="24" t="s">
        <v>185</v>
      </c>
      <c r="J145" s="21" t="s">
        <v>893</v>
      </c>
      <c r="K145" s="7">
        <v>43318</v>
      </c>
      <c r="L145" s="7">
        <v>43805</v>
      </c>
      <c r="M145" s="47">
        <f t="shared" si="221"/>
        <v>85</v>
      </c>
      <c r="N145" s="24">
        <v>3</v>
      </c>
      <c r="O145" s="24" t="s">
        <v>235</v>
      </c>
      <c r="P145" s="24" t="s">
        <v>234</v>
      </c>
      <c r="Q145" s="24" t="s">
        <v>212</v>
      </c>
      <c r="R145" s="24" t="s">
        <v>547</v>
      </c>
      <c r="S145" s="28">
        <f t="shared" si="222"/>
        <v>339865.02</v>
      </c>
      <c r="T145" s="1">
        <v>339865.02</v>
      </c>
      <c r="U145" s="108">
        <v>0</v>
      </c>
      <c r="V145" s="27">
        <f t="shared" si="173"/>
        <v>51979.35</v>
      </c>
      <c r="W145" s="1">
        <v>51979.35</v>
      </c>
      <c r="X145" s="108">
        <v>0</v>
      </c>
      <c r="Y145" s="28">
        <f t="shared" si="223"/>
        <v>7996.83</v>
      </c>
      <c r="Z145" s="1">
        <v>7996.83</v>
      </c>
      <c r="AA145" s="1">
        <v>0</v>
      </c>
      <c r="AB145" s="28">
        <f t="shared" si="175"/>
        <v>0</v>
      </c>
      <c r="AC145" s="108">
        <v>0</v>
      </c>
      <c r="AD145" s="108">
        <v>0</v>
      </c>
      <c r="AE145" s="28">
        <f t="shared" si="150"/>
        <v>399841.2</v>
      </c>
      <c r="AF145" s="1">
        <v>0</v>
      </c>
      <c r="AG145" s="28">
        <f t="shared" si="176"/>
        <v>399841.2</v>
      </c>
      <c r="AH145" s="29" t="s">
        <v>586</v>
      </c>
      <c r="AI145" s="29"/>
      <c r="AJ145" s="1">
        <v>16106.21</v>
      </c>
      <c r="AK145" s="1">
        <v>2463.3000000000002</v>
      </c>
    </row>
    <row r="146" spans="1:37" s="174" customFormat="1" ht="141.75" x14ac:dyDescent="0.25">
      <c r="A146" s="348" t="s">
        <v>1735</v>
      </c>
      <c r="B146" s="37">
        <v>126286</v>
      </c>
      <c r="C146" s="24">
        <v>513</v>
      </c>
      <c r="D146" s="24" t="s">
        <v>176</v>
      </c>
      <c r="E146" s="21" t="s">
        <v>967</v>
      </c>
      <c r="F146" s="21" t="s">
        <v>1133</v>
      </c>
      <c r="G146" s="21" t="s">
        <v>1203</v>
      </c>
      <c r="H146" s="21" t="s">
        <v>1204</v>
      </c>
      <c r="I146" s="24" t="s">
        <v>185</v>
      </c>
      <c r="J146" s="21" t="s">
        <v>1205</v>
      </c>
      <c r="K146" s="7">
        <v>43451</v>
      </c>
      <c r="L146" s="7">
        <v>44182</v>
      </c>
      <c r="M146" s="47">
        <f t="shared" si="221"/>
        <v>85.000000627550136</v>
      </c>
      <c r="N146" s="24">
        <v>3</v>
      </c>
      <c r="O146" s="24" t="s">
        <v>1540</v>
      </c>
      <c r="P146" s="24" t="s">
        <v>1206</v>
      </c>
      <c r="Q146" s="24" t="s">
        <v>212</v>
      </c>
      <c r="R146" s="24" t="s">
        <v>547</v>
      </c>
      <c r="S146" s="28">
        <f t="shared" si="222"/>
        <v>2370328.59</v>
      </c>
      <c r="T146" s="1">
        <v>2370328.59</v>
      </c>
      <c r="U146" s="108">
        <v>0</v>
      </c>
      <c r="V146" s="27">
        <f t="shared" ref="V146:V147" si="227">W146+X146</f>
        <v>362520.82</v>
      </c>
      <c r="W146" s="1">
        <v>362520.82</v>
      </c>
      <c r="X146" s="108">
        <v>0</v>
      </c>
      <c r="Y146" s="28">
        <f t="shared" si="223"/>
        <v>55772.44</v>
      </c>
      <c r="Z146" s="1">
        <v>55772.44</v>
      </c>
      <c r="AA146" s="1">
        <v>0</v>
      </c>
      <c r="AB146" s="28">
        <f t="shared" ref="AB146:AB147" si="228">AC146+AD146</f>
        <v>0</v>
      </c>
      <c r="AC146" s="108">
        <v>0</v>
      </c>
      <c r="AD146" s="108">
        <v>0</v>
      </c>
      <c r="AE146" s="28">
        <f t="shared" ref="AE146:AE147" si="229">S146+V146+Y146+AB146</f>
        <v>2788621.8499999996</v>
      </c>
      <c r="AF146" s="1">
        <v>0</v>
      </c>
      <c r="AG146" s="28">
        <f t="shared" ref="AG146:AG147" si="230">AE146+AF146</f>
        <v>2788621.8499999996</v>
      </c>
      <c r="AH146" s="29" t="s">
        <v>586</v>
      </c>
      <c r="AI146" s="29" t="s">
        <v>185</v>
      </c>
      <c r="AJ146" s="1">
        <f>82670-5225.55</f>
        <v>77444.45</v>
      </c>
      <c r="AK146" s="1">
        <v>5225.55</v>
      </c>
    </row>
    <row r="147" spans="1:37" s="174" customFormat="1" ht="141.75" x14ac:dyDescent="0.25">
      <c r="A147" s="348" t="s">
        <v>1736</v>
      </c>
      <c r="B147" s="37">
        <v>129573</v>
      </c>
      <c r="C147" s="24">
        <v>665</v>
      </c>
      <c r="D147" s="24" t="s">
        <v>163</v>
      </c>
      <c r="E147" s="21" t="s">
        <v>967</v>
      </c>
      <c r="F147" s="21" t="s">
        <v>1416</v>
      </c>
      <c r="G147" s="21" t="s">
        <v>1539</v>
      </c>
      <c r="H147" s="21" t="s">
        <v>1540</v>
      </c>
      <c r="I147" s="24" t="s">
        <v>185</v>
      </c>
      <c r="J147" s="21" t="s">
        <v>1541</v>
      </c>
      <c r="K147" s="7">
        <v>43654</v>
      </c>
      <c r="L147" s="7">
        <v>44569</v>
      </c>
      <c r="M147" s="47">
        <f t="shared" si="221"/>
        <v>85.000000000000014</v>
      </c>
      <c r="N147" s="24">
        <v>3</v>
      </c>
      <c r="O147" s="24" t="s">
        <v>1540</v>
      </c>
      <c r="P147" s="24" t="s">
        <v>234</v>
      </c>
      <c r="Q147" s="24" t="s">
        <v>212</v>
      </c>
      <c r="R147" s="24" t="s">
        <v>547</v>
      </c>
      <c r="S147" s="28">
        <f t="shared" si="222"/>
        <v>2547988.73</v>
      </c>
      <c r="T147" s="1">
        <v>2547988.73</v>
      </c>
      <c r="U147" s="108">
        <v>0</v>
      </c>
      <c r="V147" s="27">
        <f t="shared" si="227"/>
        <v>389692.4</v>
      </c>
      <c r="W147" s="1">
        <v>389692.4</v>
      </c>
      <c r="X147" s="108">
        <v>0</v>
      </c>
      <c r="Y147" s="28">
        <f t="shared" si="223"/>
        <v>59952.67</v>
      </c>
      <c r="Z147" s="1">
        <v>59952.67</v>
      </c>
      <c r="AA147" s="1">
        <v>0</v>
      </c>
      <c r="AB147" s="28">
        <f t="shared" si="228"/>
        <v>0</v>
      </c>
      <c r="AC147" s="108">
        <v>0</v>
      </c>
      <c r="AD147" s="108">
        <v>0</v>
      </c>
      <c r="AE147" s="28">
        <f t="shared" si="229"/>
        <v>2997633.8</v>
      </c>
      <c r="AF147" s="1">
        <v>21896</v>
      </c>
      <c r="AG147" s="28">
        <f t="shared" si="230"/>
        <v>3019529.8</v>
      </c>
      <c r="AH147" s="29" t="s">
        <v>586</v>
      </c>
      <c r="AI147" s="29" t="s">
        <v>185</v>
      </c>
      <c r="AJ147" s="1">
        <v>0</v>
      </c>
      <c r="AK147" s="1">
        <v>0</v>
      </c>
    </row>
    <row r="148" spans="1:37" ht="189" x14ac:dyDescent="0.25">
      <c r="A148" s="348" t="s">
        <v>1737</v>
      </c>
      <c r="B148" s="20">
        <v>119208</v>
      </c>
      <c r="C148" s="16">
        <v>489</v>
      </c>
      <c r="D148" s="3" t="s">
        <v>168</v>
      </c>
      <c r="E148" s="21" t="s">
        <v>1040</v>
      </c>
      <c r="F148" s="22" t="s">
        <v>543</v>
      </c>
      <c r="G148" s="3" t="s">
        <v>1105</v>
      </c>
      <c r="H148" s="3" t="s">
        <v>1106</v>
      </c>
      <c r="I148" s="3" t="s">
        <v>422</v>
      </c>
      <c r="J148" s="25" t="s">
        <v>1107</v>
      </c>
      <c r="K148" s="7">
        <v>43396</v>
      </c>
      <c r="L148" s="7">
        <v>43884</v>
      </c>
      <c r="M148" s="47">
        <v>85</v>
      </c>
      <c r="N148" s="3">
        <v>1</v>
      </c>
      <c r="O148" s="3" t="s">
        <v>1104</v>
      </c>
      <c r="P148" s="3" t="s">
        <v>1108</v>
      </c>
      <c r="Q148" s="8" t="s">
        <v>212</v>
      </c>
      <c r="R148" s="3" t="s">
        <v>36</v>
      </c>
      <c r="S148" s="28">
        <f>T148+U148</f>
        <v>529360.44999999995</v>
      </c>
      <c r="T148" s="2">
        <v>529360.44999999995</v>
      </c>
      <c r="U148" s="2">
        <v>0</v>
      </c>
      <c r="V148" s="27">
        <f>W148+X148</f>
        <v>80961.009999999995</v>
      </c>
      <c r="W148" s="2">
        <v>80961.009999999995</v>
      </c>
      <c r="X148" s="2">
        <v>0</v>
      </c>
      <c r="Y148" s="27">
        <f>Z148+AA148</f>
        <v>12455.54</v>
      </c>
      <c r="Z148" s="2">
        <v>12455.54</v>
      </c>
      <c r="AA148" s="2">
        <v>0</v>
      </c>
      <c r="AB148" s="2">
        <f>AC148+AD148</f>
        <v>0</v>
      </c>
      <c r="AC148" s="2">
        <v>0</v>
      </c>
      <c r="AD148" s="2">
        <v>0</v>
      </c>
      <c r="AE148" s="28">
        <f>S148+V148+Y148+AB148</f>
        <v>622777</v>
      </c>
      <c r="AF148" s="2"/>
      <c r="AG148" s="2">
        <f>AE148+AF148</f>
        <v>622777</v>
      </c>
      <c r="AH148" s="29" t="s">
        <v>871</v>
      </c>
      <c r="AI148" s="30"/>
      <c r="AJ148" s="1">
        <f>20646.5+51929.52</f>
        <v>72576.01999999999</v>
      </c>
      <c r="AK148" s="31">
        <f>3157.7+7942.16</f>
        <v>11099.86</v>
      </c>
    </row>
    <row r="149" spans="1:37" ht="236.25" x14ac:dyDescent="0.25">
      <c r="A149" s="348" t="s">
        <v>1738</v>
      </c>
      <c r="B149" s="20">
        <v>122867</v>
      </c>
      <c r="C149" s="75">
        <v>105</v>
      </c>
      <c r="D149" s="20" t="s">
        <v>175</v>
      </c>
      <c r="E149" s="21" t="s">
        <v>967</v>
      </c>
      <c r="F149" s="22" t="s">
        <v>331</v>
      </c>
      <c r="G149" s="33" t="s">
        <v>980</v>
      </c>
      <c r="H149" s="33" t="s">
        <v>979</v>
      </c>
      <c r="I149" s="24" t="s">
        <v>981</v>
      </c>
      <c r="J149" s="34" t="s">
        <v>982</v>
      </c>
      <c r="K149" s="5">
        <v>43342</v>
      </c>
      <c r="L149" s="7">
        <v>43707</v>
      </c>
      <c r="M149" s="4">
        <f>S149/AE149*100</f>
        <v>84.194914940710191</v>
      </c>
      <c r="N149" s="3">
        <v>1</v>
      </c>
      <c r="O149" s="3" t="s">
        <v>983</v>
      </c>
      <c r="P149" s="3" t="s">
        <v>984</v>
      </c>
      <c r="Q149" s="8" t="s">
        <v>212</v>
      </c>
      <c r="R149" s="3" t="s">
        <v>36</v>
      </c>
      <c r="S149" s="2">
        <f>T149+U149</f>
        <v>351606.78</v>
      </c>
      <c r="T149" s="2">
        <v>351606.78</v>
      </c>
      <c r="U149" s="2">
        <v>0</v>
      </c>
      <c r="V149" s="2">
        <f>W149+X149</f>
        <v>57651.47</v>
      </c>
      <c r="W149" s="2">
        <v>57651.47</v>
      </c>
      <c r="X149" s="2">
        <v>0</v>
      </c>
      <c r="Y149" s="2">
        <f>Z149+AA149</f>
        <v>8352.2199999999993</v>
      </c>
      <c r="Z149" s="2">
        <v>8352.2199999999993</v>
      </c>
      <c r="AA149" s="2">
        <v>0</v>
      </c>
      <c r="AB149" s="2">
        <f>AC149+AD149</f>
        <v>0</v>
      </c>
      <c r="AC149" s="2"/>
      <c r="AD149" s="2"/>
      <c r="AE149" s="2">
        <f>S149+V149+Y149+AB149</f>
        <v>417610.47</v>
      </c>
      <c r="AF149" s="2"/>
      <c r="AG149" s="2">
        <f>AE149+AF149</f>
        <v>417610.47</v>
      </c>
      <c r="AH149" s="29" t="s">
        <v>586</v>
      </c>
      <c r="AI149" s="30" t="s">
        <v>349</v>
      </c>
      <c r="AJ149" s="31">
        <f>41760.02+3682.21+18068.95+21982.99+19777.03+31928.54+41760.02+8276.15+41760.02</f>
        <v>228995.92999999996</v>
      </c>
      <c r="AK149" s="31">
        <f>6030.95+4165.9+11886.5+8211.11</f>
        <v>30294.46</v>
      </c>
    </row>
    <row r="150" spans="1:37" ht="267.75" x14ac:dyDescent="0.25">
      <c r="A150" s="348" t="s">
        <v>1739</v>
      </c>
      <c r="B150" s="20">
        <v>126260</v>
      </c>
      <c r="C150" s="16">
        <v>526</v>
      </c>
      <c r="D150" s="3" t="s">
        <v>177</v>
      </c>
      <c r="E150" s="21" t="s">
        <v>967</v>
      </c>
      <c r="F150" s="22" t="s">
        <v>1133</v>
      </c>
      <c r="G150" s="23" t="s">
        <v>1145</v>
      </c>
      <c r="H150" s="23" t="s">
        <v>1144</v>
      </c>
      <c r="I150" s="3" t="s">
        <v>185</v>
      </c>
      <c r="J150" s="25" t="s">
        <v>1146</v>
      </c>
      <c r="K150" s="5">
        <v>43433</v>
      </c>
      <c r="L150" s="7">
        <v>44164</v>
      </c>
      <c r="M150" s="47">
        <f t="shared" ref="M150" si="231">S150/AE150*100</f>
        <v>84.999999887651384</v>
      </c>
      <c r="N150" s="3">
        <v>1</v>
      </c>
      <c r="O150" s="3" t="s">
        <v>983</v>
      </c>
      <c r="P150" s="3" t="s">
        <v>984</v>
      </c>
      <c r="Q150" s="8" t="s">
        <v>212</v>
      </c>
      <c r="R150" s="3" t="s">
        <v>36</v>
      </c>
      <c r="S150" s="28">
        <f t="shared" ref="S150" si="232">T150+U150</f>
        <v>2269720.81</v>
      </c>
      <c r="T150" s="2">
        <v>2269720.81</v>
      </c>
      <c r="U150" s="2">
        <v>0</v>
      </c>
      <c r="V150" s="27">
        <f t="shared" ref="V150" si="233">W150+X150</f>
        <v>347133.77</v>
      </c>
      <c r="W150" s="2">
        <v>347133.77</v>
      </c>
      <c r="X150" s="2">
        <v>0</v>
      </c>
      <c r="Y150" s="27">
        <f t="shared" ref="Y150" si="234">Z150+AA150</f>
        <v>53405.2</v>
      </c>
      <c r="Z150" s="2">
        <v>53405.2</v>
      </c>
      <c r="AA150" s="2">
        <v>0</v>
      </c>
      <c r="AB150" s="2">
        <f t="shared" ref="AB150" si="235">AC150+AD150</f>
        <v>0</v>
      </c>
      <c r="AC150" s="2">
        <v>0</v>
      </c>
      <c r="AD150" s="2">
        <v>0</v>
      </c>
      <c r="AE150" s="28">
        <f t="shared" ref="AE150" si="236">S150+V150+Y150+AB150</f>
        <v>2670259.7800000003</v>
      </c>
      <c r="AF150" s="2">
        <v>57120</v>
      </c>
      <c r="AG150" s="2">
        <f t="shared" ref="AG150" si="237">AE150+AF150</f>
        <v>2727379.7800000003</v>
      </c>
      <c r="AH150" s="29" t="s">
        <v>586</v>
      </c>
      <c r="AI150" s="30"/>
      <c r="AJ150" s="1">
        <v>62163.9</v>
      </c>
      <c r="AK150" s="31">
        <v>9507.42</v>
      </c>
    </row>
    <row r="151" spans="1:37" ht="409.5" x14ac:dyDescent="0.25">
      <c r="A151" s="348" t="s">
        <v>1740</v>
      </c>
      <c r="B151" s="20">
        <v>120572</v>
      </c>
      <c r="C151" s="16">
        <v>82</v>
      </c>
      <c r="D151" s="3" t="s">
        <v>684</v>
      </c>
      <c r="E151" s="21" t="s">
        <v>967</v>
      </c>
      <c r="F151" s="22" t="s">
        <v>331</v>
      </c>
      <c r="G151" s="23" t="s">
        <v>318</v>
      </c>
      <c r="H151" s="23" t="s">
        <v>319</v>
      </c>
      <c r="I151" s="3" t="s">
        <v>185</v>
      </c>
      <c r="J151" s="25" t="s">
        <v>748</v>
      </c>
      <c r="K151" s="5">
        <v>43171</v>
      </c>
      <c r="L151" s="7">
        <v>43658</v>
      </c>
      <c r="M151" s="4">
        <f t="shared" ref="M151:M153" si="238">S151/AE151*100</f>
        <v>85.000000359311386</v>
      </c>
      <c r="N151" s="3">
        <v>4</v>
      </c>
      <c r="O151" s="3" t="s">
        <v>320</v>
      </c>
      <c r="P151" s="3" t="s">
        <v>321</v>
      </c>
      <c r="Q151" s="8" t="s">
        <v>212</v>
      </c>
      <c r="R151" s="3" t="s">
        <v>36</v>
      </c>
      <c r="S151" s="27">
        <f t="shared" ref="S151:S153" si="239">T151+U151</f>
        <v>354845.43</v>
      </c>
      <c r="T151" s="2">
        <v>354845.43</v>
      </c>
      <c r="U151" s="2">
        <v>0</v>
      </c>
      <c r="V151" s="27">
        <f t="shared" si="173"/>
        <v>54270.48</v>
      </c>
      <c r="W151" s="2">
        <v>54270.48</v>
      </c>
      <c r="X151" s="2">
        <v>0</v>
      </c>
      <c r="Y151" s="27">
        <f t="shared" ref="Y151:Y153" si="240">Z151+AA151</f>
        <v>8349.2999999999993</v>
      </c>
      <c r="Z151" s="2">
        <v>8349.2999999999993</v>
      </c>
      <c r="AA151" s="2">
        <v>0</v>
      </c>
      <c r="AB151" s="2">
        <f t="shared" si="175"/>
        <v>0</v>
      </c>
      <c r="AC151" s="2"/>
      <c r="AD151" s="2"/>
      <c r="AE151" s="2">
        <f t="shared" si="150"/>
        <v>417465.20999999996</v>
      </c>
      <c r="AF151" s="2">
        <v>0</v>
      </c>
      <c r="AG151" s="2">
        <f t="shared" si="176"/>
        <v>417465.20999999996</v>
      </c>
      <c r="AH151" s="29" t="s">
        <v>1526</v>
      </c>
      <c r="AI151" s="30" t="s">
        <v>185</v>
      </c>
      <c r="AJ151" s="1">
        <f>14375+7002.3+6416.65+7759.57+9685.75+10731.25</f>
        <v>55970.52</v>
      </c>
      <c r="AK151" s="31">
        <f>2198.53+1070.94+981.37+1186.75+1481.35+1641.25</f>
        <v>8560.19</v>
      </c>
    </row>
    <row r="152" spans="1:37" ht="204.75" x14ac:dyDescent="0.25">
      <c r="A152" s="348" t="s">
        <v>1741</v>
      </c>
      <c r="B152" s="20">
        <v>118183</v>
      </c>
      <c r="C152" s="24">
        <v>422</v>
      </c>
      <c r="D152" s="3" t="s">
        <v>170</v>
      </c>
      <c r="E152" s="21" t="s">
        <v>704</v>
      </c>
      <c r="F152" s="22" t="s">
        <v>611</v>
      </c>
      <c r="G152" s="23" t="s">
        <v>747</v>
      </c>
      <c r="H152" s="23" t="s">
        <v>319</v>
      </c>
      <c r="I152" s="3" t="s">
        <v>185</v>
      </c>
      <c r="J152" s="21" t="s">
        <v>749</v>
      </c>
      <c r="K152" s="5">
        <v>43290</v>
      </c>
      <c r="L152" s="7">
        <v>43778</v>
      </c>
      <c r="M152" s="4">
        <f t="shared" si="238"/>
        <v>85.000012009815109</v>
      </c>
      <c r="N152" s="3">
        <v>4</v>
      </c>
      <c r="O152" s="3" t="s">
        <v>320</v>
      </c>
      <c r="P152" s="3" t="s">
        <v>321</v>
      </c>
      <c r="Q152" s="8" t="s">
        <v>212</v>
      </c>
      <c r="R152" s="24" t="s">
        <v>750</v>
      </c>
      <c r="S152" s="27">
        <f t="shared" si="239"/>
        <v>247714.09</v>
      </c>
      <c r="T152" s="2">
        <v>247714.09</v>
      </c>
      <c r="U152" s="2">
        <v>0</v>
      </c>
      <c r="V152" s="27">
        <f t="shared" si="173"/>
        <v>37885.64</v>
      </c>
      <c r="W152" s="1">
        <v>37885.64</v>
      </c>
      <c r="X152" s="2">
        <v>0</v>
      </c>
      <c r="Y152" s="27">
        <f t="shared" si="240"/>
        <v>5828.57</v>
      </c>
      <c r="Z152" s="1">
        <v>5828.57</v>
      </c>
      <c r="AA152" s="2">
        <v>0</v>
      </c>
      <c r="AB152" s="2">
        <f t="shared" si="175"/>
        <v>0</v>
      </c>
      <c r="AC152" s="35"/>
      <c r="AD152" s="35"/>
      <c r="AE152" s="2">
        <f t="shared" si="150"/>
        <v>291428.3</v>
      </c>
      <c r="AF152" s="2">
        <v>0</v>
      </c>
      <c r="AG152" s="2">
        <f t="shared" si="176"/>
        <v>291428.3</v>
      </c>
      <c r="AH152" s="29" t="s">
        <v>586</v>
      </c>
      <c r="AI152" s="30" t="s">
        <v>1319</v>
      </c>
      <c r="AJ152" s="2">
        <f>31913.97+11281.2+7318.5+6479.55</f>
        <v>56993.22</v>
      </c>
      <c r="AK152" s="2">
        <f>5112.75+1725.36+1119.3+990.99</f>
        <v>8948.4</v>
      </c>
    </row>
    <row r="153" spans="1:37" ht="220.5" x14ac:dyDescent="0.25">
      <c r="A153" s="348" t="s">
        <v>1742</v>
      </c>
      <c r="B153" s="20">
        <v>126174</v>
      </c>
      <c r="C153" s="24">
        <v>534</v>
      </c>
      <c r="D153" s="24" t="s">
        <v>174</v>
      </c>
      <c r="E153" s="21" t="s">
        <v>967</v>
      </c>
      <c r="F153" s="24" t="s">
        <v>1133</v>
      </c>
      <c r="G153" s="23" t="s">
        <v>1193</v>
      </c>
      <c r="H153" s="23" t="s">
        <v>1194</v>
      </c>
      <c r="I153" s="3" t="s">
        <v>185</v>
      </c>
      <c r="J153" s="25" t="s">
        <v>1195</v>
      </c>
      <c r="K153" s="5">
        <v>43447</v>
      </c>
      <c r="L153" s="7">
        <v>43995</v>
      </c>
      <c r="M153" s="4">
        <f t="shared" si="238"/>
        <v>85.000000333995757</v>
      </c>
      <c r="N153" s="3">
        <v>4</v>
      </c>
      <c r="O153" s="3" t="s">
        <v>320</v>
      </c>
      <c r="P153" s="3" t="s">
        <v>321</v>
      </c>
      <c r="Q153" s="8" t="s">
        <v>212</v>
      </c>
      <c r="R153" s="3" t="s">
        <v>36</v>
      </c>
      <c r="S153" s="27">
        <f t="shared" si="239"/>
        <v>2544942.5099999998</v>
      </c>
      <c r="T153" s="2">
        <v>2544942.5099999998</v>
      </c>
      <c r="U153" s="2">
        <v>0</v>
      </c>
      <c r="V153" s="27">
        <f t="shared" si="173"/>
        <v>389226.49</v>
      </c>
      <c r="W153" s="1">
        <v>389226.49</v>
      </c>
      <c r="X153" s="2">
        <v>0</v>
      </c>
      <c r="Y153" s="27">
        <f t="shared" si="240"/>
        <v>59881</v>
      </c>
      <c r="Z153" s="1">
        <v>59881</v>
      </c>
      <c r="AA153" s="2">
        <v>0</v>
      </c>
      <c r="AB153" s="2">
        <f t="shared" si="175"/>
        <v>0</v>
      </c>
      <c r="AC153" s="28">
        <v>0</v>
      </c>
      <c r="AD153" s="28">
        <v>0</v>
      </c>
      <c r="AE153" s="2">
        <f t="shared" si="150"/>
        <v>2994050</v>
      </c>
      <c r="AF153" s="2">
        <v>0</v>
      </c>
      <c r="AG153" s="2">
        <f t="shared" si="176"/>
        <v>2994050</v>
      </c>
      <c r="AH153" s="29" t="s">
        <v>586</v>
      </c>
      <c r="AI153" s="36"/>
      <c r="AJ153" s="2">
        <v>0</v>
      </c>
      <c r="AK153" s="2">
        <v>0</v>
      </c>
    </row>
    <row r="154" spans="1:37" ht="299.25" x14ac:dyDescent="0.25">
      <c r="A154" s="348" t="s">
        <v>1743</v>
      </c>
      <c r="B154" s="20">
        <v>120801</v>
      </c>
      <c r="C154" s="16">
        <v>87</v>
      </c>
      <c r="D154" s="3" t="s">
        <v>175</v>
      </c>
      <c r="E154" s="21" t="s">
        <v>967</v>
      </c>
      <c r="F154" s="22" t="s">
        <v>331</v>
      </c>
      <c r="G154" s="23" t="s">
        <v>299</v>
      </c>
      <c r="H154" s="23" t="s">
        <v>300</v>
      </c>
      <c r="I154" s="3" t="s">
        <v>301</v>
      </c>
      <c r="J154" s="25" t="s">
        <v>302</v>
      </c>
      <c r="K154" s="5">
        <v>43166</v>
      </c>
      <c r="L154" s="7">
        <v>43653</v>
      </c>
      <c r="M154" s="4">
        <f t="shared" ref="M154:M166" si="241">S154/AE154*100</f>
        <v>84.168038598864953</v>
      </c>
      <c r="N154" s="3">
        <v>3</v>
      </c>
      <c r="O154" s="3" t="s">
        <v>303</v>
      </c>
      <c r="P154" s="3" t="s">
        <v>304</v>
      </c>
      <c r="Q154" s="44" t="s">
        <v>212</v>
      </c>
      <c r="R154" s="3" t="s">
        <v>36</v>
      </c>
      <c r="S154" s="27">
        <f t="shared" ref="S154:S159" si="242">T154+U154</f>
        <v>357481.33</v>
      </c>
      <c r="T154" s="2">
        <v>357481.33</v>
      </c>
      <c r="U154" s="2">
        <v>0</v>
      </c>
      <c r="V154" s="27">
        <f t="shared" si="173"/>
        <v>58747.57</v>
      </c>
      <c r="W154" s="2">
        <v>58747.57</v>
      </c>
      <c r="X154" s="2">
        <v>0</v>
      </c>
      <c r="Y154" s="27">
        <f t="shared" ref="Y154:Y159" si="243">Z154+AA154</f>
        <v>8494.4699999999993</v>
      </c>
      <c r="Z154" s="2">
        <v>8494.4699999999993</v>
      </c>
      <c r="AA154" s="2">
        <v>0</v>
      </c>
      <c r="AB154" s="2">
        <f t="shared" si="175"/>
        <v>0</v>
      </c>
      <c r="AC154" s="2"/>
      <c r="AD154" s="2"/>
      <c r="AE154" s="2">
        <f t="shared" si="150"/>
        <v>424723.37</v>
      </c>
      <c r="AF154" s="2">
        <v>0</v>
      </c>
      <c r="AG154" s="2">
        <f t="shared" si="176"/>
        <v>424723.37</v>
      </c>
      <c r="AH154" s="29" t="s">
        <v>1072</v>
      </c>
      <c r="AI154" s="30" t="s">
        <v>185</v>
      </c>
      <c r="AJ154" s="1">
        <f>70082.64+38337.49-1246.56+48094.29</f>
        <v>155267.86000000002</v>
      </c>
      <c r="AK154" s="31">
        <f>4618.03+6264.08+1246.56+6443.69</f>
        <v>18572.36</v>
      </c>
    </row>
    <row r="155" spans="1:37" ht="346.5" x14ac:dyDescent="0.25">
      <c r="A155" s="348" t="s">
        <v>1744</v>
      </c>
      <c r="B155" s="20">
        <v>119511</v>
      </c>
      <c r="C155" s="24">
        <v>464</v>
      </c>
      <c r="D155" s="3" t="s">
        <v>172</v>
      </c>
      <c r="E155" s="24" t="s">
        <v>1040</v>
      </c>
      <c r="F155" s="3" t="s">
        <v>543</v>
      </c>
      <c r="G155" s="23" t="s">
        <v>544</v>
      </c>
      <c r="H155" s="23" t="s">
        <v>545</v>
      </c>
      <c r="I155" s="3" t="s">
        <v>349</v>
      </c>
      <c r="J155" s="23" t="s">
        <v>546</v>
      </c>
      <c r="K155" s="5">
        <v>43257</v>
      </c>
      <c r="L155" s="7">
        <v>43744</v>
      </c>
      <c r="M155" s="4">
        <f t="shared" si="241"/>
        <v>85.000000259943448</v>
      </c>
      <c r="N155" s="17">
        <v>3</v>
      </c>
      <c r="O155" s="24" t="s">
        <v>429</v>
      </c>
      <c r="P155" s="24" t="s">
        <v>304</v>
      </c>
      <c r="Q155" s="24" t="s">
        <v>212</v>
      </c>
      <c r="R155" s="24" t="s">
        <v>547</v>
      </c>
      <c r="S155" s="27">
        <f t="shared" si="242"/>
        <v>490491.32</v>
      </c>
      <c r="T155" s="2">
        <v>490491.32</v>
      </c>
      <c r="U155" s="2">
        <v>0</v>
      </c>
      <c r="V155" s="27">
        <f t="shared" si="173"/>
        <v>75016.320000000007</v>
      </c>
      <c r="W155" s="2">
        <v>75016.320000000007</v>
      </c>
      <c r="X155" s="2">
        <v>0</v>
      </c>
      <c r="Y155" s="27">
        <f t="shared" si="243"/>
        <v>11540.97</v>
      </c>
      <c r="Z155" s="31">
        <v>11540.97</v>
      </c>
      <c r="AA155" s="31">
        <v>0</v>
      </c>
      <c r="AB155" s="2">
        <f t="shared" si="175"/>
        <v>0</v>
      </c>
      <c r="AC155" s="28">
        <v>0</v>
      </c>
      <c r="AD155" s="28">
        <v>0</v>
      </c>
      <c r="AE155" s="2">
        <f>S155+V155+Y155+AB155</f>
        <v>577048.61</v>
      </c>
      <c r="AF155" s="105">
        <v>0</v>
      </c>
      <c r="AG155" s="2">
        <f t="shared" si="176"/>
        <v>577048.61</v>
      </c>
      <c r="AH155" s="29" t="s">
        <v>586</v>
      </c>
      <c r="AI155" s="36" t="s">
        <v>1283</v>
      </c>
      <c r="AJ155" s="40">
        <f>57677.81+46119.33+94319.49+91972.76</f>
        <v>290089.39</v>
      </c>
      <c r="AK155" s="31">
        <f>8821.31+7053.55+14425.33+14066.43</f>
        <v>44366.62</v>
      </c>
    </row>
    <row r="156" spans="1:37" s="175" customFormat="1" ht="299.25" x14ac:dyDescent="0.25">
      <c r="A156" s="348" t="s">
        <v>1745</v>
      </c>
      <c r="B156" s="37">
        <v>118799</v>
      </c>
      <c r="C156" s="24">
        <v>447</v>
      </c>
      <c r="D156" s="24" t="s">
        <v>843</v>
      </c>
      <c r="E156" s="21" t="s">
        <v>704</v>
      </c>
      <c r="F156" s="21" t="s">
        <v>611</v>
      </c>
      <c r="G156" s="21" t="s">
        <v>1130</v>
      </c>
      <c r="H156" s="23" t="s">
        <v>300</v>
      </c>
      <c r="I156" s="24" t="s">
        <v>1131</v>
      </c>
      <c r="J156" s="21" t="s">
        <v>1132</v>
      </c>
      <c r="K156" s="7">
        <v>43425</v>
      </c>
      <c r="L156" s="7">
        <v>43911</v>
      </c>
      <c r="M156" s="47">
        <f t="shared" si="241"/>
        <v>84.156465769886722</v>
      </c>
      <c r="N156" s="3">
        <v>3</v>
      </c>
      <c r="O156" s="3" t="s">
        <v>303</v>
      </c>
      <c r="P156" s="3" t="s">
        <v>304</v>
      </c>
      <c r="Q156" s="44" t="s">
        <v>212</v>
      </c>
      <c r="R156" s="3" t="s">
        <v>36</v>
      </c>
      <c r="S156" s="27">
        <f t="shared" si="242"/>
        <v>242273.69</v>
      </c>
      <c r="T156" s="28">
        <v>242273.69</v>
      </c>
      <c r="U156" s="28">
        <v>0</v>
      </c>
      <c r="V156" s="27">
        <f t="shared" si="173"/>
        <v>39853.42</v>
      </c>
      <c r="W156" s="28">
        <v>39853.42</v>
      </c>
      <c r="X156" s="28">
        <v>0</v>
      </c>
      <c r="Y156" s="27">
        <f t="shared" si="243"/>
        <v>2900.77</v>
      </c>
      <c r="Z156" s="1">
        <v>2900.77</v>
      </c>
      <c r="AA156" s="1">
        <v>0</v>
      </c>
      <c r="AB156" s="28">
        <f t="shared" si="175"/>
        <v>2856.94</v>
      </c>
      <c r="AC156" s="28">
        <v>2856.94</v>
      </c>
      <c r="AD156" s="28">
        <v>0</v>
      </c>
      <c r="AE156" s="28">
        <f t="shared" ref="AE156:AE159" si="244">S156+V156+Y156+AB156</f>
        <v>287884.82</v>
      </c>
      <c r="AF156" s="29">
        <v>0</v>
      </c>
      <c r="AG156" s="28">
        <f>AE156+AF156</f>
        <v>287884.82</v>
      </c>
      <c r="AH156" s="29" t="s">
        <v>586</v>
      </c>
      <c r="AI156" s="29"/>
      <c r="AJ156" s="40">
        <f>14394.24+4020.28+12528.17+14000</f>
        <v>44942.69</v>
      </c>
      <c r="AK156" s="31">
        <v>2871.93</v>
      </c>
    </row>
    <row r="157" spans="1:37" ht="315" x14ac:dyDescent="0.25">
      <c r="A157" s="348" t="s">
        <v>1746</v>
      </c>
      <c r="B157" s="20">
        <v>126115</v>
      </c>
      <c r="C157" s="24">
        <v>542</v>
      </c>
      <c r="D157" s="3" t="s">
        <v>175</v>
      </c>
      <c r="E157" s="21" t="s">
        <v>967</v>
      </c>
      <c r="F157" s="23" t="s">
        <v>1133</v>
      </c>
      <c r="G157" s="23" t="s">
        <v>1360</v>
      </c>
      <c r="H157" s="23" t="s">
        <v>545</v>
      </c>
      <c r="I157" s="3" t="s">
        <v>422</v>
      </c>
      <c r="J157" s="82" t="s">
        <v>1361</v>
      </c>
      <c r="K157" s="5">
        <v>43564</v>
      </c>
      <c r="L157" s="7">
        <v>44173</v>
      </c>
      <c r="M157" s="4">
        <f t="shared" si="241"/>
        <v>85.000000984188233</v>
      </c>
      <c r="N157" s="3">
        <v>3</v>
      </c>
      <c r="O157" s="3" t="s">
        <v>303</v>
      </c>
      <c r="P157" s="3" t="s">
        <v>545</v>
      </c>
      <c r="Q157" s="44" t="s">
        <v>212</v>
      </c>
      <c r="R157" s="3" t="s">
        <v>36</v>
      </c>
      <c r="S157" s="27">
        <f t="shared" si="242"/>
        <v>431827.97</v>
      </c>
      <c r="T157" s="2">
        <v>431827.97</v>
      </c>
      <c r="U157" s="2">
        <v>0</v>
      </c>
      <c r="V157" s="27">
        <f t="shared" si="173"/>
        <v>66044.27</v>
      </c>
      <c r="W157" s="2">
        <v>66044.27</v>
      </c>
      <c r="X157" s="2">
        <v>0</v>
      </c>
      <c r="Y157" s="27">
        <f t="shared" si="243"/>
        <v>10160.66</v>
      </c>
      <c r="Z157" s="31">
        <v>10160.66</v>
      </c>
      <c r="AA157" s="31">
        <v>0</v>
      </c>
      <c r="AB157" s="2">
        <f t="shared" si="175"/>
        <v>0</v>
      </c>
      <c r="AC157" s="176">
        <v>0</v>
      </c>
      <c r="AD157" s="176">
        <v>0</v>
      </c>
      <c r="AE157" s="2">
        <f t="shared" si="244"/>
        <v>508032.89999999997</v>
      </c>
      <c r="AF157" s="31">
        <v>0</v>
      </c>
      <c r="AG157" s="2">
        <f t="shared" si="176"/>
        <v>508032.89999999997</v>
      </c>
      <c r="AH157" s="29" t="s">
        <v>586</v>
      </c>
      <c r="AI157" s="36"/>
      <c r="AJ157" s="40">
        <v>0</v>
      </c>
      <c r="AK157" s="40">
        <v>0</v>
      </c>
    </row>
    <row r="158" spans="1:37" ht="141.75" x14ac:dyDescent="0.25">
      <c r="A158" s="348" t="s">
        <v>1747</v>
      </c>
      <c r="B158" s="20">
        <v>129261</v>
      </c>
      <c r="C158" s="24">
        <v>648</v>
      </c>
      <c r="D158" s="3" t="s">
        <v>163</v>
      </c>
      <c r="E158" s="21" t="s">
        <v>967</v>
      </c>
      <c r="F158" s="23" t="s">
        <v>1416</v>
      </c>
      <c r="G158" s="59" t="s">
        <v>1504</v>
      </c>
      <c r="H158" s="23" t="s">
        <v>1503</v>
      </c>
      <c r="I158" s="3" t="s">
        <v>185</v>
      </c>
      <c r="J158" s="23" t="s">
        <v>1505</v>
      </c>
      <c r="K158" s="5">
        <v>43643</v>
      </c>
      <c r="L158" s="7">
        <v>44192</v>
      </c>
      <c r="M158" s="4">
        <f t="shared" si="241"/>
        <v>84.999999897463027</v>
      </c>
      <c r="N158" s="3">
        <v>3</v>
      </c>
      <c r="O158" s="3" t="s">
        <v>303</v>
      </c>
      <c r="P158" s="3" t="s">
        <v>545</v>
      </c>
      <c r="Q158" s="44" t="s">
        <v>212</v>
      </c>
      <c r="R158" s="3" t="s">
        <v>36</v>
      </c>
      <c r="S158" s="27">
        <f t="shared" si="242"/>
        <v>2486907.71</v>
      </c>
      <c r="T158" s="2">
        <v>2486907.71</v>
      </c>
      <c r="U158" s="2">
        <v>0</v>
      </c>
      <c r="V158" s="27">
        <f t="shared" si="173"/>
        <v>380350.59</v>
      </c>
      <c r="W158" s="2">
        <v>380350.59</v>
      </c>
      <c r="X158" s="2">
        <v>0</v>
      </c>
      <c r="Y158" s="27">
        <f t="shared" si="243"/>
        <v>58515.48</v>
      </c>
      <c r="Z158" s="31">
        <v>58515.48</v>
      </c>
      <c r="AA158" s="31">
        <v>0</v>
      </c>
      <c r="AB158" s="2">
        <f t="shared" si="175"/>
        <v>0</v>
      </c>
      <c r="AC158" s="176">
        <v>0</v>
      </c>
      <c r="AD158" s="176">
        <v>0</v>
      </c>
      <c r="AE158" s="2">
        <f t="shared" si="244"/>
        <v>2925773.78</v>
      </c>
      <c r="AF158" s="31">
        <v>0</v>
      </c>
      <c r="AG158" s="2">
        <f t="shared" si="176"/>
        <v>2925773.78</v>
      </c>
      <c r="AH158" s="29" t="s">
        <v>586</v>
      </c>
      <c r="AI158" s="36"/>
      <c r="AJ158" s="40"/>
      <c r="AK158" s="40"/>
    </row>
    <row r="159" spans="1:37" ht="378" x14ac:dyDescent="0.25">
      <c r="A159" s="348" t="s">
        <v>1748</v>
      </c>
      <c r="B159" s="20">
        <v>129205</v>
      </c>
      <c r="C159" s="24">
        <v>684</v>
      </c>
      <c r="D159" s="3" t="s">
        <v>177</v>
      </c>
      <c r="E159" s="21" t="s">
        <v>967</v>
      </c>
      <c r="F159" s="23" t="s">
        <v>1416</v>
      </c>
      <c r="G159" s="59" t="s">
        <v>1532</v>
      </c>
      <c r="H159" s="23" t="s">
        <v>545</v>
      </c>
      <c r="I159" s="3" t="s">
        <v>185</v>
      </c>
      <c r="J159" s="23" t="s">
        <v>1533</v>
      </c>
      <c r="K159" s="5">
        <v>43654</v>
      </c>
      <c r="L159" s="7">
        <v>44569</v>
      </c>
      <c r="M159" s="4">
        <f t="shared" ref="M159" si="245">S159/AE159*100</f>
        <v>84.99999990778575</v>
      </c>
      <c r="N159" s="3">
        <v>3</v>
      </c>
      <c r="O159" s="3" t="s">
        <v>303</v>
      </c>
      <c r="P159" s="3" t="s">
        <v>545</v>
      </c>
      <c r="Q159" s="44" t="s">
        <v>212</v>
      </c>
      <c r="R159" s="3" t="s">
        <v>36</v>
      </c>
      <c r="S159" s="27">
        <f t="shared" si="242"/>
        <v>2304415.83</v>
      </c>
      <c r="T159" s="2">
        <v>2304415.83</v>
      </c>
      <c r="U159" s="2">
        <v>0</v>
      </c>
      <c r="V159" s="27">
        <f t="shared" si="173"/>
        <v>352440.07</v>
      </c>
      <c r="W159" s="2">
        <v>352440.07</v>
      </c>
      <c r="X159" s="2">
        <v>0</v>
      </c>
      <c r="Y159" s="27">
        <f t="shared" si="243"/>
        <v>54221.55</v>
      </c>
      <c r="Z159" s="31">
        <v>54221.55</v>
      </c>
      <c r="AA159" s="31">
        <v>0</v>
      </c>
      <c r="AB159" s="2">
        <f t="shared" si="175"/>
        <v>0</v>
      </c>
      <c r="AC159" s="176">
        <v>0</v>
      </c>
      <c r="AD159" s="176">
        <v>0</v>
      </c>
      <c r="AE159" s="2">
        <f t="shared" si="244"/>
        <v>2711077.4499999997</v>
      </c>
      <c r="AF159" s="31"/>
      <c r="AG159" s="2">
        <f t="shared" si="176"/>
        <v>2711077.4499999997</v>
      </c>
      <c r="AH159" s="29" t="s">
        <v>586</v>
      </c>
      <c r="AI159" s="36"/>
      <c r="AJ159" s="40"/>
      <c r="AK159" s="40"/>
    </row>
    <row r="160" spans="1:37" ht="220.5" x14ac:dyDescent="0.25">
      <c r="A160" s="348" t="s">
        <v>1749</v>
      </c>
      <c r="B160" s="20">
        <v>118062</v>
      </c>
      <c r="C160" s="16">
        <v>421</v>
      </c>
      <c r="D160" s="17" t="s">
        <v>171</v>
      </c>
      <c r="E160" s="21" t="s">
        <v>704</v>
      </c>
      <c r="F160" s="22" t="s">
        <v>611</v>
      </c>
      <c r="G160" s="77" t="s">
        <v>1122</v>
      </c>
      <c r="H160" s="177" t="s">
        <v>1123</v>
      </c>
      <c r="I160" s="17" t="s">
        <v>939</v>
      </c>
      <c r="J160" s="23" t="s">
        <v>1125</v>
      </c>
      <c r="K160" s="5">
        <v>43412</v>
      </c>
      <c r="L160" s="7">
        <v>43807</v>
      </c>
      <c r="M160" s="17">
        <f t="shared" si="241"/>
        <v>85.000007860659679</v>
      </c>
      <c r="N160" s="17">
        <v>6</v>
      </c>
      <c r="O160" s="17" t="s">
        <v>430</v>
      </c>
      <c r="P160" s="17" t="s">
        <v>350</v>
      </c>
      <c r="Q160" s="178" t="s">
        <v>212</v>
      </c>
      <c r="R160" s="77" t="s">
        <v>36</v>
      </c>
      <c r="S160" s="27">
        <f>T160+U160</f>
        <v>308180.27</v>
      </c>
      <c r="T160" s="35">
        <v>308180.27</v>
      </c>
      <c r="U160" s="35">
        <v>0</v>
      </c>
      <c r="V160" s="27">
        <f t="shared" si="173"/>
        <v>47133.4</v>
      </c>
      <c r="W160" s="35">
        <v>47133.4</v>
      </c>
      <c r="X160" s="35">
        <v>0</v>
      </c>
      <c r="Y160" s="60">
        <f>Z160+AA160</f>
        <v>7251.32</v>
      </c>
      <c r="Z160" s="60">
        <v>7251.32</v>
      </c>
      <c r="AA160" s="60">
        <v>0</v>
      </c>
      <c r="AB160" s="2">
        <f t="shared" si="175"/>
        <v>0</v>
      </c>
      <c r="AC160" s="179">
        <v>0</v>
      </c>
      <c r="AD160" s="179">
        <v>0</v>
      </c>
      <c r="AE160" s="2">
        <f t="shared" ref="AE160:AE221" si="246">S160+V160+Y160+AB160</f>
        <v>362564.99000000005</v>
      </c>
      <c r="AF160" s="179">
        <v>0</v>
      </c>
      <c r="AG160" s="2">
        <f t="shared" si="176"/>
        <v>362564.99000000005</v>
      </c>
      <c r="AH160" s="29" t="s">
        <v>871</v>
      </c>
      <c r="AI160" s="36" t="s">
        <v>939</v>
      </c>
      <c r="AJ160" s="40">
        <v>6448.1</v>
      </c>
      <c r="AK160" s="1">
        <v>986.18</v>
      </c>
    </row>
    <row r="161" spans="1:37" ht="315" x14ac:dyDescent="0.25">
      <c r="A161" s="348" t="s">
        <v>1750</v>
      </c>
      <c r="B161" s="3">
        <v>126302</v>
      </c>
      <c r="C161" s="16">
        <v>521</v>
      </c>
      <c r="D161" s="17" t="s">
        <v>177</v>
      </c>
      <c r="E161" s="21" t="s">
        <v>967</v>
      </c>
      <c r="F161" s="23" t="s">
        <v>1133</v>
      </c>
      <c r="G161" s="79" t="s">
        <v>1184</v>
      </c>
      <c r="H161" s="79" t="s">
        <v>348</v>
      </c>
      <c r="I161" s="24" t="s">
        <v>185</v>
      </c>
      <c r="J161" s="25" t="s">
        <v>1185</v>
      </c>
      <c r="K161" s="5">
        <v>43447</v>
      </c>
      <c r="L161" s="7">
        <v>44360</v>
      </c>
      <c r="M161" s="4">
        <f>S161/AE161*100</f>
        <v>85.000000283587156</v>
      </c>
      <c r="N161" s="3">
        <v>6</v>
      </c>
      <c r="O161" s="17" t="s">
        <v>430</v>
      </c>
      <c r="P161" s="3" t="s">
        <v>350</v>
      </c>
      <c r="Q161" s="8" t="s">
        <v>212</v>
      </c>
      <c r="R161" s="3" t="s">
        <v>36</v>
      </c>
      <c r="S161" s="27">
        <f>T161+U161</f>
        <v>2697583.52</v>
      </c>
      <c r="T161" s="2">
        <v>2697583.52</v>
      </c>
      <c r="U161" s="2">
        <v>0</v>
      </c>
      <c r="V161" s="27">
        <f>W161+X161</f>
        <v>412571.59</v>
      </c>
      <c r="W161" s="2">
        <v>412571.59</v>
      </c>
      <c r="X161" s="2">
        <v>0</v>
      </c>
      <c r="Y161" s="27">
        <f>Z161+AA161</f>
        <v>63472.55</v>
      </c>
      <c r="Z161" s="2">
        <v>63472.55</v>
      </c>
      <c r="AA161" s="1">
        <v>0</v>
      </c>
      <c r="AB161" s="2">
        <f>AC161+AD161</f>
        <v>0</v>
      </c>
      <c r="AC161" s="2">
        <v>0</v>
      </c>
      <c r="AD161" s="2">
        <v>0</v>
      </c>
      <c r="AE161" s="2">
        <f>S161+V161+Y161+AB161</f>
        <v>3173627.6599999997</v>
      </c>
      <c r="AF161" s="2">
        <v>44744</v>
      </c>
      <c r="AG161" s="2">
        <f>AE161+AF161</f>
        <v>3218371.6599999997</v>
      </c>
      <c r="AH161" s="29" t="s">
        <v>586</v>
      </c>
      <c r="AI161" s="36"/>
      <c r="AJ161" s="40">
        <v>317362.76</v>
      </c>
      <c r="AK161" s="1">
        <v>0</v>
      </c>
    </row>
    <row r="162" spans="1:37" ht="409.5" x14ac:dyDescent="0.25">
      <c r="A162" s="348" t="s">
        <v>1751</v>
      </c>
      <c r="B162" s="15">
        <v>126243</v>
      </c>
      <c r="C162" s="16">
        <v>549</v>
      </c>
      <c r="D162" s="17" t="s">
        <v>175</v>
      </c>
      <c r="E162" s="24" t="s">
        <v>967</v>
      </c>
      <c r="F162" s="3" t="s">
        <v>1133</v>
      </c>
      <c r="G162" s="79" t="s">
        <v>1346</v>
      </c>
      <c r="H162" s="79" t="s">
        <v>1123</v>
      </c>
      <c r="I162" s="24" t="s">
        <v>422</v>
      </c>
      <c r="J162" s="79" t="s">
        <v>1347</v>
      </c>
      <c r="K162" s="5">
        <v>43556</v>
      </c>
      <c r="L162" s="7">
        <v>44316</v>
      </c>
      <c r="M162" s="17">
        <f t="shared" si="241"/>
        <v>84.9999995883324</v>
      </c>
      <c r="N162" s="17">
        <v>6</v>
      </c>
      <c r="O162" s="17" t="s">
        <v>430</v>
      </c>
      <c r="P162" s="17" t="s">
        <v>354</v>
      </c>
      <c r="Q162" s="17" t="s">
        <v>212</v>
      </c>
      <c r="R162" s="3" t="s">
        <v>1156</v>
      </c>
      <c r="S162" s="27">
        <f>T162+U162</f>
        <v>2477727.14</v>
      </c>
      <c r="T162" s="2">
        <v>2477727.14</v>
      </c>
      <c r="U162" s="2">
        <v>0</v>
      </c>
      <c r="V162" s="27">
        <f t="shared" si="173"/>
        <v>378946.5</v>
      </c>
      <c r="W162" s="2">
        <v>378946.5</v>
      </c>
      <c r="X162" s="2">
        <v>0</v>
      </c>
      <c r="Y162" s="27">
        <f>Z162+AA162</f>
        <v>58299.48</v>
      </c>
      <c r="Z162" s="2">
        <v>58299.48</v>
      </c>
      <c r="AA162" s="2">
        <v>0</v>
      </c>
      <c r="AB162" s="2">
        <f t="shared" si="175"/>
        <v>0</v>
      </c>
      <c r="AC162" s="2">
        <v>0</v>
      </c>
      <c r="AD162" s="2">
        <v>0</v>
      </c>
      <c r="AE162" s="2">
        <f t="shared" si="246"/>
        <v>2914973.12</v>
      </c>
      <c r="AF162" s="2">
        <v>16660</v>
      </c>
      <c r="AG162" s="2">
        <f t="shared" si="176"/>
        <v>2931633.12</v>
      </c>
      <c r="AH162" s="29" t="s">
        <v>586</v>
      </c>
      <c r="AI162" s="36"/>
      <c r="AJ162" s="1">
        <v>0</v>
      </c>
      <c r="AK162" s="1">
        <v>0</v>
      </c>
    </row>
    <row r="163" spans="1:37" ht="378" x14ac:dyDescent="0.25">
      <c r="A163" s="348" t="s">
        <v>1752</v>
      </c>
      <c r="B163" s="20">
        <v>119429</v>
      </c>
      <c r="C163" s="75">
        <v>472</v>
      </c>
      <c r="D163" s="20" t="s">
        <v>684</v>
      </c>
      <c r="E163" s="24" t="s">
        <v>1040</v>
      </c>
      <c r="F163" s="22" t="s">
        <v>543</v>
      </c>
      <c r="G163" s="33" t="s">
        <v>824</v>
      </c>
      <c r="H163" s="33" t="s">
        <v>1121</v>
      </c>
      <c r="I163" s="24" t="s">
        <v>422</v>
      </c>
      <c r="J163" s="6" t="s">
        <v>825</v>
      </c>
      <c r="K163" s="5">
        <v>43304</v>
      </c>
      <c r="L163" s="7">
        <v>43669</v>
      </c>
      <c r="M163" s="4">
        <f t="shared" si="241"/>
        <v>85.000001381242228</v>
      </c>
      <c r="N163" s="3">
        <v>6</v>
      </c>
      <c r="O163" s="3" t="s">
        <v>823</v>
      </c>
      <c r="P163" s="3" t="s">
        <v>822</v>
      </c>
      <c r="Q163" s="8" t="s">
        <v>212</v>
      </c>
      <c r="R163" s="3" t="s">
        <v>547</v>
      </c>
      <c r="S163" s="2">
        <f t="shared" ref="S163:S165" si="247">T163+U163</f>
        <v>215385.83</v>
      </c>
      <c r="T163" s="2">
        <v>215385.83</v>
      </c>
      <c r="U163" s="2">
        <v>0</v>
      </c>
      <c r="V163" s="2">
        <f t="shared" si="173"/>
        <v>32941.35</v>
      </c>
      <c r="W163" s="2">
        <v>32941.35</v>
      </c>
      <c r="X163" s="2">
        <v>0</v>
      </c>
      <c r="Y163" s="2">
        <f t="shared" ref="Y163:Y165" si="248">Z163+AA163</f>
        <v>5067.91</v>
      </c>
      <c r="Z163" s="2">
        <v>5067.91</v>
      </c>
      <c r="AA163" s="2">
        <v>0</v>
      </c>
      <c r="AB163" s="2">
        <f t="shared" si="175"/>
        <v>0</v>
      </c>
      <c r="AC163" s="2">
        <v>0</v>
      </c>
      <c r="AD163" s="2">
        <v>0</v>
      </c>
      <c r="AE163" s="2">
        <f t="shared" si="246"/>
        <v>253395.09</v>
      </c>
      <c r="AF163" s="2"/>
      <c r="AG163" s="2">
        <f t="shared" si="176"/>
        <v>253395.09</v>
      </c>
      <c r="AH163" s="29" t="s">
        <v>1526</v>
      </c>
      <c r="AI163" s="30"/>
      <c r="AJ163" s="1">
        <f>9089.05+29577.7+15247.3+43458.57</f>
        <v>97372.62</v>
      </c>
      <c r="AK163" s="31">
        <f>1390.09+4523.64+2331.94+6646.61</f>
        <v>14892.279999999999</v>
      </c>
    </row>
    <row r="164" spans="1:37" ht="270" x14ac:dyDescent="0.25">
      <c r="A164" s="348" t="s">
        <v>1753</v>
      </c>
      <c r="B164" s="20">
        <v>121622</v>
      </c>
      <c r="C164" s="16">
        <v>99</v>
      </c>
      <c r="D164" s="3" t="s">
        <v>175</v>
      </c>
      <c r="E164" s="21" t="s">
        <v>967</v>
      </c>
      <c r="F164" s="22" t="s">
        <v>331</v>
      </c>
      <c r="G164" s="33" t="s">
        <v>347</v>
      </c>
      <c r="H164" s="23" t="s">
        <v>352</v>
      </c>
      <c r="I164" s="24" t="s">
        <v>349</v>
      </c>
      <c r="J164" s="66" t="s">
        <v>346</v>
      </c>
      <c r="K164" s="5">
        <v>43188</v>
      </c>
      <c r="L164" s="7">
        <v>43737</v>
      </c>
      <c r="M164" s="4">
        <f t="shared" si="241"/>
        <v>84.999999426373932</v>
      </c>
      <c r="N164" s="3" t="s">
        <v>155</v>
      </c>
      <c r="O164" s="3" t="s">
        <v>354</v>
      </c>
      <c r="P164" s="3" t="s">
        <v>354</v>
      </c>
      <c r="Q164" s="8" t="s">
        <v>212</v>
      </c>
      <c r="R164" s="3" t="s">
        <v>36</v>
      </c>
      <c r="S164" s="2">
        <f t="shared" si="247"/>
        <v>444540.46</v>
      </c>
      <c r="T164" s="2">
        <v>444540.46</v>
      </c>
      <c r="U164" s="2">
        <v>0</v>
      </c>
      <c r="V164" s="2">
        <f t="shared" si="173"/>
        <v>67988.539999999994</v>
      </c>
      <c r="W164" s="2">
        <v>67988.539999999994</v>
      </c>
      <c r="X164" s="2">
        <v>0</v>
      </c>
      <c r="Y164" s="2">
        <f t="shared" si="248"/>
        <v>10459.780000000001</v>
      </c>
      <c r="Z164" s="27">
        <v>10459.780000000001</v>
      </c>
      <c r="AA164" s="2">
        <v>0</v>
      </c>
      <c r="AB164" s="2">
        <f t="shared" si="175"/>
        <v>0</v>
      </c>
      <c r="AC164" s="2"/>
      <c r="AD164" s="2"/>
      <c r="AE164" s="2">
        <f t="shared" si="246"/>
        <v>522988.78</v>
      </c>
      <c r="AF164" s="2">
        <v>0</v>
      </c>
      <c r="AG164" s="2">
        <f t="shared" si="176"/>
        <v>522988.78</v>
      </c>
      <c r="AH164" s="29" t="s">
        <v>586</v>
      </c>
      <c r="AI164" s="30" t="s">
        <v>1251</v>
      </c>
      <c r="AJ164" s="1">
        <f>14488.25+50968.69+59419.29+14618.26+66415.01</f>
        <v>205909.5</v>
      </c>
      <c r="AK164" s="31">
        <f>2215.85+7795.21+9087.66+2235.73+10157.58</f>
        <v>31492.03</v>
      </c>
    </row>
    <row r="165" spans="1:37" ht="255" x14ac:dyDescent="0.25">
      <c r="A165" s="348" t="s">
        <v>1754</v>
      </c>
      <c r="B165" s="20">
        <v>121536</v>
      </c>
      <c r="C165" s="16">
        <v>102</v>
      </c>
      <c r="D165" s="3" t="s">
        <v>175</v>
      </c>
      <c r="E165" s="21" t="s">
        <v>967</v>
      </c>
      <c r="F165" s="22" t="s">
        <v>331</v>
      </c>
      <c r="G165" s="33" t="s">
        <v>351</v>
      </c>
      <c r="H165" s="23" t="s">
        <v>348</v>
      </c>
      <c r="I165" s="24" t="s">
        <v>349</v>
      </c>
      <c r="J165" s="66" t="s">
        <v>355</v>
      </c>
      <c r="K165" s="5">
        <v>43186</v>
      </c>
      <c r="L165" s="7">
        <v>43643</v>
      </c>
      <c r="M165" s="4">
        <f t="shared" si="241"/>
        <v>85.000000246407055</v>
      </c>
      <c r="N165" s="3" t="s">
        <v>155</v>
      </c>
      <c r="O165" s="3" t="s">
        <v>350</v>
      </c>
      <c r="P165" s="3" t="s">
        <v>354</v>
      </c>
      <c r="Q165" s="8" t="s">
        <v>212</v>
      </c>
      <c r="R165" s="3" t="s">
        <v>36</v>
      </c>
      <c r="S165" s="2">
        <f t="shared" si="247"/>
        <v>344957.66</v>
      </c>
      <c r="T165" s="2">
        <v>344957.66</v>
      </c>
      <c r="U165" s="2">
        <v>0</v>
      </c>
      <c r="V165" s="2">
        <f t="shared" si="173"/>
        <v>52758.23</v>
      </c>
      <c r="W165" s="2">
        <v>52758.23</v>
      </c>
      <c r="X165" s="2">
        <v>0</v>
      </c>
      <c r="Y165" s="2">
        <f t="shared" si="248"/>
        <v>8116.65</v>
      </c>
      <c r="Z165" s="2">
        <v>8116.65</v>
      </c>
      <c r="AA165" s="2">
        <v>0</v>
      </c>
      <c r="AB165" s="2">
        <f t="shared" si="175"/>
        <v>0</v>
      </c>
      <c r="AC165" s="2"/>
      <c r="AD165" s="2"/>
      <c r="AE165" s="2">
        <f t="shared" si="246"/>
        <v>405832.54</v>
      </c>
      <c r="AF165" s="2">
        <v>0</v>
      </c>
      <c r="AG165" s="2">
        <f t="shared" si="176"/>
        <v>405832.54</v>
      </c>
      <c r="AH165" s="29" t="s">
        <v>1072</v>
      </c>
      <c r="AI165" s="30" t="s">
        <v>185</v>
      </c>
      <c r="AJ165" s="1">
        <f>28255.24+60713.8+16575+57363.1</f>
        <v>162907.14000000001</v>
      </c>
      <c r="AK165" s="31">
        <f>4321.39+9285.64+2535+8773.18</f>
        <v>24915.21</v>
      </c>
    </row>
    <row r="166" spans="1:37" ht="220.5" x14ac:dyDescent="0.25">
      <c r="A166" s="348" t="s">
        <v>1755</v>
      </c>
      <c r="B166" s="20">
        <v>119377</v>
      </c>
      <c r="C166" s="16">
        <v>463</v>
      </c>
      <c r="D166" s="17" t="s">
        <v>171</v>
      </c>
      <c r="E166" s="24" t="s">
        <v>1040</v>
      </c>
      <c r="F166" s="3" t="s">
        <v>543</v>
      </c>
      <c r="G166" s="77" t="s">
        <v>944</v>
      </c>
      <c r="H166" s="180" t="s">
        <v>941</v>
      </c>
      <c r="I166" s="17" t="s">
        <v>939</v>
      </c>
      <c r="J166" s="23" t="s">
        <v>942</v>
      </c>
      <c r="K166" s="5">
        <v>43332</v>
      </c>
      <c r="L166" s="7">
        <v>43819</v>
      </c>
      <c r="M166" s="24">
        <f t="shared" si="241"/>
        <v>85.000001900439869</v>
      </c>
      <c r="N166" s="24">
        <v>6</v>
      </c>
      <c r="O166" s="24" t="s">
        <v>431</v>
      </c>
      <c r="P166" s="24" t="s">
        <v>943</v>
      </c>
      <c r="Q166" s="24" t="s">
        <v>212</v>
      </c>
      <c r="R166" s="77" t="s">
        <v>36</v>
      </c>
      <c r="S166" s="27">
        <f t="shared" ref="S166" si="249">T166+U166</f>
        <v>313085.42</v>
      </c>
      <c r="T166" s="2">
        <v>313085.42</v>
      </c>
      <c r="U166" s="2">
        <v>0</v>
      </c>
      <c r="V166" s="27">
        <f t="shared" si="173"/>
        <v>47883.64</v>
      </c>
      <c r="W166" s="2">
        <v>47883.64</v>
      </c>
      <c r="X166" s="2">
        <v>0</v>
      </c>
      <c r="Y166" s="31">
        <f>Z166+AA166</f>
        <v>7366.72</v>
      </c>
      <c r="Z166" s="31">
        <v>7366.72</v>
      </c>
      <c r="AA166" s="31">
        <v>0</v>
      </c>
      <c r="AB166" s="2">
        <f t="shared" si="175"/>
        <v>0</v>
      </c>
      <c r="AC166" s="39">
        <v>0</v>
      </c>
      <c r="AD166" s="39">
        <v>0</v>
      </c>
      <c r="AE166" s="2">
        <f t="shared" si="246"/>
        <v>368335.77999999997</v>
      </c>
      <c r="AF166" s="60">
        <v>4938.5</v>
      </c>
      <c r="AG166" s="2">
        <f t="shared" si="176"/>
        <v>373274.27999999997</v>
      </c>
      <c r="AH166" s="29" t="s">
        <v>871</v>
      </c>
      <c r="AI166" s="36" t="s">
        <v>185</v>
      </c>
      <c r="AJ166" s="31">
        <f>21878.75+1547.93</f>
        <v>23426.68</v>
      </c>
      <c r="AK166" s="31">
        <f>3346.16+236.74</f>
        <v>3582.8999999999996</v>
      </c>
    </row>
    <row r="167" spans="1:37" ht="252" x14ac:dyDescent="0.25">
      <c r="A167" s="348" t="s">
        <v>1756</v>
      </c>
      <c r="B167" s="20">
        <v>126124</v>
      </c>
      <c r="C167" s="16">
        <v>532</v>
      </c>
      <c r="D167" s="17" t="s">
        <v>174</v>
      </c>
      <c r="E167" s="24" t="s">
        <v>967</v>
      </c>
      <c r="F167" s="3" t="s">
        <v>1133</v>
      </c>
      <c r="G167" s="77" t="s">
        <v>1214</v>
      </c>
      <c r="H167" s="180" t="s">
        <v>941</v>
      </c>
      <c r="I167" s="17" t="s">
        <v>939</v>
      </c>
      <c r="J167" s="23" t="s">
        <v>1215</v>
      </c>
      <c r="K167" s="5">
        <v>43462</v>
      </c>
      <c r="L167" s="7">
        <v>44375</v>
      </c>
      <c r="M167" s="24">
        <f t="shared" ref="M167" si="250">S167/AE167*100</f>
        <v>84.999999694403598</v>
      </c>
      <c r="N167" s="24">
        <v>6</v>
      </c>
      <c r="O167" s="24" t="s">
        <v>431</v>
      </c>
      <c r="P167" s="24" t="s">
        <v>943</v>
      </c>
      <c r="Q167" s="24" t="s">
        <v>212</v>
      </c>
      <c r="R167" s="77" t="s">
        <v>36</v>
      </c>
      <c r="S167" s="27">
        <f t="shared" ref="S167" si="251">T167+U167</f>
        <v>2086084.74</v>
      </c>
      <c r="T167" s="2">
        <v>2086084.74</v>
      </c>
      <c r="U167" s="2">
        <v>0</v>
      </c>
      <c r="V167" s="27">
        <f t="shared" ref="V167" si="252">W167+X167</f>
        <v>319048.28000000003</v>
      </c>
      <c r="W167" s="2">
        <v>319048.28000000003</v>
      </c>
      <c r="X167" s="2">
        <v>0</v>
      </c>
      <c r="Y167" s="31">
        <f>Z167+AA167</f>
        <v>49084.33</v>
      </c>
      <c r="Z167" s="31">
        <v>49084.33</v>
      </c>
      <c r="AA167" s="31">
        <v>0</v>
      </c>
      <c r="AB167" s="2">
        <f t="shared" ref="AB167" si="253">AC167+AD167</f>
        <v>0</v>
      </c>
      <c r="AC167" s="39">
        <v>0</v>
      </c>
      <c r="AD167" s="39">
        <v>0</v>
      </c>
      <c r="AE167" s="2">
        <f t="shared" ref="AE167" si="254">S167+V167+Y167+AB167</f>
        <v>2454217.35</v>
      </c>
      <c r="AF167" s="60">
        <v>0</v>
      </c>
      <c r="AG167" s="2">
        <f t="shared" ref="AG167" si="255">AE167+AF167</f>
        <v>2454217.35</v>
      </c>
      <c r="AH167" s="29" t="s">
        <v>871</v>
      </c>
      <c r="AI167" s="36" t="s">
        <v>185</v>
      </c>
      <c r="AJ167" s="31">
        <v>0</v>
      </c>
      <c r="AK167" s="31">
        <v>0</v>
      </c>
    </row>
    <row r="168" spans="1:37" ht="409.5" x14ac:dyDescent="0.25">
      <c r="A168" s="348" t="s">
        <v>1757</v>
      </c>
      <c r="B168" s="3">
        <v>118759</v>
      </c>
      <c r="C168" s="16">
        <v>439</v>
      </c>
      <c r="D168" s="17" t="s">
        <v>1318</v>
      </c>
      <c r="E168" s="21" t="s">
        <v>704</v>
      </c>
      <c r="F168" s="21" t="s">
        <v>611</v>
      </c>
      <c r="G168" s="77" t="s">
        <v>805</v>
      </c>
      <c r="H168" s="23" t="s">
        <v>806</v>
      </c>
      <c r="I168" s="3" t="s">
        <v>807</v>
      </c>
      <c r="J168" s="23" t="s">
        <v>808</v>
      </c>
      <c r="K168" s="5">
        <v>43304</v>
      </c>
      <c r="L168" s="7">
        <v>43792</v>
      </c>
      <c r="M168" s="4">
        <f>S168/AE168*100</f>
        <v>84.213980856539493</v>
      </c>
      <c r="N168" s="77">
        <v>7</v>
      </c>
      <c r="O168" s="77" t="s">
        <v>809</v>
      </c>
      <c r="P168" s="77" t="s">
        <v>809</v>
      </c>
      <c r="Q168" s="77" t="s">
        <v>212</v>
      </c>
      <c r="R168" s="77" t="s">
        <v>36</v>
      </c>
      <c r="S168" s="27">
        <f t="shared" ref="S168" si="256">T168+U168</f>
        <v>288260.65000000002</v>
      </c>
      <c r="T168" s="181">
        <v>288260.65000000002</v>
      </c>
      <c r="U168" s="126">
        <v>0</v>
      </c>
      <c r="V168" s="27">
        <v>47188.93</v>
      </c>
      <c r="W168" s="126">
        <v>47188.93</v>
      </c>
      <c r="X168" s="126" t="s">
        <v>812</v>
      </c>
      <c r="Y168" s="27">
        <v>6845.9</v>
      </c>
      <c r="Z168" s="126">
        <v>6845.9</v>
      </c>
      <c r="AA168" s="126" t="s">
        <v>812</v>
      </c>
      <c r="AB168" s="2">
        <f t="shared" ref="AB168:AB217" si="257">AC168+AD168</f>
        <v>0</v>
      </c>
      <c r="AC168" s="39"/>
      <c r="AD168" s="39"/>
      <c r="AE168" s="2">
        <f>S168+V168+Y168+AB168</f>
        <v>342295.48000000004</v>
      </c>
      <c r="AF168" s="36"/>
      <c r="AG168" s="2">
        <f t="shared" si="176"/>
        <v>342295.48000000004</v>
      </c>
      <c r="AH168" s="29" t="s">
        <v>586</v>
      </c>
      <c r="AI168" s="30" t="s">
        <v>185</v>
      </c>
      <c r="AJ168" s="31">
        <f>34229.54+12542.88+12551.87+33546.82</f>
        <v>92871.11</v>
      </c>
      <c r="AK168" s="31">
        <f>2950.38+2215.05+10126.08</f>
        <v>15291.51</v>
      </c>
    </row>
    <row r="169" spans="1:37" ht="409.5" x14ac:dyDescent="0.25">
      <c r="A169" s="348" t="s">
        <v>1758</v>
      </c>
      <c r="B169" s="15">
        <v>119841</v>
      </c>
      <c r="C169" s="16">
        <v>477</v>
      </c>
      <c r="D169" s="17" t="s">
        <v>843</v>
      </c>
      <c r="E169" s="24" t="s">
        <v>1040</v>
      </c>
      <c r="F169" s="21" t="s">
        <v>543</v>
      </c>
      <c r="G169" s="21" t="s">
        <v>826</v>
      </c>
      <c r="H169" s="23" t="s">
        <v>806</v>
      </c>
      <c r="I169" s="3" t="s">
        <v>807</v>
      </c>
      <c r="J169" s="21" t="s">
        <v>827</v>
      </c>
      <c r="K169" s="5">
        <v>43304</v>
      </c>
      <c r="L169" s="7">
        <v>43792</v>
      </c>
      <c r="M169" s="4">
        <f>S169/AE169*100</f>
        <v>84.227561665534452</v>
      </c>
      <c r="N169" s="77">
        <v>7</v>
      </c>
      <c r="O169" s="77" t="s">
        <v>809</v>
      </c>
      <c r="P169" s="77" t="s">
        <v>809</v>
      </c>
      <c r="Q169" s="77" t="s">
        <v>212</v>
      </c>
      <c r="R169" s="3" t="s">
        <v>36</v>
      </c>
      <c r="S169" s="27">
        <f>T169+U169</f>
        <v>486941.45</v>
      </c>
      <c r="T169" s="1">
        <v>486941.45</v>
      </c>
      <c r="U169" s="69">
        <v>0</v>
      </c>
      <c r="V169" s="27">
        <f t="shared" ref="V169:V197" si="258">W169+X169</f>
        <v>79622</v>
      </c>
      <c r="W169" s="105">
        <v>79622</v>
      </c>
      <c r="X169" s="69">
        <v>0</v>
      </c>
      <c r="Y169" s="27">
        <v>11562.57</v>
      </c>
      <c r="Z169" s="31">
        <v>11562.57</v>
      </c>
      <c r="AA169" s="69">
        <v>0</v>
      </c>
      <c r="AB169" s="2">
        <f t="shared" si="257"/>
        <v>0</v>
      </c>
      <c r="AC169" s="39">
        <v>0</v>
      </c>
      <c r="AD169" s="39">
        <v>0</v>
      </c>
      <c r="AE169" s="2">
        <f t="shared" si="246"/>
        <v>578126.0199999999</v>
      </c>
      <c r="AF169" s="36"/>
      <c r="AG169" s="2">
        <f t="shared" ref="AG169:AG233" si="259">AE169+AF169</f>
        <v>578126.0199999999</v>
      </c>
      <c r="AH169" s="29" t="s">
        <v>586</v>
      </c>
      <c r="AI169" s="30" t="s">
        <v>185</v>
      </c>
      <c r="AJ169" s="1">
        <f>55280.09+14628.07+12852.81+21538.21-3653.49+43635.51</f>
        <v>144281.19999999998</v>
      </c>
      <c r="AK169" s="31">
        <f>2532.51+2255.31+2268.14+3800.86+3653.49+5711.67</f>
        <v>20221.98</v>
      </c>
    </row>
    <row r="170" spans="1:37" ht="409.5" x14ac:dyDescent="0.25">
      <c r="A170" s="348" t="s">
        <v>1759</v>
      </c>
      <c r="B170" s="15">
        <v>126267</v>
      </c>
      <c r="C170" s="16">
        <v>540</v>
      </c>
      <c r="D170" s="17" t="s">
        <v>171</v>
      </c>
      <c r="E170" s="24" t="s">
        <v>967</v>
      </c>
      <c r="F170" s="3" t="s">
        <v>1133</v>
      </c>
      <c r="G170" s="21" t="s">
        <v>1311</v>
      </c>
      <c r="H170" s="23" t="s">
        <v>1312</v>
      </c>
      <c r="I170" s="3" t="s">
        <v>185</v>
      </c>
      <c r="J170" s="23" t="s">
        <v>1313</v>
      </c>
      <c r="K170" s="5">
        <v>43544</v>
      </c>
      <c r="L170" s="7">
        <v>44459</v>
      </c>
      <c r="M170" s="4">
        <f>S170/AE170*100</f>
        <v>85.000000823943722</v>
      </c>
      <c r="N170" s="77">
        <v>7</v>
      </c>
      <c r="O170" s="77" t="s">
        <v>809</v>
      </c>
      <c r="P170" s="77" t="s">
        <v>809</v>
      </c>
      <c r="Q170" s="77" t="s">
        <v>212</v>
      </c>
      <c r="R170" s="3" t="s">
        <v>36</v>
      </c>
      <c r="S170" s="27">
        <f>T170+U170</f>
        <v>2630640.86</v>
      </c>
      <c r="T170" s="1">
        <v>2630640.86</v>
      </c>
      <c r="U170" s="69">
        <v>0</v>
      </c>
      <c r="V170" s="27">
        <f t="shared" si="258"/>
        <v>402333.28</v>
      </c>
      <c r="W170" s="31">
        <v>402333.28</v>
      </c>
      <c r="X170" s="69">
        <v>0</v>
      </c>
      <c r="Y170" s="27">
        <f>Z170+AA170</f>
        <v>61897.43</v>
      </c>
      <c r="Z170" s="31">
        <v>61897.43</v>
      </c>
      <c r="AA170" s="69">
        <v>0</v>
      </c>
      <c r="AB170" s="2">
        <f t="shared" si="257"/>
        <v>0</v>
      </c>
      <c r="AC170" s="39">
        <v>0</v>
      </c>
      <c r="AD170" s="39">
        <v>0</v>
      </c>
      <c r="AE170" s="2">
        <f t="shared" si="246"/>
        <v>3094871.57</v>
      </c>
      <c r="AF170" s="2">
        <v>7140</v>
      </c>
      <c r="AG170" s="2">
        <f t="shared" si="259"/>
        <v>3102011.57</v>
      </c>
      <c r="AH170" s="29" t="s">
        <v>586</v>
      </c>
      <c r="AI170" s="30" t="s">
        <v>185</v>
      </c>
      <c r="AJ170" s="40">
        <v>0</v>
      </c>
      <c r="AK170" s="31">
        <v>0</v>
      </c>
    </row>
    <row r="171" spans="1:37" ht="409.5" x14ac:dyDescent="0.25">
      <c r="A171" s="348" t="s">
        <v>1760</v>
      </c>
      <c r="B171" s="15">
        <v>126475</v>
      </c>
      <c r="C171" s="16">
        <v>563</v>
      </c>
      <c r="D171" s="17" t="s">
        <v>176</v>
      </c>
      <c r="E171" s="24" t="s">
        <v>967</v>
      </c>
      <c r="F171" s="3" t="s">
        <v>1133</v>
      </c>
      <c r="G171" s="21" t="s">
        <v>1315</v>
      </c>
      <c r="H171" s="23" t="s">
        <v>1314</v>
      </c>
      <c r="I171" s="3" t="s">
        <v>807</v>
      </c>
      <c r="J171" s="21" t="s">
        <v>1316</v>
      </c>
      <c r="K171" s="5">
        <v>43546</v>
      </c>
      <c r="L171" s="7">
        <v>44277</v>
      </c>
      <c r="M171" s="4">
        <f>S171/AE171*100</f>
        <v>84.852694687750144</v>
      </c>
      <c r="N171" s="77">
        <v>7</v>
      </c>
      <c r="O171" s="77" t="s">
        <v>809</v>
      </c>
      <c r="P171" s="77" t="s">
        <v>809</v>
      </c>
      <c r="Q171" s="77" t="s">
        <v>212</v>
      </c>
      <c r="R171" s="3" t="s">
        <v>36</v>
      </c>
      <c r="S171" s="27">
        <f>T171+U171</f>
        <v>3141080.48</v>
      </c>
      <c r="T171" s="1">
        <v>3141080.48</v>
      </c>
      <c r="U171" s="69">
        <v>0</v>
      </c>
      <c r="V171" s="27">
        <f t="shared" si="258"/>
        <v>486687.45</v>
      </c>
      <c r="W171" s="105">
        <v>486687.45</v>
      </c>
      <c r="X171" s="69">
        <v>0</v>
      </c>
      <c r="Y171" s="27">
        <f>Z171+AA171</f>
        <v>67620.820000000007</v>
      </c>
      <c r="Z171" s="31">
        <v>67620.820000000007</v>
      </c>
      <c r="AA171" s="69">
        <v>0</v>
      </c>
      <c r="AB171" s="2">
        <f>AC171+AD171</f>
        <v>6415.29</v>
      </c>
      <c r="AC171" s="39">
        <v>6415.29</v>
      </c>
      <c r="AD171" s="39">
        <v>0</v>
      </c>
      <c r="AE171" s="2">
        <f t="shared" si="246"/>
        <v>3701804.04</v>
      </c>
      <c r="AF171" s="36">
        <v>0</v>
      </c>
      <c r="AG171" s="2">
        <f t="shared" si="259"/>
        <v>3701804.04</v>
      </c>
      <c r="AH171" s="29" t="s">
        <v>586</v>
      </c>
      <c r="AI171" s="30" t="s">
        <v>185</v>
      </c>
      <c r="AJ171" s="40">
        <v>32076</v>
      </c>
      <c r="AK171" s="31">
        <v>0</v>
      </c>
    </row>
    <row r="172" spans="1:37" ht="141.75" x14ac:dyDescent="0.25">
      <c r="A172" s="348" t="s">
        <v>1761</v>
      </c>
      <c r="B172" s="15">
        <v>129622</v>
      </c>
      <c r="C172" s="16">
        <v>660</v>
      </c>
      <c r="D172" s="17" t="s">
        <v>163</v>
      </c>
      <c r="E172" s="24" t="s">
        <v>967</v>
      </c>
      <c r="F172" s="3" t="s">
        <v>1416</v>
      </c>
      <c r="G172" s="21" t="s">
        <v>1556</v>
      </c>
      <c r="H172" s="23" t="s">
        <v>1557</v>
      </c>
      <c r="I172" s="3" t="s">
        <v>185</v>
      </c>
      <c r="J172" s="21"/>
      <c r="K172" s="5">
        <v>43658</v>
      </c>
      <c r="L172" s="7">
        <v>44542</v>
      </c>
      <c r="M172" s="4">
        <f>S172/AE172*100</f>
        <v>85.000000125030468</v>
      </c>
      <c r="N172" s="77">
        <v>7</v>
      </c>
      <c r="O172" s="77" t="s">
        <v>809</v>
      </c>
      <c r="P172" s="77" t="s">
        <v>1557</v>
      </c>
      <c r="Q172" s="77" t="s">
        <v>212</v>
      </c>
      <c r="R172" s="3" t="s">
        <v>36</v>
      </c>
      <c r="S172" s="27">
        <f>T172+U172</f>
        <v>3399171.34</v>
      </c>
      <c r="T172" s="1">
        <v>3399171.34</v>
      </c>
      <c r="U172" s="69">
        <v>0</v>
      </c>
      <c r="V172" s="27">
        <f>W172+X172</f>
        <v>519873.26</v>
      </c>
      <c r="W172" s="31">
        <v>519873.26</v>
      </c>
      <c r="X172" s="69">
        <v>0</v>
      </c>
      <c r="Y172" s="27">
        <f>Z172+AA172</f>
        <v>79980.5</v>
      </c>
      <c r="Z172" s="31">
        <v>79980.5</v>
      </c>
      <c r="AA172" s="69">
        <v>0</v>
      </c>
      <c r="AB172" s="2">
        <f>AC172+AD172</f>
        <v>0</v>
      </c>
      <c r="AC172" s="39">
        <v>0</v>
      </c>
      <c r="AD172" s="39">
        <v>0</v>
      </c>
      <c r="AE172" s="2">
        <f>S172+V172+Y172+AB172</f>
        <v>3999025.0999999996</v>
      </c>
      <c r="AF172" s="154">
        <v>0</v>
      </c>
      <c r="AG172" s="2">
        <f>AE172+AF172</f>
        <v>3999025.0999999996</v>
      </c>
      <c r="AH172" s="29" t="s">
        <v>586</v>
      </c>
      <c r="AI172" s="30" t="s">
        <v>185</v>
      </c>
      <c r="AJ172" s="40"/>
      <c r="AK172" s="31"/>
    </row>
    <row r="173" spans="1:37" ht="120" x14ac:dyDescent="0.25">
      <c r="A173" s="348" t="s">
        <v>1762</v>
      </c>
      <c r="B173" s="20">
        <v>117764</v>
      </c>
      <c r="C173" s="24">
        <v>416</v>
      </c>
      <c r="D173" s="3" t="s">
        <v>684</v>
      </c>
      <c r="E173" s="21" t="s">
        <v>704</v>
      </c>
      <c r="F173" s="23" t="s">
        <v>611</v>
      </c>
      <c r="G173" s="23" t="s">
        <v>917</v>
      </c>
      <c r="H173" s="3" t="s">
        <v>918</v>
      </c>
      <c r="I173" s="3" t="s">
        <v>185</v>
      </c>
      <c r="J173" s="3"/>
      <c r="K173" s="5">
        <v>43326</v>
      </c>
      <c r="L173" s="7">
        <v>43813</v>
      </c>
      <c r="M173" s="3">
        <f t="shared" ref="M173:M174" si="260">S173/AE173*100</f>
        <v>85.000000298812211</v>
      </c>
      <c r="N173" s="3">
        <v>1</v>
      </c>
      <c r="O173" s="3" t="s">
        <v>491</v>
      </c>
      <c r="P173" s="3" t="s">
        <v>491</v>
      </c>
      <c r="Q173" s="3" t="s">
        <v>212</v>
      </c>
      <c r="R173" s="77" t="s">
        <v>36</v>
      </c>
      <c r="S173" s="27">
        <f t="shared" ref="S173:S174" si="261">T173+U173</f>
        <v>284459.59000000003</v>
      </c>
      <c r="T173" s="31">
        <v>284459.59000000003</v>
      </c>
      <c r="U173" s="69">
        <v>0</v>
      </c>
      <c r="V173" s="27">
        <f t="shared" si="258"/>
        <v>43505.58</v>
      </c>
      <c r="W173" s="31">
        <v>43505.58</v>
      </c>
      <c r="X173" s="69">
        <v>0</v>
      </c>
      <c r="Y173" s="31">
        <f>Z173+AA173</f>
        <v>6693.17</v>
      </c>
      <c r="Z173" s="31">
        <v>6693.17</v>
      </c>
      <c r="AA173" s="69">
        <v>0</v>
      </c>
      <c r="AB173" s="2">
        <f t="shared" si="257"/>
        <v>0</v>
      </c>
      <c r="AC173" s="45">
        <v>0</v>
      </c>
      <c r="AD173" s="45">
        <v>0</v>
      </c>
      <c r="AE173" s="2">
        <f t="shared" si="246"/>
        <v>334658.34000000003</v>
      </c>
      <c r="AF173" s="105">
        <v>0</v>
      </c>
      <c r="AG173" s="2">
        <f t="shared" si="259"/>
        <v>334658.34000000003</v>
      </c>
      <c r="AH173" s="29" t="s">
        <v>586</v>
      </c>
      <c r="AI173" s="105" t="s">
        <v>185</v>
      </c>
      <c r="AJ173" s="2">
        <f>33465.83-3352.6-821.73</f>
        <v>29291.500000000004</v>
      </c>
      <c r="AK173" s="2">
        <f>3352.6+821.73</f>
        <v>4174.33</v>
      </c>
    </row>
    <row r="174" spans="1:37" ht="141.75" x14ac:dyDescent="0.25">
      <c r="A174" s="348" t="s">
        <v>1763</v>
      </c>
      <c r="B174" s="20">
        <v>128093</v>
      </c>
      <c r="C174" s="24">
        <v>626</v>
      </c>
      <c r="D174" s="3" t="s">
        <v>647</v>
      </c>
      <c r="E174" s="21" t="s">
        <v>1186</v>
      </c>
      <c r="F174" s="23" t="s">
        <v>1416</v>
      </c>
      <c r="G174" s="23" t="s">
        <v>1580</v>
      </c>
      <c r="H174" s="3" t="s">
        <v>1581</v>
      </c>
      <c r="I174" s="3" t="s">
        <v>185</v>
      </c>
      <c r="J174" s="23" t="s">
        <v>1582</v>
      </c>
      <c r="K174" s="5">
        <v>43670</v>
      </c>
      <c r="L174" s="7">
        <v>44401</v>
      </c>
      <c r="M174" s="3">
        <f t="shared" si="260"/>
        <v>85.000000000000014</v>
      </c>
      <c r="N174" s="3">
        <v>1</v>
      </c>
      <c r="O174" s="3" t="s">
        <v>491</v>
      </c>
      <c r="P174" s="3" t="s">
        <v>491</v>
      </c>
      <c r="Q174" s="3" t="s">
        <v>212</v>
      </c>
      <c r="R174" s="77" t="s">
        <v>36</v>
      </c>
      <c r="S174" s="27">
        <f t="shared" si="261"/>
        <v>2360805.2999999998</v>
      </c>
      <c r="T174" s="31">
        <v>2360805.2999999998</v>
      </c>
      <c r="U174" s="69">
        <v>0</v>
      </c>
      <c r="V174" s="27">
        <f t="shared" si="258"/>
        <v>361064.38</v>
      </c>
      <c r="W174" s="31">
        <v>361064.38</v>
      </c>
      <c r="X174" s="69">
        <v>0</v>
      </c>
      <c r="Y174" s="31">
        <f>Z174+AA174</f>
        <v>55548.32</v>
      </c>
      <c r="Z174" s="31">
        <v>55548.32</v>
      </c>
      <c r="AA174" s="69">
        <v>0</v>
      </c>
      <c r="AB174" s="2">
        <f t="shared" si="257"/>
        <v>0</v>
      </c>
      <c r="AC174" s="69">
        <v>0</v>
      </c>
      <c r="AD174" s="69">
        <v>0</v>
      </c>
      <c r="AE174" s="2">
        <f t="shared" si="246"/>
        <v>2777417.9999999995</v>
      </c>
      <c r="AF174" s="105">
        <v>0</v>
      </c>
      <c r="AG174" s="2">
        <f t="shared" si="259"/>
        <v>2777417.9999999995</v>
      </c>
      <c r="AH174" s="29" t="s">
        <v>586</v>
      </c>
      <c r="AI174" s="105"/>
      <c r="AJ174" s="2"/>
      <c r="AK174" s="2"/>
    </row>
    <row r="175" spans="1:37" ht="236.25" x14ac:dyDescent="0.25">
      <c r="A175" s="348" t="s">
        <v>1764</v>
      </c>
      <c r="B175" s="20">
        <v>110909</v>
      </c>
      <c r="C175" s="16">
        <v>115</v>
      </c>
      <c r="D175" s="3" t="s">
        <v>168</v>
      </c>
      <c r="E175" s="21" t="s">
        <v>967</v>
      </c>
      <c r="F175" s="84" t="s">
        <v>331</v>
      </c>
      <c r="G175" s="77" t="s">
        <v>415</v>
      </c>
      <c r="H175" s="33" t="s">
        <v>414</v>
      </c>
      <c r="I175" s="24" t="s">
        <v>185</v>
      </c>
      <c r="J175" s="25" t="s">
        <v>416</v>
      </c>
      <c r="K175" s="5">
        <v>43214</v>
      </c>
      <c r="L175" s="7">
        <v>43701</v>
      </c>
      <c r="M175" s="4">
        <f t="shared" ref="M175:M176" si="262">S175/AE175*100</f>
        <v>85.000000000000014</v>
      </c>
      <c r="N175" s="3">
        <v>3</v>
      </c>
      <c r="O175" s="3" t="s">
        <v>417</v>
      </c>
      <c r="P175" s="3" t="s">
        <v>426</v>
      </c>
      <c r="Q175" s="8" t="s">
        <v>212</v>
      </c>
      <c r="R175" s="24" t="s">
        <v>36</v>
      </c>
      <c r="S175" s="27">
        <f t="shared" ref="S175:S177" si="263">T175+U175</f>
        <v>349633.9</v>
      </c>
      <c r="T175" s="182">
        <v>349633.9</v>
      </c>
      <c r="U175" s="69">
        <v>0</v>
      </c>
      <c r="V175" s="27">
        <f t="shared" si="258"/>
        <v>53473.42</v>
      </c>
      <c r="W175" s="182">
        <v>53473.42</v>
      </c>
      <c r="X175" s="69">
        <v>0</v>
      </c>
      <c r="Y175" s="27">
        <f t="shared" ref="Y175:Y177" si="264">Z175+AA175</f>
        <v>8226.68</v>
      </c>
      <c r="Z175" s="182">
        <v>8226.68</v>
      </c>
      <c r="AA175" s="69">
        <v>0</v>
      </c>
      <c r="AB175" s="2">
        <f t="shared" si="257"/>
        <v>0</v>
      </c>
      <c r="AC175" s="183">
        <v>0</v>
      </c>
      <c r="AD175" s="183">
        <v>0</v>
      </c>
      <c r="AE175" s="2">
        <f t="shared" si="246"/>
        <v>411334</v>
      </c>
      <c r="AF175" s="2">
        <v>0</v>
      </c>
      <c r="AG175" s="2">
        <f t="shared" si="259"/>
        <v>411334</v>
      </c>
      <c r="AH175" s="29" t="s">
        <v>586</v>
      </c>
      <c r="AI175" s="30" t="s">
        <v>185</v>
      </c>
      <c r="AJ175" s="1">
        <f>41133.4+12089.93+41133.4-2141.81-1436.89</f>
        <v>90778.030000000013</v>
      </c>
      <c r="AK175" s="31">
        <f>8140.04+2141.81+1436.89</f>
        <v>11718.74</v>
      </c>
    </row>
    <row r="176" spans="1:37" ht="315" x14ac:dyDescent="0.25">
      <c r="A176" s="348" t="s">
        <v>1765</v>
      </c>
      <c r="B176" s="20">
        <v>126118</v>
      </c>
      <c r="C176" s="16">
        <v>530</v>
      </c>
      <c r="D176" s="3" t="s">
        <v>175</v>
      </c>
      <c r="E176" s="21" t="s">
        <v>1186</v>
      </c>
      <c r="F176" s="84" t="s">
        <v>1133</v>
      </c>
      <c r="G176" s="77" t="s">
        <v>1187</v>
      </c>
      <c r="H176" s="77" t="s">
        <v>1188</v>
      </c>
      <c r="I176" s="24" t="s">
        <v>422</v>
      </c>
      <c r="J176" s="25" t="s">
        <v>1189</v>
      </c>
      <c r="K176" s="5">
        <v>43447</v>
      </c>
      <c r="L176" s="7">
        <v>44116</v>
      </c>
      <c r="M176" s="4">
        <f t="shared" si="262"/>
        <v>85.000000836129914</v>
      </c>
      <c r="N176" s="17">
        <v>3</v>
      </c>
      <c r="O176" s="3" t="s">
        <v>417</v>
      </c>
      <c r="P176" s="3" t="s">
        <v>417</v>
      </c>
      <c r="Q176" s="8" t="s">
        <v>212</v>
      </c>
      <c r="R176" s="24" t="s">
        <v>36</v>
      </c>
      <c r="S176" s="27">
        <f t="shared" si="263"/>
        <v>813270.76</v>
      </c>
      <c r="T176" s="182">
        <v>813270.76</v>
      </c>
      <c r="U176" s="69">
        <v>0</v>
      </c>
      <c r="V176" s="27">
        <f t="shared" si="258"/>
        <v>124382.58</v>
      </c>
      <c r="W176" s="182">
        <v>124382.58</v>
      </c>
      <c r="X176" s="182">
        <v>0</v>
      </c>
      <c r="Y176" s="27">
        <f t="shared" si="264"/>
        <v>19135.78</v>
      </c>
      <c r="Z176" s="182">
        <v>19135.78</v>
      </c>
      <c r="AA176" s="182">
        <v>0</v>
      </c>
      <c r="AB176" s="2">
        <f t="shared" si="257"/>
        <v>0</v>
      </c>
      <c r="AC176" s="28">
        <v>0</v>
      </c>
      <c r="AD176" s="28">
        <v>0</v>
      </c>
      <c r="AE176" s="2">
        <f t="shared" si="246"/>
        <v>956789.12</v>
      </c>
      <c r="AF176" s="36"/>
      <c r="AG176" s="2">
        <f t="shared" si="259"/>
        <v>956789.12</v>
      </c>
      <c r="AH176" s="29" t="s">
        <v>871</v>
      </c>
      <c r="AI176" s="36"/>
      <c r="AJ176" s="1">
        <v>39091.35</v>
      </c>
      <c r="AK176" s="1">
        <v>5978.68</v>
      </c>
    </row>
    <row r="177" spans="1:37" ht="362.25" x14ac:dyDescent="0.25">
      <c r="A177" s="348" t="s">
        <v>1766</v>
      </c>
      <c r="B177" s="20">
        <v>129759</v>
      </c>
      <c r="C177" s="16">
        <v>675</v>
      </c>
      <c r="D177" s="3" t="s">
        <v>177</v>
      </c>
      <c r="E177" s="21" t="s">
        <v>1186</v>
      </c>
      <c r="F177" s="84" t="s">
        <v>1416</v>
      </c>
      <c r="G177" s="184" t="s">
        <v>1460</v>
      </c>
      <c r="H177" s="77" t="s">
        <v>1476</v>
      </c>
      <c r="I177" s="24" t="s">
        <v>422</v>
      </c>
      <c r="J177" s="25" t="s">
        <v>1461</v>
      </c>
      <c r="K177" s="5">
        <v>43622</v>
      </c>
      <c r="L177" s="7">
        <v>44261</v>
      </c>
      <c r="M177" s="4">
        <f t="shared" ref="M177" si="265">S177/AE177*100</f>
        <v>85.000000231937065</v>
      </c>
      <c r="N177" s="17">
        <v>3</v>
      </c>
      <c r="O177" s="3" t="s">
        <v>417</v>
      </c>
      <c r="P177" s="3" t="s">
        <v>417</v>
      </c>
      <c r="Q177" s="8" t="s">
        <v>212</v>
      </c>
      <c r="R177" s="24" t="s">
        <v>1156</v>
      </c>
      <c r="S177" s="185">
        <f t="shared" si="263"/>
        <v>3298308.61</v>
      </c>
      <c r="T177" s="186">
        <v>3298308.61</v>
      </c>
      <c r="U177" s="187">
        <v>0</v>
      </c>
      <c r="V177" s="185">
        <f t="shared" si="258"/>
        <v>504447.19</v>
      </c>
      <c r="W177" s="182">
        <v>504447.19</v>
      </c>
      <c r="X177" s="182">
        <v>0</v>
      </c>
      <c r="Y177" s="27">
        <f t="shared" si="264"/>
        <v>77607.259999999995</v>
      </c>
      <c r="Z177" s="182">
        <v>77607.259999999995</v>
      </c>
      <c r="AA177" s="182">
        <v>0</v>
      </c>
      <c r="AB177" s="2">
        <f t="shared" si="257"/>
        <v>0</v>
      </c>
      <c r="AC177" s="28">
        <v>0</v>
      </c>
      <c r="AD177" s="28">
        <v>0</v>
      </c>
      <c r="AE177" s="2">
        <f t="shared" si="246"/>
        <v>3880363.0599999996</v>
      </c>
      <c r="AF177" s="36"/>
      <c r="AG177" s="2">
        <f t="shared" si="259"/>
        <v>3880363.0599999996</v>
      </c>
      <c r="AH177" s="29" t="s">
        <v>871</v>
      </c>
      <c r="AI177" s="36"/>
      <c r="AJ177" s="1"/>
      <c r="AK177" s="1"/>
    </row>
    <row r="178" spans="1:37" ht="267.75" x14ac:dyDescent="0.25">
      <c r="A178" s="348" t="s">
        <v>1767</v>
      </c>
      <c r="B178" s="20">
        <v>129754</v>
      </c>
      <c r="C178" s="16">
        <v>674</v>
      </c>
      <c r="D178" s="3" t="s">
        <v>174</v>
      </c>
      <c r="E178" s="21" t="s">
        <v>1186</v>
      </c>
      <c r="F178" s="84" t="s">
        <v>1416</v>
      </c>
      <c r="G178" s="184" t="s">
        <v>1474</v>
      </c>
      <c r="H178" s="77" t="s">
        <v>1188</v>
      </c>
      <c r="I178" s="24" t="s">
        <v>422</v>
      </c>
      <c r="J178" s="25" t="s">
        <v>1475</v>
      </c>
      <c r="K178" s="5">
        <v>43634</v>
      </c>
      <c r="L178" s="7">
        <v>44245</v>
      </c>
      <c r="M178" s="4">
        <f t="shared" ref="M178:M183" si="266">S178/AE178*100</f>
        <v>85.000000138264667</v>
      </c>
      <c r="N178" s="17">
        <v>3</v>
      </c>
      <c r="O178" s="3" t="s">
        <v>417</v>
      </c>
      <c r="P178" s="3" t="s">
        <v>417</v>
      </c>
      <c r="Q178" s="8" t="s">
        <v>212</v>
      </c>
      <c r="R178" s="24" t="s">
        <v>1156</v>
      </c>
      <c r="S178" s="27">
        <f t="shared" ref="S178" si="267">T178+U178</f>
        <v>2459052.1800000002</v>
      </c>
      <c r="T178" s="186">
        <v>2459052.1800000002</v>
      </c>
      <c r="U178" s="69">
        <v>0</v>
      </c>
      <c r="V178" s="27">
        <f t="shared" ref="V178" si="268">W178+X178</f>
        <v>376090.33</v>
      </c>
      <c r="W178" s="182">
        <v>376090.33</v>
      </c>
      <c r="X178" s="182">
        <v>0</v>
      </c>
      <c r="Y178" s="27">
        <f t="shared" ref="Y178" si="269">Z178+AA178</f>
        <v>57860.05</v>
      </c>
      <c r="Z178" s="182">
        <v>57860.05</v>
      </c>
      <c r="AA178" s="182">
        <v>0</v>
      </c>
      <c r="AB178" s="2">
        <f t="shared" ref="AB178" si="270">AC178+AD178</f>
        <v>0</v>
      </c>
      <c r="AC178" s="28">
        <v>0</v>
      </c>
      <c r="AD178" s="28">
        <v>0</v>
      </c>
      <c r="AE178" s="2">
        <f t="shared" ref="AE178" si="271">S178+V178+Y178+AB178</f>
        <v>2893002.56</v>
      </c>
      <c r="AF178" s="36">
        <v>0</v>
      </c>
      <c r="AG178" s="2">
        <f t="shared" ref="AG178" si="272">AE178+AF178</f>
        <v>2893002.56</v>
      </c>
      <c r="AH178" s="29" t="s">
        <v>871</v>
      </c>
      <c r="AI178" s="36"/>
      <c r="AJ178" s="1"/>
      <c r="AK178" s="1"/>
    </row>
    <row r="179" spans="1:37" ht="283.5" x14ac:dyDescent="0.25">
      <c r="A179" s="348" t="s">
        <v>1768</v>
      </c>
      <c r="B179" s="15">
        <v>119235</v>
      </c>
      <c r="C179" s="16">
        <v>479</v>
      </c>
      <c r="D179" s="17" t="s">
        <v>171</v>
      </c>
      <c r="E179" s="24" t="s">
        <v>1040</v>
      </c>
      <c r="F179" s="23" t="s">
        <v>543</v>
      </c>
      <c r="G179" s="23" t="s">
        <v>648</v>
      </c>
      <c r="H179" s="100" t="s">
        <v>649</v>
      </c>
      <c r="I179" s="3" t="s">
        <v>185</v>
      </c>
      <c r="J179" s="23" t="s">
        <v>650</v>
      </c>
      <c r="K179" s="7">
        <v>43276</v>
      </c>
      <c r="L179" s="7">
        <v>43702</v>
      </c>
      <c r="M179" s="47">
        <f t="shared" si="266"/>
        <v>84.999999139224727</v>
      </c>
      <c r="N179" s="77">
        <v>5</v>
      </c>
      <c r="O179" s="77" t="s">
        <v>651</v>
      </c>
      <c r="P179" s="77" t="s">
        <v>652</v>
      </c>
      <c r="Q179" s="77" t="s">
        <v>212</v>
      </c>
      <c r="R179" s="77" t="s">
        <v>547</v>
      </c>
      <c r="S179" s="27">
        <f>T179+U179</f>
        <v>246870.47</v>
      </c>
      <c r="T179" s="31">
        <v>246870.47</v>
      </c>
      <c r="U179" s="69">
        <v>0</v>
      </c>
      <c r="V179" s="27">
        <f>W179+X179</f>
        <v>37756.660000000003</v>
      </c>
      <c r="W179" s="105">
        <v>37756.660000000003</v>
      </c>
      <c r="X179" s="69">
        <v>0</v>
      </c>
      <c r="Y179" s="27">
        <f>Z179+AA179</f>
        <v>5808.72</v>
      </c>
      <c r="Z179" s="31">
        <v>5808.72</v>
      </c>
      <c r="AA179" s="69">
        <v>0</v>
      </c>
      <c r="AB179" s="2">
        <f>AC179+AD179</f>
        <v>0</v>
      </c>
      <c r="AC179" s="188">
        <v>0</v>
      </c>
      <c r="AD179" s="188">
        <v>0</v>
      </c>
      <c r="AE179" s="2">
        <f>S179+V179+Y179+AB179</f>
        <v>290435.84999999998</v>
      </c>
      <c r="AF179" s="36"/>
      <c r="AG179" s="2">
        <f t="shared" si="259"/>
        <v>290435.84999999998</v>
      </c>
      <c r="AH179" s="29" t="s">
        <v>586</v>
      </c>
      <c r="AI179" s="93"/>
      <c r="AJ179" s="1">
        <f>28682+46411.17+11794.6</f>
        <v>86887.77</v>
      </c>
      <c r="AK179" s="31">
        <f>11484.84+1803.88</f>
        <v>13288.720000000001</v>
      </c>
    </row>
    <row r="180" spans="1:37" ht="141.75" x14ac:dyDescent="0.25">
      <c r="A180" s="348" t="s">
        <v>1769</v>
      </c>
      <c r="B180" s="15">
        <v>119160</v>
      </c>
      <c r="C180" s="16">
        <v>482</v>
      </c>
      <c r="D180" s="17" t="s">
        <v>843</v>
      </c>
      <c r="E180" s="24" t="s">
        <v>1040</v>
      </c>
      <c r="F180" s="23" t="s">
        <v>543</v>
      </c>
      <c r="G180" s="21" t="s">
        <v>818</v>
      </c>
      <c r="H180" s="21" t="s">
        <v>819</v>
      </c>
      <c r="I180" s="3" t="s">
        <v>185</v>
      </c>
      <c r="J180" s="21" t="s">
        <v>820</v>
      </c>
      <c r="K180" s="7">
        <v>43304</v>
      </c>
      <c r="L180" s="7">
        <v>43792</v>
      </c>
      <c r="M180" s="47">
        <f t="shared" si="266"/>
        <v>84.99999840000666</v>
      </c>
      <c r="N180" s="77">
        <v>5</v>
      </c>
      <c r="O180" s="77" t="s">
        <v>651</v>
      </c>
      <c r="P180" s="77" t="s">
        <v>821</v>
      </c>
      <c r="Q180" s="77" t="s">
        <v>212</v>
      </c>
      <c r="R180" s="3" t="s">
        <v>36</v>
      </c>
      <c r="S180" s="27">
        <f>T180+U180</f>
        <v>212500.88</v>
      </c>
      <c r="T180" s="31">
        <v>212500.88</v>
      </c>
      <c r="U180" s="69">
        <v>0</v>
      </c>
      <c r="V180" s="27">
        <f>W180+X180</f>
        <v>32500.1</v>
      </c>
      <c r="W180" s="105">
        <v>32500.1</v>
      </c>
      <c r="X180" s="69">
        <v>0</v>
      </c>
      <c r="Y180" s="27">
        <f>Z180+AA180</f>
        <v>5000.0600000000004</v>
      </c>
      <c r="Z180" s="31">
        <v>5000.0600000000004</v>
      </c>
      <c r="AA180" s="69">
        <v>0</v>
      </c>
      <c r="AB180" s="2">
        <f>AC180+AD180</f>
        <v>0</v>
      </c>
      <c r="AC180" s="39">
        <v>0</v>
      </c>
      <c r="AD180" s="39"/>
      <c r="AE180" s="2">
        <f>S180+V180+Y180+AB180</f>
        <v>250001.04</v>
      </c>
      <c r="AF180" s="36"/>
      <c r="AG180" s="2">
        <f t="shared" si="259"/>
        <v>250001.04</v>
      </c>
      <c r="AH180" s="29" t="s">
        <v>586</v>
      </c>
      <c r="AI180" s="93"/>
      <c r="AJ180" s="1">
        <v>30115.11</v>
      </c>
      <c r="AK180" s="31">
        <v>4605.84</v>
      </c>
    </row>
    <row r="181" spans="1:37" ht="252" x14ac:dyDescent="0.25">
      <c r="A181" s="348" t="s">
        <v>1770</v>
      </c>
      <c r="B181" s="20">
        <v>117063</v>
      </c>
      <c r="C181" s="24">
        <v>411</v>
      </c>
      <c r="D181" s="3" t="s">
        <v>684</v>
      </c>
      <c r="E181" s="21" t="s">
        <v>704</v>
      </c>
      <c r="F181" s="3" t="s">
        <v>611</v>
      </c>
      <c r="G181" s="21" t="s">
        <v>876</v>
      </c>
      <c r="H181" s="24" t="s">
        <v>819</v>
      </c>
      <c r="I181" s="17" t="s">
        <v>185</v>
      </c>
      <c r="J181" s="21" t="s">
        <v>877</v>
      </c>
      <c r="K181" s="7">
        <v>43313</v>
      </c>
      <c r="L181" s="7">
        <v>43799</v>
      </c>
      <c r="M181" s="47">
        <f t="shared" si="266"/>
        <v>85</v>
      </c>
      <c r="N181" s="24">
        <v>5</v>
      </c>
      <c r="O181" s="24" t="s">
        <v>651</v>
      </c>
      <c r="P181" s="24" t="s">
        <v>821</v>
      </c>
      <c r="Q181" s="24" t="s">
        <v>212</v>
      </c>
      <c r="R181" s="3" t="s">
        <v>547</v>
      </c>
      <c r="S181" s="27">
        <f t="shared" ref="S181:S182" si="273">T181+U181</f>
        <v>213015.1</v>
      </c>
      <c r="T181" s="35">
        <v>213015.1</v>
      </c>
      <c r="U181" s="35">
        <v>0</v>
      </c>
      <c r="V181" s="27">
        <f t="shared" si="258"/>
        <v>32578.78</v>
      </c>
      <c r="W181" s="35">
        <v>32578.78</v>
      </c>
      <c r="X181" s="69">
        <v>0</v>
      </c>
      <c r="Y181" s="27">
        <f t="shared" ref="Y181:Y182" si="274">Z181+AA181</f>
        <v>5012.12</v>
      </c>
      <c r="Z181" s="60">
        <v>5012.12</v>
      </c>
      <c r="AA181" s="60">
        <v>0</v>
      </c>
      <c r="AB181" s="2">
        <f t="shared" si="257"/>
        <v>0</v>
      </c>
      <c r="AC181" s="2">
        <v>0</v>
      </c>
      <c r="AD181" s="2">
        <v>0</v>
      </c>
      <c r="AE181" s="2">
        <f t="shared" si="246"/>
        <v>250606</v>
      </c>
      <c r="AF181" s="36"/>
      <c r="AG181" s="2">
        <f t="shared" si="259"/>
        <v>250606</v>
      </c>
      <c r="AH181" s="29" t="s">
        <v>586</v>
      </c>
      <c r="AI181" s="36" t="s">
        <v>1542</v>
      </c>
      <c r="AJ181" s="40">
        <v>38751.5</v>
      </c>
      <c r="AK181" s="40">
        <v>5926.7</v>
      </c>
    </row>
    <row r="182" spans="1:37" ht="299.25" x14ac:dyDescent="0.3">
      <c r="A182" s="348" t="s">
        <v>1771</v>
      </c>
      <c r="B182" s="20">
        <v>126522</v>
      </c>
      <c r="C182" s="24">
        <v>554</v>
      </c>
      <c r="D182" s="3" t="s">
        <v>177</v>
      </c>
      <c r="E182" s="21" t="s">
        <v>1186</v>
      </c>
      <c r="F182" s="84" t="s">
        <v>1133</v>
      </c>
      <c r="G182" s="117" t="s">
        <v>1343</v>
      </c>
      <c r="H182" s="24" t="s">
        <v>1344</v>
      </c>
      <c r="I182" s="17" t="s">
        <v>185</v>
      </c>
      <c r="J182" s="21" t="s">
        <v>1345</v>
      </c>
      <c r="K182" s="7">
        <v>43556</v>
      </c>
      <c r="L182" s="7">
        <v>44440</v>
      </c>
      <c r="M182" s="47">
        <f t="shared" si="266"/>
        <v>85.0000001266326</v>
      </c>
      <c r="N182" s="24">
        <v>5</v>
      </c>
      <c r="O182" s="24" t="s">
        <v>651</v>
      </c>
      <c r="P182" s="24" t="s">
        <v>652</v>
      </c>
      <c r="Q182" s="24" t="s">
        <v>212</v>
      </c>
      <c r="R182" s="3" t="s">
        <v>547</v>
      </c>
      <c r="S182" s="27">
        <f t="shared" si="273"/>
        <v>3356165.93</v>
      </c>
      <c r="T182" s="35">
        <v>3356165.93</v>
      </c>
      <c r="U182" s="35">
        <v>0</v>
      </c>
      <c r="V182" s="27">
        <f t="shared" si="258"/>
        <v>513295.96</v>
      </c>
      <c r="W182" s="35">
        <v>513295.96</v>
      </c>
      <c r="X182" s="69">
        <v>0</v>
      </c>
      <c r="Y182" s="27">
        <f t="shared" si="274"/>
        <v>78968.61</v>
      </c>
      <c r="Z182" s="60">
        <v>78968.61</v>
      </c>
      <c r="AA182" s="60">
        <v>0</v>
      </c>
      <c r="AB182" s="2">
        <v>0</v>
      </c>
      <c r="AC182" s="2">
        <v>0</v>
      </c>
      <c r="AD182" s="2">
        <v>0</v>
      </c>
      <c r="AE182" s="2">
        <f t="shared" si="246"/>
        <v>3948430.5</v>
      </c>
      <c r="AF182" s="36"/>
      <c r="AG182" s="2">
        <f t="shared" si="259"/>
        <v>3948430.5</v>
      </c>
      <c r="AH182" s="29" t="s">
        <v>586</v>
      </c>
      <c r="AI182" s="36"/>
      <c r="AJ182" s="40">
        <v>0</v>
      </c>
      <c r="AK182" s="40">
        <v>0</v>
      </c>
    </row>
    <row r="183" spans="1:37" ht="315" x14ac:dyDescent="0.25">
      <c r="A183" s="348" t="s">
        <v>1772</v>
      </c>
      <c r="B183" s="20">
        <v>119289</v>
      </c>
      <c r="C183" s="24">
        <v>484</v>
      </c>
      <c r="D183" s="3" t="s">
        <v>684</v>
      </c>
      <c r="E183" s="24" t="s">
        <v>1040</v>
      </c>
      <c r="F183" s="3" t="s">
        <v>543</v>
      </c>
      <c r="G183" s="23" t="s">
        <v>625</v>
      </c>
      <c r="H183" s="23" t="s">
        <v>626</v>
      </c>
      <c r="I183" s="3" t="s">
        <v>349</v>
      </c>
      <c r="J183" s="51" t="s">
        <v>627</v>
      </c>
      <c r="K183" s="5">
        <v>43271</v>
      </c>
      <c r="L183" s="7">
        <v>43758</v>
      </c>
      <c r="M183" s="4">
        <f t="shared" si="266"/>
        <v>85.000003319296809</v>
      </c>
      <c r="N183" s="17">
        <v>3</v>
      </c>
      <c r="O183" s="3" t="s">
        <v>432</v>
      </c>
      <c r="P183" s="3" t="s">
        <v>585</v>
      </c>
      <c r="Q183" s="3" t="s">
        <v>212</v>
      </c>
      <c r="R183" s="3" t="s">
        <v>547</v>
      </c>
      <c r="S183" s="27">
        <f>T183+U183</f>
        <v>332901.85000000009</v>
      </c>
      <c r="T183" s="39">
        <v>332901.85000000009</v>
      </c>
      <c r="U183" s="39">
        <v>0</v>
      </c>
      <c r="V183" s="27">
        <f>W183+X183</f>
        <v>50914.380000000005</v>
      </c>
      <c r="W183" s="39">
        <v>50914.380000000005</v>
      </c>
      <c r="X183" s="39">
        <v>0</v>
      </c>
      <c r="Y183" s="27">
        <f>Z183+AA183</f>
        <v>7832.9900000000016</v>
      </c>
      <c r="Z183" s="31">
        <v>7832.9900000000016</v>
      </c>
      <c r="AA183" s="31">
        <v>0</v>
      </c>
      <c r="AB183" s="2">
        <f>AC183+AD183</f>
        <v>0</v>
      </c>
      <c r="AC183" s="45">
        <v>0</v>
      </c>
      <c r="AD183" s="45">
        <v>0</v>
      </c>
      <c r="AE183" s="2">
        <f>S183+V183+Y183+AB183</f>
        <v>391649.22000000009</v>
      </c>
      <c r="AF183" s="39">
        <v>0</v>
      </c>
      <c r="AG183" s="2">
        <f>AE183+AF183</f>
        <v>391649.22000000009</v>
      </c>
      <c r="AH183" s="29" t="s">
        <v>586</v>
      </c>
      <c r="AI183" s="36"/>
      <c r="AJ183" s="40">
        <f>38381.62-1141.39+34311.47</f>
        <v>71551.700000000012</v>
      </c>
      <c r="AK183" s="31">
        <f>5695.57+5247.64</f>
        <v>10943.21</v>
      </c>
    </row>
    <row r="184" spans="1:37" ht="409.5" x14ac:dyDescent="0.25">
      <c r="A184" s="348" t="s">
        <v>1773</v>
      </c>
      <c r="B184" s="15">
        <v>118717</v>
      </c>
      <c r="C184" s="16">
        <v>435</v>
      </c>
      <c r="D184" s="17" t="s">
        <v>684</v>
      </c>
      <c r="E184" s="21" t="s">
        <v>704</v>
      </c>
      <c r="F184" s="22" t="s">
        <v>611</v>
      </c>
      <c r="G184" s="23" t="s">
        <v>960</v>
      </c>
      <c r="H184" s="3" t="s">
        <v>626</v>
      </c>
      <c r="I184" s="3" t="s">
        <v>349</v>
      </c>
      <c r="J184" s="25" t="s">
        <v>961</v>
      </c>
      <c r="K184" s="5">
        <v>43333</v>
      </c>
      <c r="L184" s="7">
        <v>43790</v>
      </c>
      <c r="M184" s="4">
        <f t="shared" ref="M184:M185" si="275">S184/AE184*100</f>
        <v>84.999995136543049</v>
      </c>
      <c r="N184" s="24">
        <v>3</v>
      </c>
      <c r="O184" s="3" t="s">
        <v>432</v>
      </c>
      <c r="P184" s="3" t="s">
        <v>585</v>
      </c>
      <c r="Q184" s="3" t="s">
        <v>212</v>
      </c>
      <c r="R184" s="3" t="s">
        <v>547</v>
      </c>
      <c r="S184" s="27">
        <f t="shared" ref="S184:S185" si="276">T184+U184</f>
        <v>227204.63</v>
      </c>
      <c r="T184" s="35">
        <v>227204.63</v>
      </c>
      <c r="U184" s="39">
        <v>0</v>
      </c>
      <c r="V184" s="27">
        <f t="shared" si="258"/>
        <v>34748.959999999999</v>
      </c>
      <c r="W184" s="35">
        <v>34748.959999999999</v>
      </c>
      <c r="X184" s="69">
        <v>0</v>
      </c>
      <c r="Y184" s="27">
        <f t="shared" ref="Y184:Y185" si="277">Z184+AA184</f>
        <v>5345.99</v>
      </c>
      <c r="Z184" s="60">
        <v>5345.99</v>
      </c>
      <c r="AA184" s="60">
        <v>0</v>
      </c>
      <c r="AB184" s="2">
        <f t="shared" si="257"/>
        <v>0</v>
      </c>
      <c r="AC184" s="35"/>
      <c r="AD184" s="35"/>
      <c r="AE184" s="2">
        <f t="shared" si="246"/>
        <v>267299.58</v>
      </c>
      <c r="AF184" s="36">
        <v>37391</v>
      </c>
      <c r="AG184" s="2">
        <f t="shared" si="259"/>
        <v>304690.58</v>
      </c>
      <c r="AH184" s="29" t="s">
        <v>586</v>
      </c>
      <c r="AI184" s="29" t="s">
        <v>1190</v>
      </c>
      <c r="AJ184" s="40">
        <f>26729+12123.33+40308.88</f>
        <v>79161.209999999992</v>
      </c>
      <c r="AK184" s="40">
        <f>5942.12+6164.89</f>
        <v>12107.01</v>
      </c>
    </row>
    <row r="185" spans="1:37" ht="409.5" x14ac:dyDescent="0.25">
      <c r="A185" s="348" t="s">
        <v>1774</v>
      </c>
      <c r="B185" s="15">
        <v>129688</v>
      </c>
      <c r="C185" s="16">
        <v>686</v>
      </c>
      <c r="D185" s="17" t="s">
        <v>163</v>
      </c>
      <c r="E185" s="21" t="s">
        <v>967</v>
      </c>
      <c r="F185" s="17" t="s">
        <v>1416</v>
      </c>
      <c r="G185" s="23" t="s">
        <v>1432</v>
      </c>
      <c r="H185" s="3" t="s">
        <v>1433</v>
      </c>
      <c r="I185" s="3" t="s">
        <v>349</v>
      </c>
      <c r="J185" s="25" t="s">
        <v>1434</v>
      </c>
      <c r="K185" s="5">
        <v>43614</v>
      </c>
      <c r="L185" s="7">
        <v>44345</v>
      </c>
      <c r="M185" s="4">
        <f t="shared" si="275"/>
        <v>84.999999952929599</v>
      </c>
      <c r="N185" s="24">
        <v>3</v>
      </c>
      <c r="O185" s="3" t="s">
        <v>432</v>
      </c>
      <c r="P185" s="3" t="s">
        <v>585</v>
      </c>
      <c r="Q185" s="3" t="s">
        <v>212</v>
      </c>
      <c r="R185" s="3" t="s">
        <v>547</v>
      </c>
      <c r="S185" s="27">
        <f t="shared" si="276"/>
        <v>2708708.76</v>
      </c>
      <c r="T185" s="35">
        <v>2708708.76</v>
      </c>
      <c r="U185" s="39">
        <v>0</v>
      </c>
      <c r="V185" s="27">
        <f t="shared" si="258"/>
        <v>414273.1</v>
      </c>
      <c r="W185" s="35">
        <v>414273.1</v>
      </c>
      <c r="X185" s="69">
        <v>0</v>
      </c>
      <c r="Y185" s="27">
        <f t="shared" si="277"/>
        <v>63734.33</v>
      </c>
      <c r="Z185" s="60">
        <v>63734.33</v>
      </c>
      <c r="AA185" s="60">
        <v>0</v>
      </c>
      <c r="AB185" s="2">
        <f t="shared" si="257"/>
        <v>0</v>
      </c>
      <c r="AC185" s="60">
        <v>0</v>
      </c>
      <c r="AD185" s="60">
        <v>0</v>
      </c>
      <c r="AE185" s="2">
        <f t="shared" si="246"/>
        <v>3186716.19</v>
      </c>
      <c r="AF185" s="36">
        <v>0</v>
      </c>
      <c r="AG185" s="2">
        <f t="shared" si="259"/>
        <v>3186716.19</v>
      </c>
      <c r="AH185" s="29" t="s">
        <v>586</v>
      </c>
      <c r="AI185" s="36"/>
      <c r="AJ185" s="189"/>
      <c r="AK185" s="36"/>
    </row>
    <row r="186" spans="1:37" ht="362.25" x14ac:dyDescent="0.25">
      <c r="A186" s="348" t="s">
        <v>1775</v>
      </c>
      <c r="B186" s="20">
        <v>119720</v>
      </c>
      <c r="C186" s="24">
        <v>481</v>
      </c>
      <c r="D186" s="3" t="s">
        <v>684</v>
      </c>
      <c r="E186" s="24" t="s">
        <v>1040</v>
      </c>
      <c r="F186" s="3" t="s">
        <v>543</v>
      </c>
      <c r="G186" s="23" t="s">
        <v>587</v>
      </c>
      <c r="H186" s="23" t="s">
        <v>588</v>
      </c>
      <c r="I186" s="3" t="s">
        <v>349</v>
      </c>
      <c r="J186" s="51" t="s">
        <v>590</v>
      </c>
      <c r="K186" s="5">
        <v>43264</v>
      </c>
      <c r="L186" s="7">
        <v>43903</v>
      </c>
      <c r="M186" s="4">
        <f>S186/AE186*100</f>
        <v>85.00000159999999</v>
      </c>
      <c r="N186" s="17">
        <v>3</v>
      </c>
      <c r="O186" s="3" t="s">
        <v>433</v>
      </c>
      <c r="P186" s="3" t="s">
        <v>589</v>
      </c>
      <c r="Q186" s="3" t="s">
        <v>212</v>
      </c>
      <c r="R186" s="3" t="s">
        <v>547</v>
      </c>
      <c r="S186" s="27">
        <f>T186+U186</f>
        <v>531250.01</v>
      </c>
      <c r="T186" s="39">
        <v>531250.01</v>
      </c>
      <c r="U186" s="39">
        <v>0</v>
      </c>
      <c r="V186" s="27">
        <f>W186+X186</f>
        <v>81249.989999999991</v>
      </c>
      <c r="W186" s="39">
        <v>81249.989999999991</v>
      </c>
      <c r="X186" s="39">
        <v>0</v>
      </c>
      <c r="Y186" s="27">
        <f>Z186+AA186</f>
        <v>12500</v>
      </c>
      <c r="Z186" s="31">
        <v>12500</v>
      </c>
      <c r="AA186" s="31">
        <v>0</v>
      </c>
      <c r="AB186" s="2">
        <f>AC186+AD186</f>
        <v>0</v>
      </c>
      <c r="AC186" s="45">
        <v>0</v>
      </c>
      <c r="AD186" s="45">
        <v>0</v>
      </c>
      <c r="AE186" s="2">
        <f>S186+V186+Y186+AB186</f>
        <v>625000</v>
      </c>
      <c r="AF186" s="39">
        <v>19813.5</v>
      </c>
      <c r="AG186" s="2">
        <f>AE186+AF186</f>
        <v>644813.5</v>
      </c>
      <c r="AH186" s="29" t="s">
        <v>586</v>
      </c>
      <c r="AI186" s="36" t="s">
        <v>1371</v>
      </c>
      <c r="AJ186" s="40">
        <f>37222.35+21641</f>
        <v>58863.35</v>
      </c>
      <c r="AK186" s="31">
        <f>5692.83+3309.8</f>
        <v>9002.630000000001</v>
      </c>
    </row>
    <row r="187" spans="1:37" s="174" customFormat="1" ht="393.75" x14ac:dyDescent="0.25">
      <c r="A187" s="348" t="s">
        <v>1776</v>
      </c>
      <c r="B187" s="37">
        <v>118770</v>
      </c>
      <c r="C187" s="24">
        <v>440</v>
      </c>
      <c r="D187" s="24" t="s">
        <v>175</v>
      </c>
      <c r="E187" s="21" t="s">
        <v>704</v>
      </c>
      <c r="F187" s="21" t="s">
        <v>611</v>
      </c>
      <c r="G187" s="21" t="s">
        <v>894</v>
      </c>
      <c r="H187" s="24" t="s">
        <v>895</v>
      </c>
      <c r="I187" s="24" t="s">
        <v>185</v>
      </c>
      <c r="J187" s="21" t="s">
        <v>897</v>
      </c>
      <c r="K187" s="7">
        <v>43318</v>
      </c>
      <c r="L187" s="7">
        <v>43683</v>
      </c>
      <c r="M187" s="47">
        <f t="shared" ref="M187:M189" si="278">S187/AE187*100</f>
        <v>85</v>
      </c>
      <c r="N187" s="24">
        <v>3</v>
      </c>
      <c r="O187" s="24" t="s">
        <v>433</v>
      </c>
      <c r="P187" s="24" t="s">
        <v>896</v>
      </c>
      <c r="Q187" s="24" t="s">
        <v>212</v>
      </c>
      <c r="R187" s="24" t="s">
        <v>547</v>
      </c>
      <c r="S187" s="27">
        <f t="shared" ref="S187:S189" si="279">T187+U187</f>
        <v>254981.3</v>
      </c>
      <c r="T187" s="1">
        <v>254981.3</v>
      </c>
      <c r="U187" s="48">
        <v>0</v>
      </c>
      <c r="V187" s="27">
        <f t="shared" si="258"/>
        <v>38997.14</v>
      </c>
      <c r="W187" s="1">
        <v>38997.14</v>
      </c>
      <c r="X187" s="48">
        <v>0</v>
      </c>
      <c r="Y187" s="27">
        <f t="shared" ref="Y187:Y189" si="280">Z187+AA187</f>
        <v>5999.56</v>
      </c>
      <c r="Z187" s="1">
        <v>5999.56</v>
      </c>
      <c r="AA187" s="1">
        <v>0</v>
      </c>
      <c r="AB187" s="28">
        <f t="shared" si="257"/>
        <v>0</v>
      </c>
      <c r="AC187" s="48">
        <v>0</v>
      </c>
      <c r="AD187" s="48">
        <v>0</v>
      </c>
      <c r="AE187" s="28">
        <f t="shared" si="246"/>
        <v>299978</v>
      </c>
      <c r="AF187" s="29">
        <v>0</v>
      </c>
      <c r="AG187" s="28">
        <f t="shared" si="259"/>
        <v>299978</v>
      </c>
      <c r="AH187" s="29" t="s">
        <v>586</v>
      </c>
      <c r="AI187" s="29" t="s">
        <v>1284</v>
      </c>
      <c r="AJ187" s="40">
        <f>29900+23800.54+29900+16017.04+29900</f>
        <v>129517.58000000002</v>
      </c>
      <c r="AK187" s="40">
        <f>8213.02+7022.61</f>
        <v>15235.630000000001</v>
      </c>
    </row>
    <row r="188" spans="1:37" s="174" customFormat="1" ht="378" x14ac:dyDescent="0.25">
      <c r="A188" s="348" t="s">
        <v>1777</v>
      </c>
      <c r="B188" s="37">
        <v>126498</v>
      </c>
      <c r="C188" s="24">
        <v>572</v>
      </c>
      <c r="D188" s="24" t="s">
        <v>174</v>
      </c>
      <c r="E188" s="21" t="s">
        <v>967</v>
      </c>
      <c r="F188" s="21" t="s">
        <v>1133</v>
      </c>
      <c r="G188" s="21" t="s">
        <v>1327</v>
      </c>
      <c r="H188" s="24" t="s">
        <v>895</v>
      </c>
      <c r="I188" s="24" t="s">
        <v>185</v>
      </c>
      <c r="J188" s="21" t="s">
        <v>1328</v>
      </c>
      <c r="K188" s="7">
        <v>43552</v>
      </c>
      <c r="L188" s="7">
        <v>44467</v>
      </c>
      <c r="M188" s="47">
        <f t="shared" ref="M188" si="281">S188/AE188*100</f>
        <v>85.000000127055301</v>
      </c>
      <c r="N188" s="24">
        <v>3</v>
      </c>
      <c r="O188" s="24" t="s">
        <v>433</v>
      </c>
      <c r="P188" s="24" t="s">
        <v>896</v>
      </c>
      <c r="Q188" s="24" t="s">
        <v>212</v>
      </c>
      <c r="R188" s="24" t="s">
        <v>547</v>
      </c>
      <c r="S188" s="27">
        <f t="shared" ref="S188" si="282">T188+U188</f>
        <v>3345000.16</v>
      </c>
      <c r="T188" s="1">
        <v>3345000.16</v>
      </c>
      <c r="U188" s="48">
        <v>0</v>
      </c>
      <c r="V188" s="27">
        <f t="shared" ref="V188" si="283">W188+X188</f>
        <v>516462.97</v>
      </c>
      <c r="W188" s="1">
        <v>516462.97</v>
      </c>
      <c r="X188" s="48">
        <v>0</v>
      </c>
      <c r="Y188" s="27">
        <f t="shared" ref="Y188" si="284">Z188+AA188</f>
        <v>73831.17</v>
      </c>
      <c r="Z188" s="1">
        <v>73831.17</v>
      </c>
      <c r="AA188" s="1">
        <v>0</v>
      </c>
      <c r="AB188" s="28">
        <f t="shared" ref="AB188" si="285">AC188+AD188</f>
        <v>0</v>
      </c>
      <c r="AC188" s="48">
        <v>0</v>
      </c>
      <c r="AD188" s="48">
        <v>0</v>
      </c>
      <c r="AE188" s="28">
        <f t="shared" ref="AE188" si="286">S188+V188+Y188+AB188</f>
        <v>3935294.3</v>
      </c>
      <c r="AF188" s="29">
        <v>4974.2</v>
      </c>
      <c r="AG188" s="28">
        <f t="shared" ref="AG188" si="287">AE188+AF188</f>
        <v>3940268.5</v>
      </c>
      <c r="AH188" s="29" t="s">
        <v>586</v>
      </c>
      <c r="AI188" s="29" t="s">
        <v>1284</v>
      </c>
      <c r="AJ188" s="40">
        <v>0</v>
      </c>
      <c r="AK188" s="40">
        <v>0</v>
      </c>
    </row>
    <row r="189" spans="1:37" ht="409.5" x14ac:dyDescent="0.25">
      <c r="A189" s="348" t="s">
        <v>1778</v>
      </c>
      <c r="B189" s="37">
        <v>126289</v>
      </c>
      <c r="C189" s="24">
        <v>492</v>
      </c>
      <c r="D189" s="24" t="s">
        <v>175</v>
      </c>
      <c r="E189" s="21" t="s">
        <v>967</v>
      </c>
      <c r="F189" s="21" t="s">
        <v>1133</v>
      </c>
      <c r="G189" s="21" t="s">
        <v>1356</v>
      </c>
      <c r="H189" s="24" t="s">
        <v>1357</v>
      </c>
      <c r="I189" s="24" t="s">
        <v>422</v>
      </c>
      <c r="J189" s="21" t="s">
        <v>1358</v>
      </c>
      <c r="K189" s="5">
        <v>43563</v>
      </c>
      <c r="L189" s="7">
        <v>44476</v>
      </c>
      <c r="M189" s="4">
        <f t="shared" si="278"/>
        <v>85.000000203645214</v>
      </c>
      <c r="N189" s="17">
        <v>3</v>
      </c>
      <c r="O189" s="24" t="s">
        <v>433</v>
      </c>
      <c r="P189" s="24" t="s">
        <v>589</v>
      </c>
      <c r="Q189" s="24" t="s">
        <v>212</v>
      </c>
      <c r="R189" s="24" t="s">
        <v>1359</v>
      </c>
      <c r="S189" s="27">
        <f t="shared" si="279"/>
        <v>2504355.21</v>
      </c>
      <c r="T189" s="2">
        <v>2504355.21</v>
      </c>
      <c r="U189" s="2">
        <v>0</v>
      </c>
      <c r="V189" s="27">
        <f t="shared" si="258"/>
        <v>383019.03</v>
      </c>
      <c r="W189" s="2">
        <v>383019.03</v>
      </c>
      <c r="X189" s="2">
        <v>0</v>
      </c>
      <c r="Y189" s="27">
        <f t="shared" si="280"/>
        <v>58926</v>
      </c>
      <c r="Z189" s="2">
        <v>58926</v>
      </c>
      <c r="AA189" s="2">
        <v>0</v>
      </c>
      <c r="AB189" s="2">
        <f t="shared" si="257"/>
        <v>0</v>
      </c>
      <c r="AC189" s="35"/>
      <c r="AD189" s="35"/>
      <c r="AE189" s="2">
        <f t="shared" si="246"/>
        <v>2946300.24</v>
      </c>
      <c r="AF189" s="2">
        <v>3255.78</v>
      </c>
      <c r="AG189" s="2">
        <f t="shared" si="259"/>
        <v>2949556.02</v>
      </c>
      <c r="AH189" s="29" t="s">
        <v>586</v>
      </c>
      <c r="AI189" s="36"/>
      <c r="AJ189" s="40">
        <v>0</v>
      </c>
      <c r="AK189" s="40">
        <v>0</v>
      </c>
    </row>
    <row r="190" spans="1:37" ht="299.25" x14ac:dyDescent="0.25">
      <c r="A190" s="348" t="s">
        <v>1779</v>
      </c>
      <c r="B190" s="20">
        <v>120582</v>
      </c>
      <c r="C190" s="16">
        <v>109</v>
      </c>
      <c r="D190" s="3" t="s">
        <v>684</v>
      </c>
      <c r="E190" s="21" t="s">
        <v>967</v>
      </c>
      <c r="F190" s="22" t="s">
        <v>331</v>
      </c>
      <c r="G190" s="23" t="s">
        <v>215</v>
      </c>
      <c r="H190" s="23" t="s">
        <v>218</v>
      </c>
      <c r="I190" s="3" t="s">
        <v>185</v>
      </c>
      <c r="J190" s="51" t="s">
        <v>221</v>
      </c>
      <c r="K190" s="5">
        <v>43129</v>
      </c>
      <c r="L190" s="7">
        <v>43675</v>
      </c>
      <c r="M190" s="4">
        <f t="shared" ref="M190:M198" si="288">S190/AE190*100</f>
        <v>85.000000819683009</v>
      </c>
      <c r="N190" s="3">
        <v>1</v>
      </c>
      <c r="O190" s="3" t="s">
        <v>225</v>
      </c>
      <c r="P190" s="3" t="s">
        <v>225</v>
      </c>
      <c r="Q190" s="44" t="s">
        <v>212</v>
      </c>
      <c r="R190" s="3" t="s">
        <v>36</v>
      </c>
      <c r="S190" s="2">
        <f>T190+U190</f>
        <v>518493.12</v>
      </c>
      <c r="T190" s="2">
        <v>518493.12</v>
      </c>
      <c r="U190" s="2">
        <v>0</v>
      </c>
      <c r="V190" s="27">
        <f t="shared" si="258"/>
        <v>79298.94</v>
      </c>
      <c r="W190" s="2">
        <v>79298.94</v>
      </c>
      <c r="X190" s="2">
        <v>0</v>
      </c>
      <c r="Y190" s="2">
        <f>Z190+AA190</f>
        <v>12199.84</v>
      </c>
      <c r="Z190" s="2">
        <v>12199.84</v>
      </c>
      <c r="AA190" s="2">
        <v>0</v>
      </c>
      <c r="AB190" s="2">
        <f t="shared" si="257"/>
        <v>0</v>
      </c>
      <c r="AC190" s="2"/>
      <c r="AD190" s="2"/>
      <c r="AE190" s="2">
        <f t="shared" si="246"/>
        <v>609991.9</v>
      </c>
      <c r="AF190" s="2">
        <v>0</v>
      </c>
      <c r="AG190" s="2">
        <f t="shared" si="259"/>
        <v>609991.9</v>
      </c>
      <c r="AH190" s="29" t="s">
        <v>586</v>
      </c>
      <c r="AI190" s="30" t="s">
        <v>1373</v>
      </c>
      <c r="AJ190" s="1">
        <f>120214.04+104774.33+39837.96</f>
        <v>264826.33</v>
      </c>
      <c r="AK190" s="52">
        <f>18385.68+16024.31+6092.87</f>
        <v>40502.86</v>
      </c>
    </row>
    <row r="191" spans="1:37" ht="299.25" x14ac:dyDescent="0.25">
      <c r="A191" s="348" t="s">
        <v>1780</v>
      </c>
      <c r="B191" s="20">
        <v>120630</v>
      </c>
      <c r="C191" s="16">
        <v>101</v>
      </c>
      <c r="D191" s="3" t="s">
        <v>684</v>
      </c>
      <c r="E191" s="21" t="s">
        <v>967</v>
      </c>
      <c r="F191" s="22" t="s">
        <v>331</v>
      </c>
      <c r="G191" s="23" t="s">
        <v>281</v>
      </c>
      <c r="H191" s="23" t="s">
        <v>284</v>
      </c>
      <c r="I191" s="3" t="s">
        <v>185</v>
      </c>
      <c r="J191" s="25" t="s">
        <v>290</v>
      </c>
      <c r="K191" s="5">
        <v>43145</v>
      </c>
      <c r="L191" s="7">
        <v>43630</v>
      </c>
      <c r="M191" s="4">
        <f t="shared" si="288"/>
        <v>85.000000236289679</v>
      </c>
      <c r="N191" s="3">
        <v>1</v>
      </c>
      <c r="O191" s="3" t="s">
        <v>225</v>
      </c>
      <c r="P191" s="3" t="s">
        <v>289</v>
      </c>
      <c r="Q191" s="44" t="s">
        <v>212</v>
      </c>
      <c r="R191" s="3" t="s">
        <v>36</v>
      </c>
      <c r="S191" s="2">
        <f t="shared" ref="S191:S197" si="289">T191+U191</f>
        <v>359727.94</v>
      </c>
      <c r="T191" s="2">
        <v>359727.94</v>
      </c>
      <c r="U191" s="2">
        <v>0</v>
      </c>
      <c r="V191" s="27">
        <f t="shared" si="258"/>
        <v>55017.21</v>
      </c>
      <c r="W191" s="2">
        <v>55017.21</v>
      </c>
      <c r="X191" s="2">
        <v>0</v>
      </c>
      <c r="Y191" s="2">
        <f t="shared" ref="Y191:Y197" si="290">Z191+AA191</f>
        <v>8464.19</v>
      </c>
      <c r="Z191" s="2">
        <v>8464.19</v>
      </c>
      <c r="AA191" s="2">
        <v>0</v>
      </c>
      <c r="AB191" s="2">
        <f t="shared" si="257"/>
        <v>0</v>
      </c>
      <c r="AC191" s="2"/>
      <c r="AD191" s="2"/>
      <c r="AE191" s="2">
        <f t="shared" si="246"/>
        <v>423209.34</v>
      </c>
      <c r="AF191" s="2">
        <v>0</v>
      </c>
      <c r="AG191" s="2">
        <f t="shared" si="259"/>
        <v>423209.34</v>
      </c>
      <c r="AH191" s="29" t="s">
        <v>586</v>
      </c>
      <c r="AI191" s="30"/>
      <c r="AJ191" s="1">
        <f>172923.58+1813.03+21160-1356.83+11126.5-1232.65+26252.82+7940.28+37890.56</f>
        <v>276517.29000000004</v>
      </c>
      <c r="AK191" s="31">
        <f>21665.98+2851.77+1356.83+1701.7+1232.65+1214.39+5795.03</f>
        <v>35818.350000000006</v>
      </c>
    </row>
    <row r="192" spans="1:37" ht="283.5" x14ac:dyDescent="0.25">
      <c r="A192" s="348" t="s">
        <v>1781</v>
      </c>
      <c r="B192" s="20">
        <v>120672</v>
      </c>
      <c r="C192" s="16">
        <v>106</v>
      </c>
      <c r="D192" s="3" t="s">
        <v>684</v>
      </c>
      <c r="E192" s="21" t="s">
        <v>967</v>
      </c>
      <c r="F192" s="22" t="s">
        <v>331</v>
      </c>
      <c r="G192" s="23" t="s">
        <v>282</v>
      </c>
      <c r="H192" s="23" t="s">
        <v>285</v>
      </c>
      <c r="I192" s="3" t="s">
        <v>185</v>
      </c>
      <c r="J192" s="25" t="s">
        <v>291</v>
      </c>
      <c r="K192" s="5">
        <v>43145</v>
      </c>
      <c r="L192" s="7">
        <v>43630</v>
      </c>
      <c r="M192" s="4">
        <f t="shared" si="288"/>
        <v>84.999999174149096</v>
      </c>
      <c r="N192" s="3">
        <v>1</v>
      </c>
      <c r="O192" s="3" t="s">
        <v>225</v>
      </c>
      <c r="P192" s="3" t="s">
        <v>225</v>
      </c>
      <c r="Q192" s="44" t="s">
        <v>212</v>
      </c>
      <c r="R192" s="3" t="s">
        <v>36</v>
      </c>
      <c r="S192" s="2">
        <f t="shared" si="289"/>
        <v>360234.51</v>
      </c>
      <c r="T192" s="12">
        <v>360234.51</v>
      </c>
      <c r="U192" s="2">
        <v>0</v>
      </c>
      <c r="V192" s="27">
        <f t="shared" si="258"/>
        <v>55094.69</v>
      </c>
      <c r="W192" s="61">
        <v>55094.69</v>
      </c>
      <c r="X192" s="2">
        <v>0</v>
      </c>
      <c r="Y192" s="145">
        <f t="shared" si="290"/>
        <v>8476.11</v>
      </c>
      <c r="Z192" s="39">
        <v>8476.11</v>
      </c>
      <c r="AA192" s="145">
        <v>0</v>
      </c>
      <c r="AB192" s="145">
        <f t="shared" si="257"/>
        <v>0</v>
      </c>
      <c r="AC192" s="2"/>
      <c r="AD192" s="2"/>
      <c r="AE192" s="2">
        <f t="shared" si="246"/>
        <v>423805.31</v>
      </c>
      <c r="AF192" s="2">
        <v>0</v>
      </c>
      <c r="AG192" s="2">
        <f t="shared" si="259"/>
        <v>423805.31</v>
      </c>
      <c r="AH192" s="29" t="s">
        <v>1526</v>
      </c>
      <c r="AI192" s="30"/>
      <c r="AJ192" s="1">
        <f>63226.44+99468.28</f>
        <v>162694.72</v>
      </c>
      <c r="AK192" s="31">
        <f>9669.93+15212.79</f>
        <v>24882.720000000001</v>
      </c>
    </row>
    <row r="193" spans="1:37" ht="173.25" x14ac:dyDescent="0.25">
      <c r="A193" s="348" t="s">
        <v>1782</v>
      </c>
      <c r="B193" s="20">
        <v>118196</v>
      </c>
      <c r="C193" s="17">
        <v>425</v>
      </c>
      <c r="D193" s="3" t="s">
        <v>684</v>
      </c>
      <c r="E193" s="21" t="s">
        <v>704</v>
      </c>
      <c r="F193" s="22" t="s">
        <v>611</v>
      </c>
      <c r="G193" s="23" t="s">
        <v>602</v>
      </c>
      <c r="H193" s="23" t="s">
        <v>605</v>
      </c>
      <c r="I193" s="3" t="s">
        <v>422</v>
      </c>
      <c r="J193" s="25" t="s">
        <v>603</v>
      </c>
      <c r="K193" s="5">
        <v>43269</v>
      </c>
      <c r="L193" s="5">
        <v>43756</v>
      </c>
      <c r="M193" s="4">
        <f t="shared" si="288"/>
        <v>85</v>
      </c>
      <c r="N193" s="3">
        <v>1</v>
      </c>
      <c r="O193" s="3" t="s">
        <v>225</v>
      </c>
      <c r="P193" s="3" t="s">
        <v>225</v>
      </c>
      <c r="Q193" s="44" t="s">
        <v>212</v>
      </c>
      <c r="R193" s="3" t="s">
        <v>36</v>
      </c>
      <c r="S193" s="39">
        <f>T193+U193</f>
        <v>339668.5</v>
      </c>
      <c r="T193" s="39">
        <v>339668.5</v>
      </c>
      <c r="U193" s="39">
        <v>0</v>
      </c>
      <c r="V193" s="27">
        <f t="shared" si="258"/>
        <v>51949.3</v>
      </c>
      <c r="W193" s="39">
        <v>51949.3</v>
      </c>
      <c r="X193" s="39">
        <v>0</v>
      </c>
      <c r="Y193" s="145">
        <f t="shared" si="290"/>
        <v>7992.2</v>
      </c>
      <c r="Z193" s="39">
        <v>7992.2</v>
      </c>
      <c r="AA193" s="39">
        <v>0</v>
      </c>
      <c r="AB193" s="2">
        <f>AC193+AD193</f>
        <v>0</v>
      </c>
      <c r="AC193" s="39"/>
      <c r="AD193" s="39"/>
      <c r="AE193" s="2">
        <f>S193+V193+Y193+AB193</f>
        <v>399610</v>
      </c>
      <c r="AF193" s="39">
        <v>0</v>
      </c>
      <c r="AG193" s="2">
        <f>AE193+AF193</f>
        <v>399610</v>
      </c>
      <c r="AH193" s="29" t="s">
        <v>586</v>
      </c>
      <c r="AI193" s="30"/>
      <c r="AJ193" s="31">
        <f>16507.97+46617.76+57150.6</f>
        <v>120276.33</v>
      </c>
      <c r="AK193" s="31">
        <f>2524.75+7129.77+8740.68</f>
        <v>18395.2</v>
      </c>
    </row>
    <row r="194" spans="1:37" ht="141.75" x14ac:dyDescent="0.25">
      <c r="A194" s="348" t="s">
        <v>1783</v>
      </c>
      <c r="B194" s="20">
        <v>126155</v>
      </c>
      <c r="C194" s="17">
        <v>544</v>
      </c>
      <c r="D194" s="3" t="s">
        <v>176</v>
      </c>
      <c r="E194" s="21" t="s">
        <v>967</v>
      </c>
      <c r="F194" s="22" t="s">
        <v>1133</v>
      </c>
      <c r="G194" s="23" t="s">
        <v>1149</v>
      </c>
      <c r="H194" s="23" t="s">
        <v>1150</v>
      </c>
      <c r="I194" s="3" t="s">
        <v>422</v>
      </c>
      <c r="J194" s="25" t="s">
        <v>1151</v>
      </c>
      <c r="K194" s="5">
        <v>43437</v>
      </c>
      <c r="L194" s="7">
        <v>44411</v>
      </c>
      <c r="M194" s="4">
        <f t="shared" si="288"/>
        <v>85.000000318097122</v>
      </c>
      <c r="N194" s="3">
        <v>1</v>
      </c>
      <c r="O194" s="3" t="s">
        <v>225</v>
      </c>
      <c r="P194" s="3" t="s">
        <v>225</v>
      </c>
      <c r="Q194" s="44" t="s">
        <v>212</v>
      </c>
      <c r="R194" s="3" t="s">
        <v>36</v>
      </c>
      <c r="S194" s="39">
        <f t="shared" ref="S194:S196" si="291">T194+U194</f>
        <v>2672139.91</v>
      </c>
      <c r="T194" s="39">
        <v>2672139.91</v>
      </c>
      <c r="U194" s="39">
        <v>0</v>
      </c>
      <c r="V194" s="27">
        <f t="shared" si="258"/>
        <v>408680.21</v>
      </c>
      <c r="W194" s="39">
        <v>408680.21</v>
      </c>
      <c r="X194" s="39">
        <v>0</v>
      </c>
      <c r="Y194" s="145">
        <f t="shared" si="290"/>
        <v>62873.88</v>
      </c>
      <c r="Z194" s="39">
        <v>62873.88</v>
      </c>
      <c r="AA194" s="39">
        <v>0</v>
      </c>
      <c r="AB194" s="2">
        <f t="shared" ref="AB194:AB196" si="292">AC194+AD194</f>
        <v>0</v>
      </c>
      <c r="AC194" s="28">
        <v>0</v>
      </c>
      <c r="AD194" s="28">
        <v>0</v>
      </c>
      <c r="AE194" s="2">
        <f t="shared" ref="AE194:AE196" si="293">S194+V194+Y194+AB194</f>
        <v>3143694</v>
      </c>
      <c r="AF194" s="39">
        <v>0</v>
      </c>
      <c r="AG194" s="2">
        <f>AE194+AF194</f>
        <v>3143694</v>
      </c>
      <c r="AH194" s="29" t="s">
        <v>586</v>
      </c>
      <c r="AI194" s="30"/>
      <c r="AJ194" s="31">
        <v>0</v>
      </c>
      <c r="AK194" s="31">
        <v>0</v>
      </c>
    </row>
    <row r="195" spans="1:37" ht="173.25" x14ac:dyDescent="0.25">
      <c r="A195" s="348" t="s">
        <v>1784</v>
      </c>
      <c r="B195" s="20">
        <v>125900</v>
      </c>
      <c r="C195" s="17">
        <v>518</v>
      </c>
      <c r="D195" s="3" t="s">
        <v>1073</v>
      </c>
      <c r="E195" s="21" t="s">
        <v>967</v>
      </c>
      <c r="F195" s="22" t="s">
        <v>1133</v>
      </c>
      <c r="G195" s="23" t="s">
        <v>1157</v>
      </c>
      <c r="H195" s="23" t="s">
        <v>1158</v>
      </c>
      <c r="I195" s="3" t="s">
        <v>422</v>
      </c>
      <c r="J195" s="25" t="s">
        <v>1159</v>
      </c>
      <c r="K195" s="5">
        <v>43439</v>
      </c>
      <c r="L195" s="7">
        <v>43987</v>
      </c>
      <c r="M195" s="4">
        <f t="shared" si="288"/>
        <v>85.000001224772731</v>
      </c>
      <c r="N195" s="3">
        <v>1</v>
      </c>
      <c r="O195" s="3" t="s">
        <v>225</v>
      </c>
      <c r="P195" s="3" t="s">
        <v>225</v>
      </c>
      <c r="Q195" s="44" t="s">
        <v>212</v>
      </c>
      <c r="R195" s="3" t="s">
        <v>36</v>
      </c>
      <c r="S195" s="39">
        <f t="shared" si="291"/>
        <v>694006.31</v>
      </c>
      <c r="T195" s="39">
        <v>694006.31</v>
      </c>
      <c r="U195" s="39">
        <v>0</v>
      </c>
      <c r="V195" s="27">
        <f t="shared" si="258"/>
        <v>106142.13</v>
      </c>
      <c r="W195" s="39">
        <v>106142.13</v>
      </c>
      <c r="X195" s="39">
        <v>0</v>
      </c>
      <c r="Y195" s="145">
        <f t="shared" si="290"/>
        <v>16329.56</v>
      </c>
      <c r="Z195" s="39">
        <v>16329.56</v>
      </c>
      <c r="AA195" s="39">
        <v>0</v>
      </c>
      <c r="AB195" s="2">
        <f t="shared" si="292"/>
        <v>0</v>
      </c>
      <c r="AC195" s="39">
        <v>0</v>
      </c>
      <c r="AD195" s="39">
        <v>0</v>
      </c>
      <c r="AE195" s="2">
        <f t="shared" si="293"/>
        <v>816478.00000000012</v>
      </c>
      <c r="AF195" s="39">
        <v>0</v>
      </c>
      <c r="AG195" s="2">
        <f t="shared" ref="AG195:AG196" si="294">AE195+AF195</f>
        <v>816478.00000000012</v>
      </c>
      <c r="AH195" s="29" t="s">
        <v>586</v>
      </c>
      <c r="AI195" s="30"/>
      <c r="AJ195" s="31">
        <v>22112.75</v>
      </c>
      <c r="AK195" s="31">
        <v>3381.95</v>
      </c>
    </row>
    <row r="196" spans="1:37" ht="252" x14ac:dyDescent="0.25">
      <c r="A196" s="348" t="s">
        <v>1785</v>
      </c>
      <c r="B196" s="20">
        <v>126350</v>
      </c>
      <c r="C196" s="17">
        <v>570</v>
      </c>
      <c r="D196" s="3" t="s">
        <v>175</v>
      </c>
      <c r="E196" s="21" t="s">
        <v>967</v>
      </c>
      <c r="F196" s="22" t="s">
        <v>1133</v>
      </c>
      <c r="G196" s="23" t="s">
        <v>1364</v>
      </c>
      <c r="H196" s="23" t="s">
        <v>1158</v>
      </c>
      <c r="I196" s="3" t="s">
        <v>422</v>
      </c>
      <c r="J196" s="25" t="s">
        <v>1365</v>
      </c>
      <c r="K196" s="5">
        <v>43564</v>
      </c>
      <c r="L196" s="7">
        <v>44386</v>
      </c>
      <c r="M196" s="4">
        <f t="shared" si="288"/>
        <v>84.999999916591278</v>
      </c>
      <c r="N196" s="3">
        <v>1</v>
      </c>
      <c r="O196" s="3" t="s">
        <v>225</v>
      </c>
      <c r="P196" s="3" t="s">
        <v>225</v>
      </c>
      <c r="Q196" s="44" t="s">
        <v>212</v>
      </c>
      <c r="R196" s="3" t="s">
        <v>1366</v>
      </c>
      <c r="S196" s="39">
        <f t="shared" si="291"/>
        <v>2038156.45</v>
      </c>
      <c r="T196" s="39">
        <v>2038156.45</v>
      </c>
      <c r="U196" s="39">
        <v>0</v>
      </c>
      <c r="V196" s="27">
        <f t="shared" si="258"/>
        <v>311718.05</v>
      </c>
      <c r="W196" s="39">
        <v>311718.05</v>
      </c>
      <c r="X196" s="39"/>
      <c r="Y196" s="145">
        <f t="shared" si="290"/>
        <v>47956.62</v>
      </c>
      <c r="Z196" s="39">
        <v>47956.62</v>
      </c>
      <c r="AA196" s="39">
        <v>0</v>
      </c>
      <c r="AB196" s="2">
        <f t="shared" si="292"/>
        <v>0</v>
      </c>
      <c r="AC196" s="39"/>
      <c r="AD196" s="39"/>
      <c r="AE196" s="2">
        <f t="shared" si="293"/>
        <v>2397831.12</v>
      </c>
      <c r="AF196" s="39">
        <v>35700</v>
      </c>
      <c r="AG196" s="2">
        <f t="shared" si="294"/>
        <v>2433531.12</v>
      </c>
      <c r="AH196" s="29" t="s">
        <v>586</v>
      </c>
      <c r="AI196" s="30"/>
      <c r="AJ196" s="31">
        <v>0</v>
      </c>
      <c r="AK196" s="31">
        <v>0</v>
      </c>
    </row>
    <row r="197" spans="1:37" ht="252" x14ac:dyDescent="0.25">
      <c r="A197" s="348" t="s">
        <v>1786</v>
      </c>
      <c r="B197" s="20">
        <v>128787</v>
      </c>
      <c r="C197" s="17">
        <v>631</v>
      </c>
      <c r="D197" s="3" t="s">
        <v>173</v>
      </c>
      <c r="E197" s="21" t="s">
        <v>967</v>
      </c>
      <c r="F197" s="22" t="s">
        <v>1416</v>
      </c>
      <c r="G197" s="23" t="s">
        <v>1449</v>
      </c>
      <c r="H197" s="23" t="s">
        <v>1517</v>
      </c>
      <c r="I197" s="3" t="s">
        <v>422</v>
      </c>
      <c r="J197" s="25" t="s">
        <v>1450</v>
      </c>
      <c r="K197" s="5">
        <v>43622</v>
      </c>
      <c r="L197" s="7">
        <v>44536</v>
      </c>
      <c r="M197" s="4">
        <f t="shared" si="288"/>
        <v>84.999999929965156</v>
      </c>
      <c r="N197" s="3">
        <v>1</v>
      </c>
      <c r="O197" s="3" t="s">
        <v>225</v>
      </c>
      <c r="P197" s="3" t="s">
        <v>289</v>
      </c>
      <c r="Q197" s="44" t="s">
        <v>212</v>
      </c>
      <c r="R197" s="3" t="s">
        <v>1366</v>
      </c>
      <c r="S197" s="39">
        <f t="shared" si="289"/>
        <v>3034203.56</v>
      </c>
      <c r="T197" s="39">
        <v>3034203.56</v>
      </c>
      <c r="U197" s="39">
        <v>0</v>
      </c>
      <c r="V197" s="39">
        <f t="shared" si="258"/>
        <v>464054.66</v>
      </c>
      <c r="W197" s="39">
        <v>464054.66</v>
      </c>
      <c r="X197" s="39">
        <v>0</v>
      </c>
      <c r="Y197" s="190">
        <f t="shared" si="290"/>
        <v>71393.03</v>
      </c>
      <c r="Z197" s="191">
        <v>71393.03</v>
      </c>
      <c r="AA197" s="39">
        <v>0</v>
      </c>
      <c r="AB197" s="2">
        <f t="shared" si="257"/>
        <v>0</v>
      </c>
      <c r="AC197" s="39">
        <v>0</v>
      </c>
      <c r="AD197" s="39">
        <v>0</v>
      </c>
      <c r="AE197" s="2">
        <f t="shared" si="246"/>
        <v>3569651.25</v>
      </c>
      <c r="AF197" s="39">
        <v>0</v>
      </c>
      <c r="AG197" s="2">
        <f t="shared" si="259"/>
        <v>3569651.25</v>
      </c>
      <c r="AH197" s="29" t="s">
        <v>586</v>
      </c>
      <c r="AI197" s="30"/>
      <c r="AJ197" s="31"/>
      <c r="AK197" s="31"/>
    </row>
    <row r="198" spans="1:37" ht="409.5" x14ac:dyDescent="0.25">
      <c r="A198" s="348" t="s">
        <v>1787</v>
      </c>
      <c r="B198" s="20">
        <v>118788</v>
      </c>
      <c r="C198" s="24">
        <v>445</v>
      </c>
      <c r="D198" s="3" t="s">
        <v>843</v>
      </c>
      <c r="E198" s="21" t="s">
        <v>704</v>
      </c>
      <c r="F198" s="23" t="s">
        <v>611</v>
      </c>
      <c r="G198" s="23" t="s">
        <v>913</v>
      </c>
      <c r="H198" s="3" t="s">
        <v>914</v>
      </c>
      <c r="I198" s="3" t="s">
        <v>185</v>
      </c>
      <c r="J198" s="23" t="s">
        <v>915</v>
      </c>
      <c r="K198" s="5">
        <v>43325</v>
      </c>
      <c r="L198" s="7">
        <v>43690</v>
      </c>
      <c r="M198" s="3">
        <f t="shared" si="288"/>
        <v>85.000001253240569</v>
      </c>
      <c r="N198" s="3">
        <v>2</v>
      </c>
      <c r="O198" s="3" t="s">
        <v>434</v>
      </c>
      <c r="P198" s="3" t="s">
        <v>916</v>
      </c>
      <c r="Q198" s="3" t="s">
        <v>212</v>
      </c>
      <c r="R198" s="3" t="s">
        <v>36</v>
      </c>
      <c r="S198" s="31">
        <f>T198+U198</f>
        <v>339120.85</v>
      </c>
      <c r="T198" s="31">
        <v>339120.85</v>
      </c>
      <c r="U198" s="45">
        <v>0</v>
      </c>
      <c r="V198" s="31">
        <f>W198+X198</f>
        <v>51865.54</v>
      </c>
      <c r="W198" s="31">
        <v>51865.54</v>
      </c>
      <c r="X198" s="45">
        <v>0</v>
      </c>
      <c r="Y198" s="31">
        <f>Z198+AA198</f>
        <v>7979.31</v>
      </c>
      <c r="Z198" s="31">
        <v>7979.31</v>
      </c>
      <c r="AA198" s="31">
        <v>0</v>
      </c>
      <c r="AB198" s="2">
        <f>AC198+AD198</f>
        <v>0</v>
      </c>
      <c r="AC198" s="45"/>
      <c r="AD198" s="45"/>
      <c r="AE198" s="2">
        <f t="shared" si="246"/>
        <v>398965.69999999995</v>
      </c>
      <c r="AF198" s="105"/>
      <c r="AG198" s="2">
        <f t="shared" si="259"/>
        <v>398965.69999999995</v>
      </c>
      <c r="AH198" s="29" t="s">
        <v>586</v>
      </c>
      <c r="AI198" s="105" t="s">
        <v>185</v>
      </c>
      <c r="AJ198" s="31">
        <f>74317.96+82151.06</f>
        <v>156469.02000000002</v>
      </c>
      <c r="AK198" s="31">
        <f>11366.28+12564.27</f>
        <v>23930.550000000003</v>
      </c>
    </row>
    <row r="199" spans="1:37" ht="409.5" x14ac:dyDescent="0.25">
      <c r="A199" s="348" t="s">
        <v>1788</v>
      </c>
      <c r="B199" s="20">
        <v>125665</v>
      </c>
      <c r="C199" s="24">
        <v>557</v>
      </c>
      <c r="D199" s="3" t="s">
        <v>174</v>
      </c>
      <c r="E199" s="21" t="s">
        <v>967</v>
      </c>
      <c r="F199" s="23" t="s">
        <v>1133</v>
      </c>
      <c r="G199" s="23" t="s">
        <v>1134</v>
      </c>
      <c r="H199" s="3" t="s">
        <v>914</v>
      </c>
      <c r="I199" s="3" t="s">
        <v>185</v>
      </c>
      <c r="J199" s="23" t="s">
        <v>1135</v>
      </c>
      <c r="K199" s="5">
        <v>43425</v>
      </c>
      <c r="L199" s="7">
        <v>44248</v>
      </c>
      <c r="M199" s="3">
        <f t="shared" ref="M199" si="295">S199/AE199*100</f>
        <v>84.999999890649349</v>
      </c>
      <c r="N199" s="3">
        <v>2</v>
      </c>
      <c r="O199" s="3" t="s">
        <v>434</v>
      </c>
      <c r="P199" s="3" t="s">
        <v>916</v>
      </c>
      <c r="Q199" s="3" t="s">
        <v>212</v>
      </c>
      <c r="R199" s="3" t="s">
        <v>36</v>
      </c>
      <c r="S199" s="31">
        <f>T199+U199</f>
        <v>3497921.5</v>
      </c>
      <c r="T199" s="31">
        <v>3497921.5</v>
      </c>
      <c r="U199" s="45">
        <v>0</v>
      </c>
      <c r="V199" s="31">
        <f>W199+X199</f>
        <v>534976.2300000001</v>
      </c>
      <c r="W199" s="31">
        <v>534976.2300000001</v>
      </c>
      <c r="X199" s="45">
        <v>0</v>
      </c>
      <c r="Y199" s="31">
        <f>Z199+AA199</f>
        <v>82304.039999999994</v>
      </c>
      <c r="Z199" s="31">
        <v>82304.039999999994</v>
      </c>
      <c r="AA199" s="31">
        <v>0</v>
      </c>
      <c r="AB199" s="2">
        <f>AC199+AD199</f>
        <v>0</v>
      </c>
      <c r="AC199" s="28">
        <v>0</v>
      </c>
      <c r="AD199" s="28">
        <v>0</v>
      </c>
      <c r="AE199" s="2">
        <f t="shared" ref="AE199" si="296">S199+V199+Y199+AB199</f>
        <v>4115201.77</v>
      </c>
      <c r="AF199" s="105">
        <v>114240</v>
      </c>
      <c r="AG199" s="2">
        <f t="shared" ref="AG199" si="297">AE199+AF199</f>
        <v>4229441.7699999996</v>
      </c>
      <c r="AH199" s="29" t="s">
        <v>586</v>
      </c>
      <c r="AI199" s="105" t="s">
        <v>185</v>
      </c>
      <c r="AJ199" s="31">
        <v>0</v>
      </c>
      <c r="AK199" s="31">
        <v>0</v>
      </c>
    </row>
    <row r="200" spans="1:37" ht="409.5" x14ac:dyDescent="0.25">
      <c r="A200" s="348" t="s">
        <v>1789</v>
      </c>
      <c r="B200" s="20">
        <v>126354</v>
      </c>
      <c r="C200" s="24">
        <v>491</v>
      </c>
      <c r="D200" s="3" t="s">
        <v>170</v>
      </c>
      <c r="E200" s="21" t="s">
        <v>1267</v>
      </c>
      <c r="F200" s="23" t="s">
        <v>1266</v>
      </c>
      <c r="G200" s="23" t="s">
        <v>1265</v>
      </c>
      <c r="H200" s="3" t="s">
        <v>1264</v>
      </c>
      <c r="I200" s="3" t="s">
        <v>185</v>
      </c>
      <c r="J200" s="23" t="s">
        <v>1268</v>
      </c>
      <c r="K200" s="5">
        <v>43515</v>
      </c>
      <c r="L200" s="7">
        <v>44246</v>
      </c>
      <c r="M200" s="3">
        <f t="shared" ref="M200:M208" si="298">S200/AE200*100</f>
        <v>83.300000282457262</v>
      </c>
      <c r="N200" s="3" t="s">
        <v>1276</v>
      </c>
      <c r="O200" s="3" t="s">
        <v>1275</v>
      </c>
      <c r="P200" s="3" t="s">
        <v>1275</v>
      </c>
      <c r="Q200" s="3" t="s">
        <v>326</v>
      </c>
      <c r="R200" s="3" t="s">
        <v>36</v>
      </c>
      <c r="S200" s="31">
        <f>T200+U200</f>
        <v>2064383.09</v>
      </c>
      <c r="T200" s="31">
        <v>2064383.09</v>
      </c>
      <c r="U200" s="45">
        <v>0</v>
      </c>
      <c r="V200" s="31">
        <f>W200+X200</f>
        <v>364302.89</v>
      </c>
      <c r="W200" s="31">
        <v>364302.89</v>
      </c>
      <c r="X200" s="45">
        <v>0</v>
      </c>
      <c r="Y200" s="31">
        <f>Z200+AA200</f>
        <v>0</v>
      </c>
      <c r="Z200" s="31">
        <v>0</v>
      </c>
      <c r="AA200" s="31">
        <v>0</v>
      </c>
      <c r="AB200" s="2">
        <f>AC200+AD200</f>
        <v>49565.02</v>
      </c>
      <c r="AC200" s="28">
        <v>49565.02</v>
      </c>
      <c r="AD200" s="28">
        <v>0</v>
      </c>
      <c r="AE200" s="2">
        <f t="shared" ref="AE200:AE208" si="299">S200+V200+Y200+AB200</f>
        <v>2478251</v>
      </c>
      <c r="AF200" s="2">
        <v>0</v>
      </c>
      <c r="AG200" s="2">
        <f t="shared" ref="AG200:AG208" si="300">AE200+AF200</f>
        <v>2478251</v>
      </c>
      <c r="AH200" s="29" t="s">
        <v>586</v>
      </c>
      <c r="AI200" s="105" t="s">
        <v>185</v>
      </c>
      <c r="AJ200" s="31">
        <v>247825</v>
      </c>
      <c r="AK200" s="31">
        <v>0</v>
      </c>
    </row>
    <row r="201" spans="1:37" s="157" customFormat="1" ht="393.75" x14ac:dyDescent="0.25">
      <c r="A201" s="348" t="s">
        <v>1790</v>
      </c>
      <c r="B201" s="20">
        <v>126532</v>
      </c>
      <c r="C201" s="24">
        <v>500</v>
      </c>
      <c r="D201" s="3" t="s">
        <v>170</v>
      </c>
      <c r="E201" s="21" t="s">
        <v>1267</v>
      </c>
      <c r="F201" s="23" t="s">
        <v>1266</v>
      </c>
      <c r="G201" s="23" t="s">
        <v>1271</v>
      </c>
      <c r="H201" s="3" t="s">
        <v>1270</v>
      </c>
      <c r="I201" s="3" t="s">
        <v>185</v>
      </c>
      <c r="J201" s="51" t="s">
        <v>1272</v>
      </c>
      <c r="K201" s="5">
        <v>43516</v>
      </c>
      <c r="L201" s="7">
        <v>44247</v>
      </c>
      <c r="M201" s="3">
        <f t="shared" si="298"/>
        <v>83.299999838210468</v>
      </c>
      <c r="N201" s="3" t="s">
        <v>1273</v>
      </c>
      <c r="O201" s="24" t="s">
        <v>1274</v>
      </c>
      <c r="P201" s="24" t="s">
        <v>1274</v>
      </c>
      <c r="Q201" s="3" t="s">
        <v>326</v>
      </c>
      <c r="R201" s="3" t="s">
        <v>36</v>
      </c>
      <c r="S201" s="31">
        <f>T201+U201</f>
        <v>2059465.88</v>
      </c>
      <c r="T201" s="2">
        <v>2059465.88</v>
      </c>
      <c r="U201" s="2">
        <v>0</v>
      </c>
      <c r="V201" s="31">
        <f>W201+X201</f>
        <v>363435.16</v>
      </c>
      <c r="W201" s="2">
        <v>363435.16</v>
      </c>
      <c r="X201" s="2">
        <v>0</v>
      </c>
      <c r="Y201" s="31">
        <f t="shared" ref="Y201:Y208" si="301">Z201+AA201</f>
        <v>0</v>
      </c>
      <c r="Z201" s="2">
        <v>0</v>
      </c>
      <c r="AA201" s="2">
        <v>0</v>
      </c>
      <c r="AB201" s="2">
        <f t="shared" ref="AB201:AB208" si="302">AC201+AD201</f>
        <v>49446.96</v>
      </c>
      <c r="AC201" s="2">
        <v>49446.96</v>
      </c>
      <c r="AD201" s="2">
        <v>0</v>
      </c>
      <c r="AE201" s="2">
        <f t="shared" si="299"/>
        <v>2472348</v>
      </c>
      <c r="AF201" s="2">
        <v>0</v>
      </c>
      <c r="AG201" s="2">
        <f t="shared" si="300"/>
        <v>2472348</v>
      </c>
      <c r="AH201" s="29" t="s">
        <v>871</v>
      </c>
      <c r="AI201" s="30" t="s">
        <v>185</v>
      </c>
      <c r="AJ201" s="57">
        <v>247230</v>
      </c>
      <c r="AK201" s="31">
        <v>0</v>
      </c>
    </row>
    <row r="202" spans="1:37" s="157" customFormat="1" ht="330.75" x14ac:dyDescent="0.25">
      <c r="A202" s="348" t="s">
        <v>1791</v>
      </c>
      <c r="B202" s="20">
        <v>125435</v>
      </c>
      <c r="C202" s="24">
        <v>493</v>
      </c>
      <c r="D202" s="3" t="s">
        <v>170</v>
      </c>
      <c r="E202" s="21" t="s">
        <v>1267</v>
      </c>
      <c r="F202" s="23" t="s">
        <v>1266</v>
      </c>
      <c r="G202" s="23" t="s">
        <v>1293</v>
      </c>
      <c r="H202" s="3" t="s">
        <v>1294</v>
      </c>
      <c r="I202" s="3" t="s">
        <v>185</v>
      </c>
      <c r="J202" s="51" t="s">
        <v>1295</v>
      </c>
      <c r="K202" s="5">
        <v>43531</v>
      </c>
      <c r="L202" s="7">
        <v>44507</v>
      </c>
      <c r="M202" s="3">
        <f>S202/AE202*100</f>
        <v>83.30000027566841</v>
      </c>
      <c r="N202" s="3" t="s">
        <v>1296</v>
      </c>
      <c r="O202" s="24" t="s">
        <v>1297</v>
      </c>
      <c r="P202" s="24" t="s">
        <v>1297</v>
      </c>
      <c r="Q202" s="3" t="s">
        <v>326</v>
      </c>
      <c r="R202" s="3" t="s">
        <v>36</v>
      </c>
      <c r="S202" s="31">
        <f t="shared" ref="S202:S203" si="303">T202+U202</f>
        <v>1813047.83</v>
      </c>
      <c r="T202" s="2">
        <v>1813047.83</v>
      </c>
      <c r="U202" s="2">
        <v>0</v>
      </c>
      <c r="V202" s="31">
        <f t="shared" ref="V202:V203" si="304">W202+X202</f>
        <v>319949.61</v>
      </c>
      <c r="W202" s="2">
        <v>319949.61</v>
      </c>
      <c r="X202" s="2">
        <v>0</v>
      </c>
      <c r="Y202" s="31">
        <f t="shared" si="301"/>
        <v>0</v>
      </c>
      <c r="Z202" s="2">
        <v>0</v>
      </c>
      <c r="AA202" s="2">
        <v>0</v>
      </c>
      <c r="AB202" s="2">
        <f t="shared" si="302"/>
        <v>43530.559999999998</v>
      </c>
      <c r="AC202" s="2">
        <v>43530.559999999998</v>
      </c>
      <c r="AD202" s="2">
        <v>0</v>
      </c>
      <c r="AE202" s="2">
        <f t="shared" si="299"/>
        <v>2176528</v>
      </c>
      <c r="AF202" s="2">
        <v>0</v>
      </c>
      <c r="AG202" s="2">
        <f t="shared" si="300"/>
        <v>2176528</v>
      </c>
      <c r="AH202" s="29" t="s">
        <v>871</v>
      </c>
      <c r="AI202" s="30" t="s">
        <v>185</v>
      </c>
      <c r="AJ202" s="57">
        <v>181814</v>
      </c>
      <c r="AK202" s="31">
        <v>0</v>
      </c>
    </row>
    <row r="203" spans="1:37" s="157" customFormat="1" ht="236.25" x14ac:dyDescent="0.25">
      <c r="A203" s="348" t="s">
        <v>1792</v>
      </c>
      <c r="B203" s="20">
        <v>126388</v>
      </c>
      <c r="C203" s="24">
        <v>494</v>
      </c>
      <c r="D203" s="3" t="s">
        <v>171</v>
      </c>
      <c r="E203" s="21" t="s">
        <v>1267</v>
      </c>
      <c r="F203" s="23" t="s">
        <v>1266</v>
      </c>
      <c r="G203" s="23" t="s">
        <v>1298</v>
      </c>
      <c r="H203" s="3" t="s">
        <v>1299</v>
      </c>
      <c r="I203" s="3" t="s">
        <v>185</v>
      </c>
      <c r="J203" s="51" t="s">
        <v>1300</v>
      </c>
      <c r="K203" s="5">
        <v>43531</v>
      </c>
      <c r="L203" s="7">
        <v>44262</v>
      </c>
      <c r="M203" s="3">
        <f>S203/AE203*100</f>
        <v>83.300001414159638</v>
      </c>
      <c r="N203" s="3">
        <v>3</v>
      </c>
      <c r="O203" s="24" t="s">
        <v>1301</v>
      </c>
      <c r="P203" s="24" t="s">
        <v>1301</v>
      </c>
      <c r="Q203" s="3" t="s">
        <v>326</v>
      </c>
      <c r="R203" s="3" t="s">
        <v>36</v>
      </c>
      <c r="S203" s="31">
        <f t="shared" si="303"/>
        <v>2043977.2</v>
      </c>
      <c r="T203" s="2">
        <v>2043977.2</v>
      </c>
      <c r="U203" s="2">
        <v>0</v>
      </c>
      <c r="V203" s="31">
        <f t="shared" si="304"/>
        <v>360701.81</v>
      </c>
      <c r="W203" s="2">
        <v>360701.81</v>
      </c>
      <c r="X203" s="2">
        <v>0</v>
      </c>
      <c r="Y203" s="31">
        <f t="shared" si="301"/>
        <v>0</v>
      </c>
      <c r="Z203" s="2">
        <v>0</v>
      </c>
      <c r="AA203" s="2">
        <v>0</v>
      </c>
      <c r="AB203" s="2">
        <f t="shared" si="302"/>
        <v>49075.09</v>
      </c>
      <c r="AC203" s="2">
        <v>49075.09</v>
      </c>
      <c r="AD203" s="2">
        <v>0</v>
      </c>
      <c r="AE203" s="2">
        <f t="shared" si="299"/>
        <v>2453754.0999999996</v>
      </c>
      <c r="AF203" s="2">
        <v>0</v>
      </c>
      <c r="AG203" s="2">
        <f t="shared" si="300"/>
        <v>2453754.0999999996</v>
      </c>
      <c r="AH203" s="29" t="s">
        <v>871</v>
      </c>
      <c r="AI203" s="30" t="s">
        <v>185</v>
      </c>
      <c r="AJ203" s="57">
        <v>240400</v>
      </c>
      <c r="AK203" s="31">
        <v>0</v>
      </c>
    </row>
    <row r="204" spans="1:37" s="157" customFormat="1" ht="409.5" x14ac:dyDescent="0.25">
      <c r="A204" s="348" t="s">
        <v>1793</v>
      </c>
      <c r="B204" s="20">
        <v>126511</v>
      </c>
      <c r="C204" s="24">
        <v>499</v>
      </c>
      <c r="D204" s="3" t="s">
        <v>170</v>
      </c>
      <c r="E204" s="21" t="s">
        <v>1267</v>
      </c>
      <c r="F204" s="23" t="s">
        <v>1266</v>
      </c>
      <c r="G204" s="23" t="s">
        <v>1304</v>
      </c>
      <c r="H204" s="23" t="s">
        <v>1305</v>
      </c>
      <c r="I204" s="3" t="s">
        <v>185</v>
      </c>
      <c r="J204" s="51" t="s">
        <v>1308</v>
      </c>
      <c r="K204" s="5">
        <v>43535</v>
      </c>
      <c r="L204" s="7">
        <v>44266</v>
      </c>
      <c r="M204" s="3">
        <f t="shared" si="298"/>
        <v>83.300000000000011</v>
      </c>
      <c r="N204" s="3" t="s">
        <v>1307</v>
      </c>
      <c r="O204" s="3" t="s">
        <v>1306</v>
      </c>
      <c r="P204" s="3" t="s">
        <v>1306</v>
      </c>
      <c r="Q204" s="3" t="s">
        <v>326</v>
      </c>
      <c r="R204" s="3" t="s">
        <v>36</v>
      </c>
      <c r="S204" s="31">
        <f t="shared" ref="S204:S208" si="305">T204+U204</f>
        <v>2060383.85</v>
      </c>
      <c r="T204" s="2">
        <v>2060383.85</v>
      </c>
      <c r="U204" s="2">
        <v>0</v>
      </c>
      <c r="V204" s="31">
        <f t="shared" ref="V204:V208" si="306">W204+X204</f>
        <v>363597.15</v>
      </c>
      <c r="W204" s="2">
        <v>363597.15</v>
      </c>
      <c r="X204" s="2">
        <v>0</v>
      </c>
      <c r="Y204" s="31">
        <f t="shared" si="301"/>
        <v>0</v>
      </c>
      <c r="Z204" s="2">
        <v>0</v>
      </c>
      <c r="AA204" s="2">
        <v>0</v>
      </c>
      <c r="AB204" s="2">
        <f t="shared" si="302"/>
        <v>49469</v>
      </c>
      <c r="AC204" s="2">
        <v>49469</v>
      </c>
      <c r="AD204" s="2">
        <v>0</v>
      </c>
      <c r="AE204" s="2">
        <f t="shared" si="299"/>
        <v>2473450</v>
      </c>
      <c r="AF204" s="2">
        <v>0</v>
      </c>
      <c r="AG204" s="2">
        <f t="shared" si="300"/>
        <v>2473450</v>
      </c>
      <c r="AH204" s="29" t="s">
        <v>871</v>
      </c>
      <c r="AI204" s="30" t="s">
        <v>185</v>
      </c>
      <c r="AJ204" s="57">
        <v>247345</v>
      </c>
      <c r="AK204" s="31">
        <v>0</v>
      </c>
    </row>
    <row r="205" spans="1:37" ht="409.5" x14ac:dyDescent="0.25">
      <c r="A205" s="348" t="s">
        <v>1794</v>
      </c>
      <c r="B205" s="15">
        <v>126528</v>
      </c>
      <c r="C205" s="16">
        <v>496</v>
      </c>
      <c r="D205" s="3" t="s">
        <v>170</v>
      </c>
      <c r="E205" s="21" t="s">
        <v>1267</v>
      </c>
      <c r="F205" s="23" t="s">
        <v>1266</v>
      </c>
      <c r="G205" s="21" t="s">
        <v>1330</v>
      </c>
      <c r="H205" s="21" t="s">
        <v>1329</v>
      </c>
      <c r="I205" s="3" t="s">
        <v>1336</v>
      </c>
      <c r="J205" s="192" t="s">
        <v>1333</v>
      </c>
      <c r="K205" s="5">
        <v>43552</v>
      </c>
      <c r="L205" s="7">
        <v>44283</v>
      </c>
      <c r="M205" s="3">
        <f t="shared" si="298"/>
        <v>83.538686217523377</v>
      </c>
      <c r="N205" s="24" t="s">
        <v>1331</v>
      </c>
      <c r="O205" s="24" t="s">
        <v>1332</v>
      </c>
      <c r="P205" s="24" t="s">
        <v>1332</v>
      </c>
      <c r="Q205" s="3" t="s">
        <v>326</v>
      </c>
      <c r="R205" s="3" t="s">
        <v>36</v>
      </c>
      <c r="S205" s="31">
        <f t="shared" si="305"/>
        <v>1949308.98</v>
      </c>
      <c r="T205" s="127">
        <v>1949308.98</v>
      </c>
      <c r="U205" s="108">
        <v>0</v>
      </c>
      <c r="V205" s="31">
        <f t="shared" si="306"/>
        <v>337443.27</v>
      </c>
      <c r="W205" s="127">
        <v>337443.27</v>
      </c>
      <c r="X205" s="108">
        <v>0</v>
      </c>
      <c r="Y205" s="31">
        <f t="shared" si="301"/>
        <v>6552.42</v>
      </c>
      <c r="Z205" s="127">
        <v>6552.42</v>
      </c>
      <c r="AA205" s="108">
        <v>0</v>
      </c>
      <c r="AB205" s="2">
        <f t="shared" si="302"/>
        <v>40116.009999999995</v>
      </c>
      <c r="AC205" s="127">
        <f>23632.16+16483.85</f>
        <v>40116.009999999995</v>
      </c>
      <c r="AD205" s="108">
        <v>0</v>
      </c>
      <c r="AE205" s="2">
        <f t="shared" si="299"/>
        <v>2333420.6799999997</v>
      </c>
      <c r="AF205" s="36">
        <v>0</v>
      </c>
      <c r="AG205" s="2">
        <f t="shared" si="300"/>
        <v>2333420.6799999997</v>
      </c>
      <c r="AH205" s="29" t="s">
        <v>871</v>
      </c>
      <c r="AI205" s="36" t="s">
        <v>185</v>
      </c>
      <c r="AJ205" s="57">
        <v>233342.06</v>
      </c>
      <c r="AK205" s="57">
        <v>0</v>
      </c>
    </row>
    <row r="206" spans="1:37" ht="267.75" x14ac:dyDescent="0.25">
      <c r="A206" s="348" t="s">
        <v>1795</v>
      </c>
      <c r="B206" s="15">
        <v>126480</v>
      </c>
      <c r="C206" s="16">
        <v>495</v>
      </c>
      <c r="D206" s="3" t="s">
        <v>170</v>
      </c>
      <c r="E206" s="21" t="s">
        <v>1267</v>
      </c>
      <c r="F206" s="23" t="s">
        <v>1266</v>
      </c>
      <c r="G206" s="21" t="s">
        <v>1339</v>
      </c>
      <c r="H206" s="21" t="s">
        <v>1340</v>
      </c>
      <c r="I206" s="3" t="s">
        <v>185</v>
      </c>
      <c r="J206" s="192" t="s">
        <v>1341</v>
      </c>
      <c r="K206" s="5">
        <v>43553</v>
      </c>
      <c r="L206" s="7">
        <v>43919</v>
      </c>
      <c r="M206" s="3">
        <f t="shared" si="298"/>
        <v>83.300002424250337</v>
      </c>
      <c r="N206" s="17">
        <v>6</v>
      </c>
      <c r="O206" s="193" t="s">
        <v>222</v>
      </c>
      <c r="P206" s="193" t="s">
        <v>222</v>
      </c>
      <c r="Q206" s="3" t="s">
        <v>326</v>
      </c>
      <c r="R206" s="3" t="s">
        <v>36</v>
      </c>
      <c r="S206" s="31">
        <f t="shared" si="305"/>
        <v>876896.26</v>
      </c>
      <c r="T206" s="127">
        <v>876896.26</v>
      </c>
      <c r="U206" s="108">
        <v>0</v>
      </c>
      <c r="V206" s="31">
        <f t="shared" si="306"/>
        <v>154746.38</v>
      </c>
      <c r="W206" s="127">
        <v>154746.38</v>
      </c>
      <c r="X206" s="108">
        <v>0</v>
      </c>
      <c r="Y206" s="31">
        <f t="shared" si="301"/>
        <v>0</v>
      </c>
      <c r="Z206" s="108">
        <v>0</v>
      </c>
      <c r="AA206" s="108">
        <v>0</v>
      </c>
      <c r="AB206" s="2">
        <f t="shared" si="302"/>
        <v>21053.919999999998</v>
      </c>
      <c r="AC206" s="127">
        <v>21053.919999999998</v>
      </c>
      <c r="AD206" s="108">
        <v>0</v>
      </c>
      <c r="AE206" s="2">
        <f t="shared" si="299"/>
        <v>1052696.56</v>
      </c>
      <c r="AF206" s="36">
        <v>0</v>
      </c>
      <c r="AG206" s="2">
        <f t="shared" si="300"/>
        <v>1052696.56</v>
      </c>
      <c r="AH206" s="29" t="s">
        <v>871</v>
      </c>
      <c r="AI206" s="36"/>
      <c r="AJ206" s="40">
        <v>105000</v>
      </c>
      <c r="AK206" s="1">
        <v>0</v>
      </c>
    </row>
    <row r="207" spans="1:37" ht="409.5" x14ac:dyDescent="0.25">
      <c r="A207" s="348" t="s">
        <v>1796</v>
      </c>
      <c r="B207" s="15">
        <v>125819</v>
      </c>
      <c r="C207" s="16">
        <v>497</v>
      </c>
      <c r="D207" s="3" t="s">
        <v>171</v>
      </c>
      <c r="E207" s="21" t="s">
        <v>1267</v>
      </c>
      <c r="F207" s="23" t="s">
        <v>1266</v>
      </c>
      <c r="G207" s="38" t="s">
        <v>1410</v>
      </c>
      <c r="H207" s="21" t="s">
        <v>1408</v>
      </c>
      <c r="I207" s="3" t="s">
        <v>185</v>
      </c>
      <c r="J207" s="192" t="s">
        <v>1412</v>
      </c>
      <c r="K207" s="5">
        <v>43608</v>
      </c>
      <c r="L207" s="7">
        <v>44339</v>
      </c>
      <c r="M207" s="3">
        <f t="shared" si="298"/>
        <v>83.30000063911281</v>
      </c>
      <c r="N207" s="17" t="s">
        <v>1414</v>
      </c>
      <c r="O207" s="17" t="s">
        <v>1413</v>
      </c>
      <c r="P207" s="17" t="s">
        <v>1413</v>
      </c>
      <c r="Q207" s="3" t="s">
        <v>326</v>
      </c>
      <c r="R207" s="3" t="s">
        <v>36</v>
      </c>
      <c r="S207" s="31">
        <f t="shared" si="305"/>
        <v>1444133.16</v>
      </c>
      <c r="T207" s="127">
        <v>1444133.16</v>
      </c>
      <c r="U207" s="108">
        <v>0</v>
      </c>
      <c r="V207" s="31">
        <f t="shared" si="306"/>
        <v>254847.02</v>
      </c>
      <c r="W207" s="127">
        <v>254847.02</v>
      </c>
      <c r="X207" s="108">
        <v>0</v>
      </c>
      <c r="Y207" s="31">
        <f t="shared" si="301"/>
        <v>0</v>
      </c>
      <c r="Z207" s="108">
        <v>0</v>
      </c>
      <c r="AA207" s="108">
        <v>0</v>
      </c>
      <c r="AB207" s="2">
        <f t="shared" si="302"/>
        <v>34673.06</v>
      </c>
      <c r="AC207" s="127">
        <v>34673.06</v>
      </c>
      <c r="AD207" s="108">
        <v>0</v>
      </c>
      <c r="AE207" s="2">
        <f t="shared" si="299"/>
        <v>1733653.24</v>
      </c>
      <c r="AF207" s="36">
        <v>0</v>
      </c>
      <c r="AG207" s="2">
        <f t="shared" si="300"/>
        <v>1733653.24</v>
      </c>
      <c r="AH207" s="29" t="s">
        <v>871</v>
      </c>
      <c r="AI207" s="36"/>
      <c r="AJ207" s="40">
        <v>173365</v>
      </c>
      <c r="AK207" s="1">
        <v>0</v>
      </c>
    </row>
    <row r="208" spans="1:37" ht="409.5" x14ac:dyDescent="0.25">
      <c r="A208" s="348" t="s">
        <v>1797</v>
      </c>
      <c r="B208" s="15">
        <v>126526</v>
      </c>
      <c r="C208" s="16">
        <v>498</v>
      </c>
      <c r="D208" s="3" t="s">
        <v>171</v>
      </c>
      <c r="E208" s="21" t="s">
        <v>1267</v>
      </c>
      <c r="F208" s="23" t="s">
        <v>1266</v>
      </c>
      <c r="G208" s="38" t="s">
        <v>1411</v>
      </c>
      <c r="H208" s="21" t="s">
        <v>1409</v>
      </c>
      <c r="I208" s="3" t="s">
        <v>185</v>
      </c>
      <c r="J208" s="192" t="s">
        <v>1415</v>
      </c>
      <c r="K208" s="5">
        <v>43608</v>
      </c>
      <c r="L208" s="7">
        <v>44339</v>
      </c>
      <c r="M208" s="3">
        <f t="shared" si="298"/>
        <v>83.30000063911281</v>
      </c>
      <c r="N208" s="17" t="s">
        <v>1414</v>
      </c>
      <c r="O208" s="17" t="s">
        <v>1413</v>
      </c>
      <c r="P208" s="17" t="s">
        <v>1413</v>
      </c>
      <c r="Q208" s="3" t="s">
        <v>326</v>
      </c>
      <c r="R208" s="3" t="s">
        <v>36</v>
      </c>
      <c r="S208" s="31">
        <f t="shared" si="305"/>
        <v>1444133.16</v>
      </c>
      <c r="T208" s="127">
        <v>1444133.16</v>
      </c>
      <c r="U208" s="108">
        <v>0</v>
      </c>
      <c r="V208" s="31">
        <f t="shared" si="306"/>
        <v>254847.02</v>
      </c>
      <c r="W208" s="127">
        <v>254847.02</v>
      </c>
      <c r="X208" s="108">
        <v>0</v>
      </c>
      <c r="Y208" s="31">
        <f t="shared" si="301"/>
        <v>0</v>
      </c>
      <c r="Z208" s="108">
        <v>0</v>
      </c>
      <c r="AA208" s="108">
        <v>0</v>
      </c>
      <c r="AB208" s="2">
        <f t="shared" si="302"/>
        <v>34673.06</v>
      </c>
      <c r="AC208" s="127">
        <v>34673.06</v>
      </c>
      <c r="AD208" s="108">
        <v>0</v>
      </c>
      <c r="AE208" s="2">
        <f t="shared" si="299"/>
        <v>1733653.24</v>
      </c>
      <c r="AF208" s="36">
        <v>0</v>
      </c>
      <c r="AG208" s="2">
        <f t="shared" si="300"/>
        <v>1733653.24</v>
      </c>
      <c r="AH208" s="29" t="s">
        <v>871</v>
      </c>
      <c r="AI208" s="36"/>
      <c r="AJ208" s="40">
        <v>173365</v>
      </c>
      <c r="AK208" s="1">
        <v>0</v>
      </c>
    </row>
    <row r="209" spans="1:37" s="157" customFormat="1" ht="409.5" x14ac:dyDescent="0.25">
      <c r="A209" s="348" t="s">
        <v>1798</v>
      </c>
      <c r="B209" s="20">
        <v>119193</v>
      </c>
      <c r="C209" s="16">
        <v>2</v>
      </c>
      <c r="D209" s="3" t="s">
        <v>172</v>
      </c>
      <c r="E209" s="24" t="s">
        <v>165</v>
      </c>
      <c r="F209" s="22" t="s">
        <v>125</v>
      </c>
      <c r="G209" s="23" t="s">
        <v>37</v>
      </c>
      <c r="H209" s="23" t="s">
        <v>35</v>
      </c>
      <c r="I209" s="17" t="s">
        <v>185</v>
      </c>
      <c r="J209" s="51" t="s">
        <v>38</v>
      </c>
      <c r="K209" s="5">
        <v>42459</v>
      </c>
      <c r="L209" s="7">
        <v>43373</v>
      </c>
      <c r="M209" s="4">
        <f>S209/AE209*100</f>
        <v>83.983862816086358</v>
      </c>
      <c r="N209" s="3" t="s">
        <v>155</v>
      </c>
      <c r="O209" s="3" t="s">
        <v>156</v>
      </c>
      <c r="P209" s="3" t="s">
        <v>156</v>
      </c>
      <c r="Q209" s="44" t="s">
        <v>157</v>
      </c>
      <c r="R209" s="3" t="s">
        <v>36</v>
      </c>
      <c r="S209" s="2">
        <f>T209+U209</f>
        <v>11141147.18</v>
      </c>
      <c r="T209" s="2">
        <v>8984364.5299999993</v>
      </c>
      <c r="U209" s="2">
        <v>2156782.65</v>
      </c>
      <c r="V209" s="2">
        <f>W209+X209</f>
        <v>0</v>
      </c>
      <c r="W209" s="2">
        <v>0</v>
      </c>
      <c r="X209" s="2">
        <v>0</v>
      </c>
      <c r="Y209" s="2">
        <f>Z209+AA209</f>
        <v>2124671.7600000002</v>
      </c>
      <c r="Z209" s="2">
        <v>1585476.09</v>
      </c>
      <c r="AA209" s="2">
        <v>539195.67000000004</v>
      </c>
      <c r="AB209" s="2">
        <f t="shared" si="257"/>
        <v>0</v>
      </c>
      <c r="AC209" s="2"/>
      <c r="AD209" s="2"/>
      <c r="AE209" s="2">
        <f t="shared" si="246"/>
        <v>13265818.939999999</v>
      </c>
      <c r="AF209" s="2">
        <v>0</v>
      </c>
      <c r="AG209" s="2">
        <f t="shared" si="259"/>
        <v>13265818.939999999</v>
      </c>
      <c r="AH209" s="29" t="s">
        <v>1072</v>
      </c>
      <c r="AI209" s="30" t="s">
        <v>327</v>
      </c>
      <c r="AJ209" s="57">
        <f>8636594.63+2463862.74+15076.78</f>
        <v>11115534.15</v>
      </c>
      <c r="AK209" s="31">
        <v>0</v>
      </c>
    </row>
    <row r="210" spans="1:37" ht="330.75" x14ac:dyDescent="0.25">
      <c r="A210" s="348" t="s">
        <v>1799</v>
      </c>
      <c r="B210" s="20">
        <v>117842</v>
      </c>
      <c r="C210" s="16">
        <v>3</v>
      </c>
      <c r="D210" s="3" t="s">
        <v>172</v>
      </c>
      <c r="E210" s="24" t="s">
        <v>165</v>
      </c>
      <c r="F210" s="195" t="s">
        <v>125</v>
      </c>
      <c r="G210" s="23" t="s">
        <v>40</v>
      </c>
      <c r="H210" s="23" t="s">
        <v>39</v>
      </c>
      <c r="I210" s="3" t="s">
        <v>197</v>
      </c>
      <c r="J210" s="51" t="s">
        <v>41</v>
      </c>
      <c r="K210" s="5">
        <v>42534</v>
      </c>
      <c r="L210" s="7">
        <v>43585</v>
      </c>
      <c r="M210" s="4">
        <f t="shared" ref="M210:M270" si="307">S210/AE210*100</f>
        <v>83.983864495221582</v>
      </c>
      <c r="N210" s="3" t="s">
        <v>155</v>
      </c>
      <c r="O210" s="3" t="s">
        <v>156</v>
      </c>
      <c r="P210" s="3" t="s">
        <v>156</v>
      </c>
      <c r="Q210" s="44" t="s">
        <v>157</v>
      </c>
      <c r="R210" s="3" t="s">
        <v>36</v>
      </c>
      <c r="S210" s="2">
        <f>T210+U210</f>
        <v>15396417.879999999</v>
      </c>
      <c r="T210" s="2">
        <v>12415869.539999999</v>
      </c>
      <c r="U210" s="2">
        <v>2980548.34</v>
      </c>
      <c r="V210" s="2">
        <f t="shared" ref="V210:V270" si="308">W210+X210</f>
        <v>0</v>
      </c>
      <c r="W210" s="2">
        <v>0</v>
      </c>
      <c r="X210" s="2">
        <v>0</v>
      </c>
      <c r="Y210" s="2">
        <f>Z210+AA210</f>
        <v>2936172.52</v>
      </c>
      <c r="Z210" s="2">
        <v>2191035.59</v>
      </c>
      <c r="AA210" s="2">
        <v>745136.93</v>
      </c>
      <c r="AB210" s="2">
        <f t="shared" si="257"/>
        <v>0</v>
      </c>
      <c r="AC210" s="2"/>
      <c r="AD210" s="2"/>
      <c r="AE210" s="2">
        <f t="shared" si="246"/>
        <v>18332590.399999999</v>
      </c>
      <c r="AF210" s="2">
        <v>0</v>
      </c>
      <c r="AG210" s="2">
        <f t="shared" si="259"/>
        <v>18332590.399999999</v>
      </c>
      <c r="AH210" s="29" t="s">
        <v>1072</v>
      </c>
      <c r="AI210" s="30" t="s">
        <v>1207</v>
      </c>
      <c r="AJ210" s="31">
        <f>9867764.76+844965.23</f>
        <v>10712729.99</v>
      </c>
      <c r="AK210" s="52">
        <v>0</v>
      </c>
    </row>
    <row r="211" spans="1:37" ht="330.75" x14ac:dyDescent="0.25">
      <c r="A211" s="348" t="s">
        <v>1800</v>
      </c>
      <c r="B211" s="20">
        <v>118291</v>
      </c>
      <c r="C211" s="16">
        <v>4</v>
      </c>
      <c r="D211" s="3" t="s">
        <v>173</v>
      </c>
      <c r="E211" s="24" t="s">
        <v>165</v>
      </c>
      <c r="F211" s="195" t="s">
        <v>125</v>
      </c>
      <c r="G211" s="23" t="s">
        <v>43</v>
      </c>
      <c r="H211" s="23" t="s">
        <v>42</v>
      </c>
      <c r="I211" s="3" t="s">
        <v>196</v>
      </c>
      <c r="J211" s="51" t="s">
        <v>44</v>
      </c>
      <c r="K211" s="5">
        <v>42459</v>
      </c>
      <c r="L211" s="7">
        <v>43220</v>
      </c>
      <c r="M211" s="4">
        <f t="shared" si="307"/>
        <v>83.983862772799696</v>
      </c>
      <c r="N211" s="3" t="s">
        <v>155</v>
      </c>
      <c r="O211" s="3" t="s">
        <v>156</v>
      </c>
      <c r="P211" s="3" t="s">
        <v>156</v>
      </c>
      <c r="Q211" s="44" t="s">
        <v>157</v>
      </c>
      <c r="R211" s="3" t="s">
        <v>36</v>
      </c>
      <c r="S211" s="2">
        <f t="shared" ref="S211:S271" si="309">T211+U211</f>
        <v>9512414.3200000003</v>
      </c>
      <c r="T211" s="2">
        <v>7670933.3799999999</v>
      </c>
      <c r="U211" s="2">
        <v>1841480.94</v>
      </c>
      <c r="V211" s="2">
        <f t="shared" si="308"/>
        <v>0</v>
      </c>
      <c r="W211" s="2">
        <v>0</v>
      </c>
      <c r="X211" s="2">
        <v>0</v>
      </c>
      <c r="Y211" s="2">
        <f t="shared" ref="Y211:Y271" si="310">Z211+AA211</f>
        <v>1814064.3699999999</v>
      </c>
      <c r="Z211" s="2">
        <v>1353694.13</v>
      </c>
      <c r="AA211" s="2">
        <v>460370.24</v>
      </c>
      <c r="AB211" s="2">
        <f t="shared" si="257"/>
        <v>0</v>
      </c>
      <c r="AC211" s="2"/>
      <c r="AD211" s="2"/>
      <c r="AE211" s="2">
        <f t="shared" si="246"/>
        <v>11326478.689999999</v>
      </c>
      <c r="AF211" s="2">
        <v>0</v>
      </c>
      <c r="AG211" s="2">
        <f t="shared" si="259"/>
        <v>11326478.689999999</v>
      </c>
      <c r="AH211" s="29" t="s">
        <v>1072</v>
      </c>
      <c r="AI211" s="30" t="s">
        <v>210</v>
      </c>
      <c r="AJ211" s="31">
        <f>8122384.62+520669.77+28017.46</f>
        <v>8671071.8500000015</v>
      </c>
      <c r="AK211" s="52">
        <v>0</v>
      </c>
    </row>
    <row r="212" spans="1:37" ht="236.25" x14ac:dyDescent="0.25">
      <c r="A212" s="348" t="s">
        <v>1801</v>
      </c>
      <c r="B212" s="20">
        <v>118957</v>
      </c>
      <c r="C212" s="16">
        <v>5</v>
      </c>
      <c r="D212" s="3" t="s">
        <v>172</v>
      </c>
      <c r="E212" s="24" t="s">
        <v>165</v>
      </c>
      <c r="F212" s="195" t="s">
        <v>125</v>
      </c>
      <c r="G212" s="23" t="s">
        <v>46</v>
      </c>
      <c r="H212" s="23" t="s">
        <v>45</v>
      </c>
      <c r="I212" s="3" t="s">
        <v>197</v>
      </c>
      <c r="J212" s="51" t="s">
        <v>47</v>
      </c>
      <c r="K212" s="5">
        <v>42900</v>
      </c>
      <c r="L212" s="7">
        <v>43722</v>
      </c>
      <c r="M212" s="4">
        <f t="shared" si="307"/>
        <v>83.983862721834797</v>
      </c>
      <c r="N212" s="3" t="s">
        <v>155</v>
      </c>
      <c r="O212" s="3" t="s">
        <v>156</v>
      </c>
      <c r="P212" s="3" t="s">
        <v>156</v>
      </c>
      <c r="Q212" s="44" t="s">
        <v>157</v>
      </c>
      <c r="R212" s="3" t="s">
        <v>36</v>
      </c>
      <c r="S212" s="2">
        <f>T212+U212</f>
        <v>4555318.1900000004</v>
      </c>
      <c r="T212" s="2">
        <v>3673467.24</v>
      </c>
      <c r="U212" s="2">
        <v>881850.95</v>
      </c>
      <c r="V212" s="2">
        <f t="shared" si="308"/>
        <v>0</v>
      </c>
      <c r="W212" s="2">
        <v>0</v>
      </c>
      <c r="X212" s="2">
        <v>0</v>
      </c>
      <c r="Y212" s="2">
        <f t="shared" si="310"/>
        <v>868721.67</v>
      </c>
      <c r="Z212" s="2">
        <v>648258.93000000005</v>
      </c>
      <c r="AA212" s="2">
        <v>220462.74</v>
      </c>
      <c r="AB212" s="2">
        <f t="shared" si="257"/>
        <v>0</v>
      </c>
      <c r="AC212" s="2"/>
      <c r="AD212" s="2"/>
      <c r="AE212" s="2">
        <f t="shared" si="246"/>
        <v>5424039.8600000003</v>
      </c>
      <c r="AF212" s="2">
        <v>0</v>
      </c>
      <c r="AG212" s="2">
        <f t="shared" si="259"/>
        <v>5424039.8600000003</v>
      </c>
      <c r="AH212" s="29" t="s">
        <v>586</v>
      </c>
      <c r="AI212" s="196" t="s">
        <v>185</v>
      </c>
      <c r="AJ212" s="31">
        <v>2210161.75</v>
      </c>
      <c r="AK212" s="52">
        <v>0</v>
      </c>
    </row>
    <row r="213" spans="1:37" ht="252" x14ac:dyDescent="0.25">
      <c r="A213" s="348" t="s">
        <v>1802</v>
      </c>
      <c r="B213" s="20">
        <v>118448</v>
      </c>
      <c r="C213" s="16">
        <v>6</v>
      </c>
      <c r="D213" s="3" t="s">
        <v>172</v>
      </c>
      <c r="E213" s="24" t="s">
        <v>165</v>
      </c>
      <c r="F213" s="195" t="s">
        <v>125</v>
      </c>
      <c r="G213" s="23" t="s">
        <v>49</v>
      </c>
      <c r="H213" s="23" t="s">
        <v>48</v>
      </c>
      <c r="I213" s="3" t="s">
        <v>185</v>
      </c>
      <c r="J213" s="51" t="s">
        <v>50</v>
      </c>
      <c r="K213" s="5">
        <v>42458</v>
      </c>
      <c r="L213" s="7">
        <v>43705</v>
      </c>
      <c r="M213" s="4">
        <f t="shared" si="307"/>
        <v>83.983862411375569</v>
      </c>
      <c r="N213" s="3" t="s">
        <v>155</v>
      </c>
      <c r="O213" s="3" t="s">
        <v>156</v>
      </c>
      <c r="P213" s="3" t="s">
        <v>156</v>
      </c>
      <c r="Q213" s="44" t="s">
        <v>157</v>
      </c>
      <c r="R213" s="3" t="s">
        <v>36</v>
      </c>
      <c r="S213" s="2">
        <f t="shared" si="309"/>
        <v>15459786.27</v>
      </c>
      <c r="T213" s="2">
        <v>12466970.77</v>
      </c>
      <c r="U213" s="2">
        <v>2992815.5</v>
      </c>
      <c r="V213" s="2">
        <f t="shared" si="308"/>
        <v>0</v>
      </c>
      <c r="W213" s="2">
        <v>0</v>
      </c>
      <c r="X213" s="2">
        <v>0</v>
      </c>
      <c r="Y213" s="2">
        <f t="shared" si="310"/>
        <v>2948257.6399999997</v>
      </c>
      <c r="Z213" s="2">
        <v>2200053.65</v>
      </c>
      <c r="AA213" s="2">
        <v>748203.99</v>
      </c>
      <c r="AB213" s="2">
        <f t="shared" si="257"/>
        <v>0</v>
      </c>
      <c r="AC213" s="2"/>
      <c r="AD213" s="2"/>
      <c r="AE213" s="2">
        <f t="shared" si="246"/>
        <v>18408043.91</v>
      </c>
      <c r="AF213" s="2">
        <v>0</v>
      </c>
      <c r="AG213" s="2">
        <f t="shared" si="259"/>
        <v>18408043.91</v>
      </c>
      <c r="AH213" s="29" t="s">
        <v>586</v>
      </c>
      <c r="AI213" s="30" t="s">
        <v>1407</v>
      </c>
      <c r="AJ213" s="31">
        <f>9840778.73+367299.37+1567368.94</f>
        <v>11775447.039999999</v>
      </c>
      <c r="AK213" s="52">
        <v>0</v>
      </c>
    </row>
    <row r="214" spans="1:37" ht="173.25" x14ac:dyDescent="0.25">
      <c r="A214" s="348" t="s">
        <v>1803</v>
      </c>
      <c r="B214" s="20">
        <v>118575</v>
      </c>
      <c r="C214" s="16">
        <v>7</v>
      </c>
      <c r="D214" s="3" t="s">
        <v>170</v>
      </c>
      <c r="E214" s="24" t="s">
        <v>165</v>
      </c>
      <c r="F214" s="195" t="s">
        <v>125</v>
      </c>
      <c r="G214" s="23" t="s">
        <v>52</v>
      </c>
      <c r="H214" s="23" t="s">
        <v>51</v>
      </c>
      <c r="I214" s="3" t="s">
        <v>185</v>
      </c>
      <c r="J214" s="51" t="s">
        <v>53</v>
      </c>
      <c r="K214" s="5">
        <v>42592</v>
      </c>
      <c r="L214" s="7">
        <v>43687</v>
      </c>
      <c r="M214" s="4">
        <f t="shared" si="307"/>
        <v>83.983862823517285</v>
      </c>
      <c r="N214" s="3" t="s">
        <v>155</v>
      </c>
      <c r="O214" s="3" t="s">
        <v>156</v>
      </c>
      <c r="P214" s="3" t="s">
        <v>156</v>
      </c>
      <c r="Q214" s="44" t="s">
        <v>157</v>
      </c>
      <c r="R214" s="3" t="s">
        <v>36</v>
      </c>
      <c r="S214" s="2">
        <f t="shared" si="309"/>
        <v>8244072.25</v>
      </c>
      <c r="T214" s="2">
        <v>6648126</v>
      </c>
      <c r="U214" s="2">
        <v>1595946.25</v>
      </c>
      <c r="V214" s="2">
        <f t="shared" si="308"/>
        <v>0</v>
      </c>
      <c r="W214" s="2">
        <v>0</v>
      </c>
      <c r="X214" s="2">
        <v>0</v>
      </c>
      <c r="Y214" s="2">
        <f t="shared" si="310"/>
        <v>1572185.27</v>
      </c>
      <c r="Z214" s="2">
        <v>1173198.71</v>
      </c>
      <c r="AA214" s="2">
        <v>398986.56</v>
      </c>
      <c r="AB214" s="2">
        <f t="shared" si="257"/>
        <v>0</v>
      </c>
      <c r="AC214" s="2"/>
      <c r="AD214" s="2"/>
      <c r="AE214" s="2">
        <f t="shared" si="246"/>
        <v>9816257.5199999996</v>
      </c>
      <c r="AF214" s="2">
        <v>0</v>
      </c>
      <c r="AG214" s="2">
        <f t="shared" si="259"/>
        <v>9816257.5199999996</v>
      </c>
      <c r="AH214" s="29" t="s">
        <v>586</v>
      </c>
      <c r="AI214" s="30" t="s">
        <v>1208</v>
      </c>
      <c r="AJ214" s="31">
        <f>2263203.63+133525.16</f>
        <v>2396728.79</v>
      </c>
      <c r="AK214" s="52">
        <v>0</v>
      </c>
    </row>
    <row r="215" spans="1:37" ht="378" x14ac:dyDescent="0.25">
      <c r="A215" s="348" t="s">
        <v>1804</v>
      </c>
      <c r="B215" s="20">
        <v>122100</v>
      </c>
      <c r="C215" s="16">
        <v>8</v>
      </c>
      <c r="D215" s="3" t="s">
        <v>175</v>
      </c>
      <c r="E215" s="24" t="s">
        <v>165</v>
      </c>
      <c r="F215" s="195" t="s">
        <v>125</v>
      </c>
      <c r="G215" s="23" t="s">
        <v>55</v>
      </c>
      <c r="H215" s="23" t="s">
        <v>54</v>
      </c>
      <c r="I215" s="3" t="s">
        <v>185</v>
      </c>
      <c r="J215" s="51" t="s">
        <v>56</v>
      </c>
      <c r="K215" s="5">
        <v>42661</v>
      </c>
      <c r="L215" s="7">
        <v>43756</v>
      </c>
      <c r="M215" s="4">
        <f t="shared" si="307"/>
        <v>83.983862943976007</v>
      </c>
      <c r="N215" s="3" t="s">
        <v>155</v>
      </c>
      <c r="O215" s="3" t="s">
        <v>156</v>
      </c>
      <c r="P215" s="3" t="s">
        <v>156</v>
      </c>
      <c r="Q215" s="44" t="s">
        <v>157</v>
      </c>
      <c r="R215" s="3" t="s">
        <v>36</v>
      </c>
      <c r="S215" s="2">
        <f t="shared" si="309"/>
        <v>1681184.87</v>
      </c>
      <c r="T215" s="2">
        <v>1355729.12</v>
      </c>
      <c r="U215" s="2">
        <v>325455.75</v>
      </c>
      <c r="V215" s="2">
        <f t="shared" si="308"/>
        <v>0</v>
      </c>
      <c r="W215" s="2">
        <v>0</v>
      </c>
      <c r="X215" s="2">
        <v>0</v>
      </c>
      <c r="Y215" s="2">
        <f t="shared" si="310"/>
        <v>320610.25</v>
      </c>
      <c r="Z215" s="2">
        <v>239246.31</v>
      </c>
      <c r="AA215" s="2">
        <v>81363.94</v>
      </c>
      <c r="AB215" s="2">
        <f t="shared" si="257"/>
        <v>0</v>
      </c>
      <c r="AC215" s="2"/>
      <c r="AD215" s="2"/>
      <c r="AE215" s="2">
        <f t="shared" si="246"/>
        <v>2001795.12</v>
      </c>
      <c r="AF215" s="2">
        <v>0</v>
      </c>
      <c r="AG215" s="2">
        <f t="shared" si="259"/>
        <v>2001795.12</v>
      </c>
      <c r="AH215" s="29" t="s">
        <v>586</v>
      </c>
      <c r="AI215" s="30" t="s">
        <v>1384</v>
      </c>
      <c r="AJ215" s="31">
        <f>258033.64+369296.57</f>
        <v>627330.21</v>
      </c>
      <c r="AK215" s="52">
        <v>0</v>
      </c>
    </row>
    <row r="216" spans="1:37" ht="283.5" x14ac:dyDescent="0.25">
      <c r="A216" s="348" t="s">
        <v>1805</v>
      </c>
      <c r="B216" s="20">
        <v>120313</v>
      </c>
      <c r="C216" s="16">
        <v>9</v>
      </c>
      <c r="D216" s="3" t="s">
        <v>168</v>
      </c>
      <c r="E216" s="24" t="s">
        <v>165</v>
      </c>
      <c r="F216" s="195" t="s">
        <v>125</v>
      </c>
      <c r="G216" s="23" t="s">
        <v>57</v>
      </c>
      <c r="H216" s="23" t="s">
        <v>328</v>
      </c>
      <c r="I216" s="3" t="s">
        <v>201</v>
      </c>
      <c r="J216" s="51" t="s">
        <v>58</v>
      </c>
      <c r="K216" s="5">
        <v>42446</v>
      </c>
      <c r="L216" s="7">
        <v>43633</v>
      </c>
      <c r="M216" s="4">
        <f t="shared" si="307"/>
        <v>83.983862848864632</v>
      </c>
      <c r="N216" s="3" t="s">
        <v>155</v>
      </c>
      <c r="O216" s="3" t="s">
        <v>156</v>
      </c>
      <c r="P216" s="3" t="s">
        <v>156</v>
      </c>
      <c r="Q216" s="44" t="s">
        <v>157</v>
      </c>
      <c r="R216" s="3" t="s">
        <v>36</v>
      </c>
      <c r="S216" s="2">
        <f>T216+U216</f>
        <v>30189820.119999997</v>
      </c>
      <c r="T216" s="2">
        <v>24345459.629999999</v>
      </c>
      <c r="U216" s="2">
        <v>5844360.4900000002</v>
      </c>
      <c r="V216" s="2">
        <v>1966327.81</v>
      </c>
      <c r="W216" s="2">
        <v>1453132.81</v>
      </c>
      <c r="X216" s="2">
        <v>513195</v>
      </c>
      <c r="Y216" s="2">
        <f t="shared" si="310"/>
        <v>3791019.8899999997</v>
      </c>
      <c r="Z216" s="2">
        <v>2843124.76</v>
      </c>
      <c r="AA216" s="2">
        <v>947895.13</v>
      </c>
      <c r="AB216" s="2">
        <f t="shared" si="257"/>
        <v>0</v>
      </c>
      <c r="AC216" s="2"/>
      <c r="AD216" s="2"/>
      <c r="AE216" s="2">
        <f t="shared" si="246"/>
        <v>35947167.819999993</v>
      </c>
      <c r="AF216" s="2">
        <v>0</v>
      </c>
      <c r="AG216" s="2">
        <f t="shared" si="259"/>
        <v>35947167.819999993</v>
      </c>
      <c r="AH216" s="29" t="s">
        <v>586</v>
      </c>
      <c r="AI216" s="30" t="s">
        <v>1269</v>
      </c>
      <c r="AJ216" s="31">
        <f>25165624.15-64.26+536667.37</f>
        <v>25702227.259999998</v>
      </c>
      <c r="AK216" s="52">
        <f>1447911.57+64.26+197802.03</f>
        <v>1645777.86</v>
      </c>
    </row>
    <row r="217" spans="1:37" ht="409.5" x14ac:dyDescent="0.25">
      <c r="A217" s="348" t="s">
        <v>1806</v>
      </c>
      <c r="B217" s="20">
        <v>121644</v>
      </c>
      <c r="C217" s="16">
        <v>10</v>
      </c>
      <c r="D217" s="3" t="s">
        <v>175</v>
      </c>
      <c r="E217" s="24" t="s">
        <v>165</v>
      </c>
      <c r="F217" s="195" t="s">
        <v>125</v>
      </c>
      <c r="G217" s="23" t="s">
        <v>59</v>
      </c>
      <c r="H217" s="23" t="s">
        <v>54</v>
      </c>
      <c r="I217" s="3" t="s">
        <v>185</v>
      </c>
      <c r="J217" s="51" t="s">
        <v>60</v>
      </c>
      <c r="K217" s="5">
        <v>42538</v>
      </c>
      <c r="L217" s="7">
        <v>43298</v>
      </c>
      <c r="M217" s="4">
        <f t="shared" si="307"/>
        <v>83.983862739322618</v>
      </c>
      <c r="N217" s="3" t="s">
        <v>155</v>
      </c>
      <c r="O217" s="3" t="s">
        <v>156</v>
      </c>
      <c r="P217" s="3" t="s">
        <v>156</v>
      </c>
      <c r="Q217" s="44" t="s">
        <v>157</v>
      </c>
      <c r="R217" s="3" t="s">
        <v>36</v>
      </c>
      <c r="S217" s="2">
        <f t="shared" si="309"/>
        <v>2777962.48</v>
      </c>
      <c r="T217" s="2">
        <v>2240184.71</v>
      </c>
      <c r="U217" s="2">
        <v>537777.77</v>
      </c>
      <c r="V217" s="2">
        <f t="shared" si="308"/>
        <v>0</v>
      </c>
      <c r="W217" s="2">
        <v>0</v>
      </c>
      <c r="X217" s="2">
        <v>0</v>
      </c>
      <c r="Y217" s="2">
        <f t="shared" si="310"/>
        <v>529771.16</v>
      </c>
      <c r="Z217" s="2">
        <v>395326.72000000003</v>
      </c>
      <c r="AA217" s="2">
        <v>134444.44</v>
      </c>
      <c r="AB217" s="2">
        <f t="shared" si="257"/>
        <v>0</v>
      </c>
      <c r="AC217" s="2"/>
      <c r="AD217" s="2"/>
      <c r="AE217" s="2">
        <f t="shared" si="246"/>
        <v>3307733.64</v>
      </c>
      <c r="AF217" s="2">
        <v>192499.20000000001</v>
      </c>
      <c r="AG217" s="2">
        <f t="shared" si="259"/>
        <v>3500232.8400000003</v>
      </c>
      <c r="AH217" s="29" t="s">
        <v>1072</v>
      </c>
      <c r="AI217" s="30" t="s">
        <v>236</v>
      </c>
      <c r="AJ217" s="31">
        <v>2635526.38</v>
      </c>
      <c r="AK217" s="52">
        <v>0</v>
      </c>
    </row>
    <row r="218" spans="1:37" ht="409.5" x14ac:dyDescent="0.25">
      <c r="A218" s="348" t="s">
        <v>1807</v>
      </c>
      <c r="B218" s="20">
        <v>118305</v>
      </c>
      <c r="C218" s="16">
        <v>11</v>
      </c>
      <c r="D218" s="3" t="s">
        <v>168</v>
      </c>
      <c r="E218" s="24" t="s">
        <v>165</v>
      </c>
      <c r="F218" s="195" t="s">
        <v>125</v>
      </c>
      <c r="G218" s="23" t="s">
        <v>62</v>
      </c>
      <c r="H218" s="23" t="s">
        <v>61</v>
      </c>
      <c r="I218" s="3" t="s">
        <v>201</v>
      </c>
      <c r="J218" s="51" t="s">
        <v>63</v>
      </c>
      <c r="K218" s="5">
        <v>42467</v>
      </c>
      <c r="L218" s="7">
        <v>43561</v>
      </c>
      <c r="M218" s="4">
        <f t="shared" si="307"/>
        <v>83.98386392846011</v>
      </c>
      <c r="N218" s="3" t="s">
        <v>155</v>
      </c>
      <c r="O218" s="3" t="s">
        <v>156</v>
      </c>
      <c r="P218" s="3" t="s">
        <v>156</v>
      </c>
      <c r="Q218" s="44" t="s">
        <v>157</v>
      </c>
      <c r="R218" s="3" t="s">
        <v>36</v>
      </c>
      <c r="S218" s="2">
        <f t="shared" si="309"/>
        <v>13566063.25</v>
      </c>
      <c r="T218" s="2">
        <v>10939848.08</v>
      </c>
      <c r="U218" s="2">
        <v>2626215.17</v>
      </c>
      <c r="V218" s="2">
        <f t="shared" si="308"/>
        <v>0</v>
      </c>
      <c r="W218" s="2">
        <v>0</v>
      </c>
      <c r="X218" s="2">
        <v>0</v>
      </c>
      <c r="Y218" s="2">
        <f t="shared" si="310"/>
        <v>2587115.0099999998</v>
      </c>
      <c r="Z218" s="2">
        <v>1930561.24</v>
      </c>
      <c r="AA218" s="2">
        <v>656553.77</v>
      </c>
      <c r="AB218" s="2">
        <f t="shared" ref="AB218:AB270" si="311">AC218+AD218</f>
        <v>0</v>
      </c>
      <c r="AC218" s="2">
        <v>0</v>
      </c>
      <c r="AD218" s="2">
        <v>0</v>
      </c>
      <c r="AE218" s="2">
        <f t="shared" si="246"/>
        <v>16153178.26</v>
      </c>
      <c r="AF218" s="2">
        <v>0</v>
      </c>
      <c r="AG218" s="2">
        <f t="shared" si="259"/>
        <v>16153178.26</v>
      </c>
      <c r="AH218" s="29" t="s">
        <v>1072</v>
      </c>
      <c r="AI218" s="30" t="s">
        <v>1103</v>
      </c>
      <c r="AJ218" s="31">
        <f>10642106.1+921431.45+112475.1+751485.06</f>
        <v>12427497.709999999</v>
      </c>
      <c r="AK218" s="52">
        <v>0</v>
      </c>
    </row>
    <row r="219" spans="1:37" ht="252" x14ac:dyDescent="0.25">
      <c r="A219" s="348" t="s">
        <v>1808</v>
      </c>
      <c r="B219" s="20">
        <v>118349</v>
      </c>
      <c r="C219" s="16">
        <v>13</v>
      </c>
      <c r="D219" s="3" t="s">
        <v>173</v>
      </c>
      <c r="E219" s="24" t="s">
        <v>165</v>
      </c>
      <c r="F219" s="195" t="s">
        <v>125</v>
      </c>
      <c r="G219" s="23" t="s">
        <v>65</v>
      </c>
      <c r="H219" s="23" t="s">
        <v>64</v>
      </c>
      <c r="I219" s="3" t="s">
        <v>197</v>
      </c>
      <c r="J219" s="51" t="s">
        <v>66</v>
      </c>
      <c r="K219" s="5">
        <v>42663</v>
      </c>
      <c r="L219" s="7">
        <v>43758</v>
      </c>
      <c r="M219" s="4">
        <f t="shared" si="307"/>
        <v>83.983862845432327</v>
      </c>
      <c r="N219" s="3" t="s">
        <v>155</v>
      </c>
      <c r="O219" s="3" t="s">
        <v>156</v>
      </c>
      <c r="P219" s="3" t="s">
        <v>156</v>
      </c>
      <c r="Q219" s="44" t="s">
        <v>157</v>
      </c>
      <c r="R219" s="3" t="s">
        <v>36</v>
      </c>
      <c r="S219" s="2">
        <f t="shared" si="309"/>
        <v>9782795.4699999988</v>
      </c>
      <c r="T219" s="2">
        <v>7888972.2199999997</v>
      </c>
      <c r="U219" s="2">
        <v>1893823.25</v>
      </c>
      <c r="V219" s="2">
        <f t="shared" si="308"/>
        <v>0</v>
      </c>
      <c r="W219" s="2">
        <v>0</v>
      </c>
      <c r="X219" s="2">
        <v>0</v>
      </c>
      <c r="Y219" s="2">
        <f t="shared" si="310"/>
        <v>1865627.3800000001</v>
      </c>
      <c r="Z219" s="2">
        <v>1392171.57</v>
      </c>
      <c r="AA219" s="2">
        <v>473455.81</v>
      </c>
      <c r="AB219" s="2">
        <f t="shared" si="311"/>
        <v>0</v>
      </c>
      <c r="AC219" s="2"/>
      <c r="AD219" s="2"/>
      <c r="AE219" s="2">
        <f t="shared" si="246"/>
        <v>11648422.85</v>
      </c>
      <c r="AF219" s="2">
        <v>0</v>
      </c>
      <c r="AG219" s="2">
        <f t="shared" si="259"/>
        <v>11648422.85</v>
      </c>
      <c r="AH219" s="29" t="s">
        <v>586</v>
      </c>
      <c r="AI219" s="30" t="s">
        <v>189</v>
      </c>
      <c r="AJ219" s="31">
        <f>1581295.57+590628.38+390172.91</f>
        <v>2562096.8600000003</v>
      </c>
      <c r="AK219" s="52">
        <v>0</v>
      </c>
    </row>
    <row r="220" spans="1:37" ht="157.5" x14ac:dyDescent="0.25">
      <c r="A220" s="348" t="s">
        <v>1809</v>
      </c>
      <c r="B220" s="20">
        <v>118894</v>
      </c>
      <c r="C220" s="16">
        <v>15</v>
      </c>
      <c r="D220" s="3" t="s">
        <v>170</v>
      </c>
      <c r="E220" s="24" t="s">
        <v>165</v>
      </c>
      <c r="F220" s="195" t="s">
        <v>125</v>
      </c>
      <c r="G220" s="23" t="s">
        <v>68</v>
      </c>
      <c r="H220" s="23" t="s">
        <v>67</v>
      </c>
      <c r="I220" s="3" t="s">
        <v>185</v>
      </c>
      <c r="J220" s="51" t="s">
        <v>69</v>
      </c>
      <c r="K220" s="5">
        <v>42717</v>
      </c>
      <c r="L220" s="7">
        <v>43995</v>
      </c>
      <c r="M220" s="4">
        <f t="shared" si="307"/>
        <v>83.983863051796376</v>
      </c>
      <c r="N220" s="3" t="s">
        <v>155</v>
      </c>
      <c r="O220" s="3" t="s">
        <v>156</v>
      </c>
      <c r="P220" s="3" t="s">
        <v>156</v>
      </c>
      <c r="Q220" s="44" t="s">
        <v>157</v>
      </c>
      <c r="R220" s="3" t="s">
        <v>36</v>
      </c>
      <c r="S220" s="2">
        <f t="shared" si="309"/>
        <v>2106832.29</v>
      </c>
      <c r="T220" s="2">
        <v>1698976.68</v>
      </c>
      <c r="U220" s="2">
        <v>407855.61</v>
      </c>
      <c r="V220" s="2">
        <f t="shared" si="308"/>
        <v>0</v>
      </c>
      <c r="W220" s="2">
        <v>0</v>
      </c>
      <c r="X220" s="2">
        <v>0</v>
      </c>
      <c r="Y220" s="2">
        <f t="shared" si="310"/>
        <v>401783.30999999994</v>
      </c>
      <c r="Z220" s="2">
        <v>299819.40999999997</v>
      </c>
      <c r="AA220" s="2">
        <v>101963.9</v>
      </c>
      <c r="AB220" s="2">
        <f t="shared" si="311"/>
        <v>0</v>
      </c>
      <c r="AC220" s="2"/>
      <c r="AD220" s="2"/>
      <c r="AE220" s="2">
        <f t="shared" si="246"/>
        <v>2508615.6</v>
      </c>
      <c r="AF220" s="2">
        <v>154711.20000000001</v>
      </c>
      <c r="AG220" s="2">
        <f t="shared" si="259"/>
        <v>2663326.8000000003</v>
      </c>
      <c r="AH220" s="29" t="s">
        <v>586</v>
      </c>
      <c r="AI220" s="30" t="s">
        <v>1578</v>
      </c>
      <c r="AJ220" s="31">
        <v>100211.1</v>
      </c>
      <c r="AK220" s="52">
        <v>0</v>
      </c>
    </row>
    <row r="221" spans="1:37" ht="378" x14ac:dyDescent="0.25">
      <c r="A221" s="348" t="s">
        <v>1810</v>
      </c>
      <c r="B221" s="20">
        <v>117846</v>
      </c>
      <c r="C221" s="16">
        <v>16</v>
      </c>
      <c r="D221" s="8" t="s">
        <v>172</v>
      </c>
      <c r="E221" s="24" t="s">
        <v>165</v>
      </c>
      <c r="F221" s="195" t="s">
        <v>125</v>
      </c>
      <c r="G221" s="23" t="s">
        <v>126</v>
      </c>
      <c r="H221" s="23" t="s">
        <v>124</v>
      </c>
      <c r="I221" s="3" t="s">
        <v>203</v>
      </c>
      <c r="J221" s="51" t="s">
        <v>127</v>
      </c>
      <c r="K221" s="5">
        <v>42884</v>
      </c>
      <c r="L221" s="7">
        <v>43980</v>
      </c>
      <c r="M221" s="4">
        <f t="shared" si="307"/>
        <v>83.983862657459213</v>
      </c>
      <c r="N221" s="3" t="s">
        <v>155</v>
      </c>
      <c r="O221" s="3" t="s">
        <v>156</v>
      </c>
      <c r="P221" s="3" t="s">
        <v>156</v>
      </c>
      <c r="Q221" s="44" t="s">
        <v>157</v>
      </c>
      <c r="R221" s="3" t="s">
        <v>36</v>
      </c>
      <c r="S221" s="2">
        <f t="shared" si="309"/>
        <v>13499438.890000001</v>
      </c>
      <c r="T221" s="2">
        <v>10886121.34</v>
      </c>
      <c r="U221" s="2">
        <v>2613317.5499999998</v>
      </c>
      <c r="V221" s="2">
        <f t="shared" si="308"/>
        <v>0</v>
      </c>
      <c r="W221" s="2">
        <v>0</v>
      </c>
      <c r="X221" s="2">
        <v>0</v>
      </c>
      <c r="Y221" s="2">
        <f t="shared" si="310"/>
        <v>2574409.66</v>
      </c>
      <c r="Z221" s="2">
        <v>1921080.25</v>
      </c>
      <c r="AA221" s="2">
        <v>653329.41</v>
      </c>
      <c r="AB221" s="2">
        <f t="shared" si="311"/>
        <v>0</v>
      </c>
      <c r="AC221" s="2"/>
      <c r="AD221" s="2"/>
      <c r="AE221" s="2">
        <f t="shared" si="246"/>
        <v>16073848.550000001</v>
      </c>
      <c r="AF221" s="2">
        <v>0</v>
      </c>
      <c r="AG221" s="2">
        <f t="shared" si="259"/>
        <v>16073848.550000001</v>
      </c>
      <c r="AH221" s="29" t="s">
        <v>586</v>
      </c>
      <c r="AI221" s="196" t="s">
        <v>1348</v>
      </c>
      <c r="AJ221" s="31">
        <f>2532656.95+321652.69+380360.36</f>
        <v>3234670</v>
      </c>
      <c r="AK221" s="52">
        <v>0</v>
      </c>
    </row>
    <row r="222" spans="1:37" ht="252" x14ac:dyDescent="0.25">
      <c r="A222" s="348" t="s">
        <v>1811</v>
      </c>
      <c r="B222" s="20">
        <v>117841</v>
      </c>
      <c r="C222" s="16">
        <v>17</v>
      </c>
      <c r="D222" s="3" t="s">
        <v>173</v>
      </c>
      <c r="E222" s="24" t="s">
        <v>165</v>
      </c>
      <c r="F222" s="195" t="s">
        <v>125</v>
      </c>
      <c r="G222" s="23" t="s">
        <v>71</v>
      </c>
      <c r="H222" s="23" t="s">
        <v>70</v>
      </c>
      <c r="I222" s="3" t="s">
        <v>185</v>
      </c>
      <c r="J222" s="51" t="s">
        <v>676</v>
      </c>
      <c r="K222" s="5">
        <v>42482</v>
      </c>
      <c r="L222" s="7">
        <v>43760</v>
      </c>
      <c r="M222" s="4">
        <f t="shared" si="307"/>
        <v>83.983862907570995</v>
      </c>
      <c r="N222" s="3" t="s">
        <v>155</v>
      </c>
      <c r="O222" s="3" t="s">
        <v>156</v>
      </c>
      <c r="P222" s="3" t="s">
        <v>156</v>
      </c>
      <c r="Q222" s="44" t="s">
        <v>157</v>
      </c>
      <c r="R222" s="3" t="s">
        <v>36</v>
      </c>
      <c r="S222" s="2">
        <f t="shared" si="309"/>
        <v>9778588.4399999995</v>
      </c>
      <c r="T222" s="2">
        <v>7885579.6299999999</v>
      </c>
      <c r="U222" s="2">
        <v>1893008.81</v>
      </c>
      <c r="V222" s="2">
        <f t="shared" si="308"/>
        <v>0</v>
      </c>
      <c r="W222" s="2">
        <v>0</v>
      </c>
      <c r="X222" s="2">
        <v>0</v>
      </c>
      <c r="Y222" s="2">
        <f t="shared" si="310"/>
        <v>1864825.07</v>
      </c>
      <c r="Z222" s="2">
        <v>1391572.85</v>
      </c>
      <c r="AA222" s="2">
        <v>473252.22</v>
      </c>
      <c r="AB222" s="2">
        <f t="shared" si="311"/>
        <v>0</v>
      </c>
      <c r="AC222" s="2"/>
      <c r="AD222" s="2"/>
      <c r="AE222" s="2">
        <f t="shared" ref="AE222:AE283" si="312">S222+V222+Y222+AB222</f>
        <v>11643413.51</v>
      </c>
      <c r="AF222" s="2">
        <v>0</v>
      </c>
      <c r="AG222" s="2">
        <f t="shared" si="259"/>
        <v>11643413.51</v>
      </c>
      <c r="AH222" s="29" t="s">
        <v>586</v>
      </c>
      <c r="AI222" s="30" t="s">
        <v>675</v>
      </c>
      <c r="AJ222" s="31">
        <f>4914766.64+991433.5</f>
        <v>5906200.1399999997</v>
      </c>
      <c r="AK222" s="52">
        <v>0</v>
      </c>
    </row>
    <row r="223" spans="1:37" ht="252" x14ac:dyDescent="0.25">
      <c r="A223" s="348" t="s">
        <v>1812</v>
      </c>
      <c r="B223" s="20">
        <v>119195</v>
      </c>
      <c r="C223" s="16">
        <v>18</v>
      </c>
      <c r="D223" s="3" t="s">
        <v>170</v>
      </c>
      <c r="E223" s="24" t="s">
        <v>165</v>
      </c>
      <c r="F223" s="195" t="s">
        <v>125</v>
      </c>
      <c r="G223" s="23" t="s">
        <v>73</v>
      </c>
      <c r="H223" s="23" t="s">
        <v>72</v>
      </c>
      <c r="I223" s="3" t="s">
        <v>185</v>
      </c>
      <c r="J223" s="51" t="s">
        <v>74</v>
      </c>
      <c r="K223" s="5">
        <v>42464</v>
      </c>
      <c r="L223" s="7">
        <v>43528</v>
      </c>
      <c r="M223" s="4">
        <f t="shared" si="307"/>
        <v>83.983863126060598</v>
      </c>
      <c r="N223" s="3" t="s">
        <v>155</v>
      </c>
      <c r="O223" s="3" t="s">
        <v>156</v>
      </c>
      <c r="P223" s="3" t="s">
        <v>156</v>
      </c>
      <c r="Q223" s="44" t="s">
        <v>157</v>
      </c>
      <c r="R223" s="3" t="s">
        <v>36</v>
      </c>
      <c r="S223" s="2">
        <f t="shared" si="309"/>
        <v>3168878.46</v>
      </c>
      <c r="T223" s="2">
        <v>2555424.39</v>
      </c>
      <c r="U223" s="2">
        <v>613454.06999999995</v>
      </c>
      <c r="V223" s="2">
        <f t="shared" si="308"/>
        <v>0</v>
      </c>
      <c r="W223" s="2">
        <v>0</v>
      </c>
      <c r="X223" s="2">
        <v>0</v>
      </c>
      <c r="Y223" s="2">
        <f t="shared" si="310"/>
        <v>604320.75</v>
      </c>
      <c r="Z223" s="2">
        <v>450957.23</v>
      </c>
      <c r="AA223" s="2">
        <v>153363.51999999999</v>
      </c>
      <c r="AB223" s="2">
        <f t="shared" si="311"/>
        <v>0</v>
      </c>
      <c r="AC223" s="2">
        <v>0</v>
      </c>
      <c r="AD223" s="2">
        <v>0</v>
      </c>
      <c r="AE223" s="2">
        <f t="shared" si="312"/>
        <v>3773199.21</v>
      </c>
      <c r="AF223" s="2">
        <v>0</v>
      </c>
      <c r="AG223" s="2">
        <f t="shared" si="259"/>
        <v>3773199.21</v>
      </c>
      <c r="AH223" s="29" t="s">
        <v>1072</v>
      </c>
      <c r="AI223" s="30" t="s">
        <v>1245</v>
      </c>
      <c r="AJ223" s="31">
        <f>452513.95+76690.71+72953.42+173284.84+106262.26+2063431.1</f>
        <v>2945136.2800000003</v>
      </c>
      <c r="AK223" s="52">
        <v>0</v>
      </c>
    </row>
    <row r="224" spans="1:37" ht="267.75" x14ac:dyDescent="0.25">
      <c r="A224" s="348" t="s">
        <v>1813</v>
      </c>
      <c r="B224" s="20">
        <v>118157</v>
      </c>
      <c r="C224" s="16">
        <v>19</v>
      </c>
      <c r="D224" s="3" t="s">
        <v>168</v>
      </c>
      <c r="E224" s="24" t="s">
        <v>165</v>
      </c>
      <c r="F224" s="195" t="s">
        <v>125</v>
      </c>
      <c r="G224" s="23" t="s">
        <v>76</v>
      </c>
      <c r="H224" s="23" t="s">
        <v>75</v>
      </c>
      <c r="I224" s="3" t="s">
        <v>185</v>
      </c>
      <c r="J224" s="51" t="s">
        <v>77</v>
      </c>
      <c r="K224" s="5">
        <v>42446</v>
      </c>
      <c r="L224" s="7">
        <v>43541</v>
      </c>
      <c r="M224" s="4">
        <f t="shared" si="307"/>
        <v>83.983862865891041</v>
      </c>
      <c r="N224" s="3" t="s">
        <v>155</v>
      </c>
      <c r="O224" s="3" t="s">
        <v>156</v>
      </c>
      <c r="P224" s="3" t="s">
        <v>156</v>
      </c>
      <c r="Q224" s="44" t="s">
        <v>157</v>
      </c>
      <c r="R224" s="3" t="s">
        <v>36</v>
      </c>
      <c r="S224" s="2">
        <f t="shared" si="309"/>
        <v>3627735.48</v>
      </c>
      <c r="T224" s="2">
        <v>2925452.6</v>
      </c>
      <c r="U224" s="2">
        <v>702282.88</v>
      </c>
      <c r="V224" s="2">
        <f t="shared" si="308"/>
        <v>0</v>
      </c>
      <c r="W224" s="2">
        <v>0</v>
      </c>
      <c r="X224" s="2">
        <v>0</v>
      </c>
      <c r="Y224" s="2">
        <f t="shared" si="310"/>
        <v>691827.06</v>
      </c>
      <c r="Z224" s="2">
        <v>516256.34</v>
      </c>
      <c r="AA224" s="2">
        <v>175570.72</v>
      </c>
      <c r="AB224" s="2">
        <f t="shared" si="311"/>
        <v>0</v>
      </c>
      <c r="AC224" s="2"/>
      <c r="AD224" s="2"/>
      <c r="AE224" s="2">
        <f t="shared" si="312"/>
        <v>4319562.54</v>
      </c>
      <c r="AF224" s="2">
        <v>0</v>
      </c>
      <c r="AG224" s="2">
        <f t="shared" si="259"/>
        <v>4319562.54</v>
      </c>
      <c r="AH224" s="29" t="s">
        <v>1072</v>
      </c>
      <c r="AI224" s="30" t="s">
        <v>715</v>
      </c>
      <c r="AJ224" s="31">
        <v>637411.23</v>
      </c>
      <c r="AK224" s="52">
        <v>0</v>
      </c>
    </row>
    <row r="225" spans="1:37" ht="173.25" x14ac:dyDescent="0.25">
      <c r="A225" s="348" t="s">
        <v>1814</v>
      </c>
      <c r="B225" s="20">
        <v>119196</v>
      </c>
      <c r="C225" s="16">
        <v>20</v>
      </c>
      <c r="D225" s="3" t="s">
        <v>170</v>
      </c>
      <c r="E225" s="24" t="s">
        <v>165</v>
      </c>
      <c r="F225" s="195" t="s">
        <v>125</v>
      </c>
      <c r="G225" s="23" t="s">
        <v>78</v>
      </c>
      <c r="H225" s="23" t="s">
        <v>72</v>
      </c>
      <c r="I225" s="3" t="s">
        <v>205</v>
      </c>
      <c r="J225" s="51" t="s">
        <v>79</v>
      </c>
      <c r="K225" s="5">
        <v>42464</v>
      </c>
      <c r="L225" s="7">
        <v>43925</v>
      </c>
      <c r="M225" s="4">
        <f t="shared" si="307"/>
        <v>83.983863025248297</v>
      </c>
      <c r="N225" s="3" t="s">
        <v>155</v>
      </c>
      <c r="O225" s="3" t="s">
        <v>156</v>
      </c>
      <c r="P225" s="3" t="s">
        <v>156</v>
      </c>
      <c r="Q225" s="44" t="s">
        <v>157</v>
      </c>
      <c r="R225" s="3" t="s">
        <v>36</v>
      </c>
      <c r="S225" s="2">
        <f t="shared" si="309"/>
        <v>14990338.920000002</v>
      </c>
      <c r="T225" s="2">
        <v>12088402.300000001</v>
      </c>
      <c r="U225" s="2">
        <v>2901936.62</v>
      </c>
      <c r="V225" s="2">
        <f t="shared" si="308"/>
        <v>0</v>
      </c>
      <c r="W225" s="2">
        <v>0</v>
      </c>
      <c r="X225" s="2">
        <v>0</v>
      </c>
      <c r="Y225" s="2">
        <f t="shared" si="310"/>
        <v>2858731.58</v>
      </c>
      <c r="Z225" s="2">
        <v>2133247.4300000002</v>
      </c>
      <c r="AA225" s="2">
        <v>725484.15</v>
      </c>
      <c r="AB225" s="2">
        <f t="shared" si="311"/>
        <v>0</v>
      </c>
      <c r="AC225" s="2"/>
      <c r="AD225" s="2"/>
      <c r="AE225" s="2">
        <f t="shared" si="312"/>
        <v>17849070.5</v>
      </c>
      <c r="AF225" s="2">
        <v>0</v>
      </c>
      <c r="AG225" s="2">
        <f t="shared" si="259"/>
        <v>17849070.5</v>
      </c>
      <c r="AH225" s="29" t="s">
        <v>586</v>
      </c>
      <c r="AI225" s="30" t="s">
        <v>1362</v>
      </c>
      <c r="AJ225" s="31">
        <f>770912.58+137660.46+105577.25+147498.87+3615037.95</f>
        <v>4776687.1100000003</v>
      </c>
      <c r="AK225" s="52">
        <v>0</v>
      </c>
    </row>
    <row r="226" spans="1:37" ht="409.5" x14ac:dyDescent="0.25">
      <c r="A226" s="348" t="s">
        <v>1815</v>
      </c>
      <c r="B226" s="20">
        <v>118158</v>
      </c>
      <c r="C226" s="16">
        <v>21</v>
      </c>
      <c r="D226" s="3" t="s">
        <v>168</v>
      </c>
      <c r="E226" s="24" t="s">
        <v>165</v>
      </c>
      <c r="F226" s="195" t="s">
        <v>125</v>
      </c>
      <c r="G226" s="23" t="s">
        <v>80</v>
      </c>
      <c r="H226" s="23" t="s">
        <v>75</v>
      </c>
      <c r="I226" s="3" t="s">
        <v>437</v>
      </c>
      <c r="J226" s="51" t="s">
        <v>81</v>
      </c>
      <c r="K226" s="5">
        <v>42516</v>
      </c>
      <c r="L226" s="7">
        <v>43703</v>
      </c>
      <c r="M226" s="4">
        <f t="shared" si="307"/>
        <v>83.983862895923082</v>
      </c>
      <c r="N226" s="3" t="s">
        <v>155</v>
      </c>
      <c r="O226" s="3" t="s">
        <v>156</v>
      </c>
      <c r="P226" s="3" t="s">
        <v>156</v>
      </c>
      <c r="Q226" s="44" t="s">
        <v>157</v>
      </c>
      <c r="R226" s="3" t="s">
        <v>36</v>
      </c>
      <c r="S226" s="2">
        <f t="shared" si="309"/>
        <v>11413787.699999999</v>
      </c>
      <c r="T226" s="2">
        <v>9204225.3699999992</v>
      </c>
      <c r="U226" s="2">
        <v>2209562.33</v>
      </c>
      <c r="V226" s="2">
        <f t="shared" si="308"/>
        <v>0</v>
      </c>
      <c r="W226" s="2">
        <v>0</v>
      </c>
      <c r="X226" s="2">
        <v>0</v>
      </c>
      <c r="Y226" s="2">
        <f t="shared" si="310"/>
        <v>2176665.64</v>
      </c>
      <c r="Z226" s="2">
        <v>1624275.04</v>
      </c>
      <c r="AA226" s="2">
        <v>552390.6</v>
      </c>
      <c r="AB226" s="2">
        <f t="shared" si="311"/>
        <v>0</v>
      </c>
      <c r="AC226" s="2"/>
      <c r="AD226" s="2"/>
      <c r="AE226" s="2">
        <f t="shared" si="312"/>
        <v>13590453.34</v>
      </c>
      <c r="AF226" s="2">
        <v>16355.96</v>
      </c>
      <c r="AG226" s="2">
        <f t="shared" si="259"/>
        <v>13606809.300000001</v>
      </c>
      <c r="AH226" s="29" t="s">
        <v>586</v>
      </c>
      <c r="AI226" s="30" t="s">
        <v>1385</v>
      </c>
      <c r="AJ226" s="31">
        <f>7504368.77+277081.02</f>
        <v>7781449.7899999991</v>
      </c>
      <c r="AK226" s="52">
        <v>0</v>
      </c>
    </row>
    <row r="227" spans="1:37" ht="346.5" x14ac:dyDescent="0.25">
      <c r="A227" s="348" t="s">
        <v>1816</v>
      </c>
      <c r="B227" s="20">
        <v>118159</v>
      </c>
      <c r="C227" s="16">
        <v>22</v>
      </c>
      <c r="D227" s="3" t="s">
        <v>176</v>
      </c>
      <c r="E227" s="24" t="s">
        <v>165</v>
      </c>
      <c r="F227" s="195" t="s">
        <v>125</v>
      </c>
      <c r="G227" s="23" t="s">
        <v>82</v>
      </c>
      <c r="H227" s="23" t="s">
        <v>75</v>
      </c>
      <c r="I227" s="3" t="s">
        <v>193</v>
      </c>
      <c r="J227" s="51" t="s">
        <v>83</v>
      </c>
      <c r="K227" s="5">
        <v>42446</v>
      </c>
      <c r="L227" s="7">
        <v>43176</v>
      </c>
      <c r="M227" s="4">
        <f t="shared" si="307"/>
        <v>83.983862881462997</v>
      </c>
      <c r="N227" s="3" t="s">
        <v>155</v>
      </c>
      <c r="O227" s="3" t="s">
        <v>156</v>
      </c>
      <c r="P227" s="3" t="s">
        <v>156</v>
      </c>
      <c r="Q227" s="44" t="s">
        <v>157</v>
      </c>
      <c r="R227" s="3" t="s">
        <v>36</v>
      </c>
      <c r="S227" s="2">
        <f t="shared" si="309"/>
        <v>13490539.449999999</v>
      </c>
      <c r="T227" s="2">
        <v>10878944.699999999</v>
      </c>
      <c r="U227" s="2">
        <v>2611594.75</v>
      </c>
      <c r="V227" s="2">
        <f t="shared" si="308"/>
        <v>0</v>
      </c>
      <c r="W227" s="2">
        <v>0</v>
      </c>
      <c r="X227" s="2">
        <v>0</v>
      </c>
      <c r="Y227" s="2">
        <f t="shared" si="310"/>
        <v>2572712.4500000002</v>
      </c>
      <c r="Z227" s="2">
        <v>1919813.76</v>
      </c>
      <c r="AA227" s="2">
        <v>652898.68999999994</v>
      </c>
      <c r="AB227" s="2">
        <f t="shared" si="311"/>
        <v>0</v>
      </c>
      <c r="AC227" s="2"/>
      <c r="AD227" s="2"/>
      <c r="AE227" s="2">
        <f t="shared" si="312"/>
        <v>16063251.899999999</v>
      </c>
      <c r="AF227" s="2">
        <v>0</v>
      </c>
      <c r="AG227" s="2">
        <f t="shared" si="259"/>
        <v>16063251.899999999</v>
      </c>
      <c r="AH227" s="29" t="s">
        <v>1072</v>
      </c>
      <c r="AI227" s="30" t="s">
        <v>209</v>
      </c>
      <c r="AJ227" s="31">
        <v>12372517.5</v>
      </c>
      <c r="AK227" s="52">
        <v>0</v>
      </c>
    </row>
    <row r="228" spans="1:37" ht="409.5" x14ac:dyDescent="0.25">
      <c r="A228" s="348" t="s">
        <v>1817</v>
      </c>
      <c r="B228" s="20">
        <v>118427</v>
      </c>
      <c r="C228" s="16">
        <v>23</v>
      </c>
      <c r="D228" s="3" t="s">
        <v>171</v>
      </c>
      <c r="E228" s="24" t="s">
        <v>165</v>
      </c>
      <c r="F228" s="195" t="s">
        <v>125</v>
      </c>
      <c r="G228" s="23" t="s">
        <v>85</v>
      </c>
      <c r="H228" s="23" t="s">
        <v>84</v>
      </c>
      <c r="I228" s="3" t="s">
        <v>185</v>
      </c>
      <c r="J228" s="51" t="s">
        <v>86</v>
      </c>
      <c r="K228" s="5">
        <v>42459</v>
      </c>
      <c r="L228" s="7">
        <v>43524</v>
      </c>
      <c r="M228" s="4">
        <f t="shared" si="307"/>
        <v>83.983862468884851</v>
      </c>
      <c r="N228" s="3" t="s">
        <v>155</v>
      </c>
      <c r="O228" s="3" t="s">
        <v>156</v>
      </c>
      <c r="P228" s="3" t="s">
        <v>156</v>
      </c>
      <c r="Q228" s="44" t="s">
        <v>157</v>
      </c>
      <c r="R228" s="3" t="s">
        <v>36</v>
      </c>
      <c r="S228" s="2">
        <f>T228+U228</f>
        <v>6252507.0099999998</v>
      </c>
      <c r="T228" s="2">
        <v>5042102.18</v>
      </c>
      <c r="U228" s="2">
        <v>1210404.83</v>
      </c>
      <c r="V228" s="2">
        <f t="shared" si="308"/>
        <v>0</v>
      </c>
      <c r="W228" s="2">
        <v>0</v>
      </c>
      <c r="X228" s="2">
        <v>0</v>
      </c>
      <c r="Y228" s="2">
        <f t="shared" si="310"/>
        <v>1192383.98</v>
      </c>
      <c r="Z228" s="2">
        <v>889782.73</v>
      </c>
      <c r="AA228" s="2">
        <v>302601.25</v>
      </c>
      <c r="AB228" s="2">
        <f t="shared" si="311"/>
        <v>0</v>
      </c>
      <c r="AC228" s="2"/>
      <c r="AD228" s="2"/>
      <c r="AE228" s="2">
        <f t="shared" si="312"/>
        <v>7444890.9900000002</v>
      </c>
      <c r="AF228" s="2">
        <v>0</v>
      </c>
      <c r="AG228" s="2">
        <f t="shared" si="259"/>
        <v>7444890.9900000002</v>
      </c>
      <c r="AH228" s="29" t="s">
        <v>1072</v>
      </c>
      <c r="AI228" s="197" t="s">
        <v>1243</v>
      </c>
      <c r="AJ228" s="31">
        <f>2818184.2+870614.52+48419.22+1678613.18+827861.4</f>
        <v>6243692.5200000005</v>
      </c>
      <c r="AK228" s="52">
        <v>0</v>
      </c>
    </row>
    <row r="229" spans="1:37" ht="236.25" x14ac:dyDescent="0.25">
      <c r="A229" s="348" t="s">
        <v>1818</v>
      </c>
      <c r="B229" s="20">
        <v>118584</v>
      </c>
      <c r="C229" s="16">
        <v>24</v>
      </c>
      <c r="D229" s="3" t="s">
        <v>1073</v>
      </c>
      <c r="E229" s="24" t="s">
        <v>165</v>
      </c>
      <c r="F229" s="195" t="s">
        <v>125</v>
      </c>
      <c r="G229" s="23" t="s">
        <v>88</v>
      </c>
      <c r="H229" s="23" t="s">
        <v>87</v>
      </c>
      <c r="I229" s="3" t="s">
        <v>185</v>
      </c>
      <c r="J229" s="51" t="s">
        <v>89</v>
      </c>
      <c r="K229" s="5">
        <v>42454</v>
      </c>
      <c r="L229" s="7">
        <v>43610</v>
      </c>
      <c r="M229" s="4">
        <f t="shared" si="307"/>
        <v>83.983862869823341</v>
      </c>
      <c r="N229" s="3" t="s">
        <v>155</v>
      </c>
      <c r="O229" s="3" t="s">
        <v>156</v>
      </c>
      <c r="P229" s="3" t="s">
        <v>156</v>
      </c>
      <c r="Q229" s="44" t="s">
        <v>157</v>
      </c>
      <c r="R229" s="3" t="s">
        <v>36</v>
      </c>
      <c r="S229" s="2">
        <f t="shared" si="309"/>
        <v>2984368.02</v>
      </c>
      <c r="T229" s="2">
        <v>2406632.79</v>
      </c>
      <c r="U229" s="2">
        <v>577735.23</v>
      </c>
      <c r="V229" s="2">
        <f t="shared" si="308"/>
        <v>0</v>
      </c>
      <c r="W229" s="2">
        <v>0</v>
      </c>
      <c r="X229" s="2">
        <v>0</v>
      </c>
      <c r="Y229" s="2">
        <f t="shared" si="310"/>
        <v>569133.71</v>
      </c>
      <c r="Z229" s="2">
        <v>424699.9</v>
      </c>
      <c r="AA229" s="2">
        <v>144433.81</v>
      </c>
      <c r="AB229" s="2">
        <f t="shared" si="311"/>
        <v>0</v>
      </c>
      <c r="AC229" s="2"/>
      <c r="AD229" s="2"/>
      <c r="AE229" s="2">
        <f t="shared" si="312"/>
        <v>3553501.73</v>
      </c>
      <c r="AF229" s="2"/>
      <c r="AG229" s="2">
        <f t="shared" si="259"/>
        <v>3553501.73</v>
      </c>
      <c r="AH229" s="29" t="s">
        <v>1072</v>
      </c>
      <c r="AI229" s="198" t="s">
        <v>1244</v>
      </c>
      <c r="AJ229" s="31">
        <f>1046822.23+91171.38+864543.62+93710.89</f>
        <v>2096248.1199999999</v>
      </c>
      <c r="AK229" s="52">
        <v>0</v>
      </c>
    </row>
    <row r="230" spans="1:37" ht="252" x14ac:dyDescent="0.25">
      <c r="A230" s="348" t="s">
        <v>1819</v>
      </c>
      <c r="B230" s="20">
        <v>117834</v>
      </c>
      <c r="C230" s="16">
        <v>25</v>
      </c>
      <c r="D230" s="3" t="s">
        <v>171</v>
      </c>
      <c r="E230" s="24" t="s">
        <v>165</v>
      </c>
      <c r="F230" s="195" t="s">
        <v>125</v>
      </c>
      <c r="G230" s="23" t="s">
        <v>90</v>
      </c>
      <c r="H230" s="23" t="s">
        <v>84</v>
      </c>
      <c r="I230" s="3" t="s">
        <v>206</v>
      </c>
      <c r="J230" s="51" t="s">
        <v>91</v>
      </c>
      <c r="K230" s="5">
        <v>42459</v>
      </c>
      <c r="L230" s="7">
        <v>43464</v>
      </c>
      <c r="M230" s="4">
        <f t="shared" si="307"/>
        <v>83.983862877433253</v>
      </c>
      <c r="N230" s="3" t="s">
        <v>155</v>
      </c>
      <c r="O230" s="3" t="s">
        <v>156</v>
      </c>
      <c r="P230" s="3" t="s">
        <v>156</v>
      </c>
      <c r="Q230" s="44" t="s">
        <v>157</v>
      </c>
      <c r="R230" s="3" t="s">
        <v>36</v>
      </c>
      <c r="S230" s="2">
        <f t="shared" si="309"/>
        <v>11174376.890000001</v>
      </c>
      <c r="T230" s="2">
        <v>9011161.3900000006</v>
      </c>
      <c r="U230" s="2">
        <v>2163215.5</v>
      </c>
      <c r="V230" s="2">
        <f t="shared" si="308"/>
        <v>0</v>
      </c>
      <c r="W230" s="2">
        <v>0</v>
      </c>
      <c r="X230" s="2">
        <v>0</v>
      </c>
      <c r="Y230" s="2">
        <f t="shared" si="310"/>
        <v>2131008.8199999998</v>
      </c>
      <c r="Z230" s="2">
        <v>1590204.95</v>
      </c>
      <c r="AA230" s="2">
        <v>540803.87</v>
      </c>
      <c r="AB230" s="2">
        <f t="shared" si="311"/>
        <v>0</v>
      </c>
      <c r="AC230" s="2"/>
      <c r="AD230" s="2"/>
      <c r="AE230" s="2">
        <f t="shared" si="312"/>
        <v>13305385.710000001</v>
      </c>
      <c r="AF230" s="2">
        <v>0</v>
      </c>
      <c r="AG230" s="2">
        <f t="shared" si="259"/>
        <v>13305385.710000001</v>
      </c>
      <c r="AH230" s="29" t="s">
        <v>1072</v>
      </c>
      <c r="AI230" s="197" t="s">
        <v>1065</v>
      </c>
      <c r="AJ230" s="31">
        <v>11126144.5</v>
      </c>
      <c r="AK230" s="52">
        <v>0</v>
      </c>
    </row>
    <row r="231" spans="1:37" ht="346.5" x14ac:dyDescent="0.25">
      <c r="A231" s="348" t="s">
        <v>1820</v>
      </c>
      <c r="B231" s="20">
        <v>118419</v>
      </c>
      <c r="C231" s="16">
        <v>26</v>
      </c>
      <c r="D231" s="3" t="s">
        <v>1073</v>
      </c>
      <c r="E231" s="24" t="s">
        <v>165</v>
      </c>
      <c r="F231" s="195" t="s">
        <v>125</v>
      </c>
      <c r="G231" s="23" t="s">
        <v>92</v>
      </c>
      <c r="H231" s="23" t="s">
        <v>84</v>
      </c>
      <c r="I231" s="3" t="s">
        <v>185</v>
      </c>
      <c r="J231" s="51" t="s">
        <v>93</v>
      </c>
      <c r="K231" s="5">
        <v>42458</v>
      </c>
      <c r="L231" s="7">
        <v>43553</v>
      </c>
      <c r="M231" s="4">
        <f t="shared" si="307"/>
        <v>83.983862783018438</v>
      </c>
      <c r="N231" s="3" t="s">
        <v>155</v>
      </c>
      <c r="O231" s="3" t="s">
        <v>156</v>
      </c>
      <c r="P231" s="3" t="s">
        <v>156</v>
      </c>
      <c r="Q231" s="44" t="s">
        <v>157</v>
      </c>
      <c r="R231" s="3" t="s">
        <v>36</v>
      </c>
      <c r="S231" s="2">
        <f t="shared" si="309"/>
        <v>3637178.37</v>
      </c>
      <c r="T231" s="2">
        <v>2933067.47</v>
      </c>
      <c r="U231" s="2">
        <v>704110.9</v>
      </c>
      <c r="V231" s="2">
        <f t="shared" si="308"/>
        <v>0</v>
      </c>
      <c r="W231" s="2">
        <v>0</v>
      </c>
      <c r="X231" s="2">
        <v>0</v>
      </c>
      <c r="Y231" s="2">
        <f t="shared" si="310"/>
        <v>693627.87</v>
      </c>
      <c r="Z231" s="2">
        <v>517600.14</v>
      </c>
      <c r="AA231" s="2">
        <v>176027.73</v>
      </c>
      <c r="AB231" s="2">
        <f t="shared" si="311"/>
        <v>0</v>
      </c>
      <c r="AC231" s="2"/>
      <c r="AD231" s="2"/>
      <c r="AE231" s="2">
        <f t="shared" si="312"/>
        <v>4330806.24</v>
      </c>
      <c r="AF231" s="2">
        <v>0</v>
      </c>
      <c r="AG231" s="2">
        <f t="shared" si="259"/>
        <v>4330806.24</v>
      </c>
      <c r="AH231" s="29" t="s">
        <v>1309</v>
      </c>
      <c r="AI231" s="198" t="s">
        <v>186</v>
      </c>
      <c r="AJ231" s="31">
        <f>2956760.5+333305.63</f>
        <v>3290066.13</v>
      </c>
      <c r="AK231" s="52">
        <v>0</v>
      </c>
    </row>
    <row r="232" spans="1:37" ht="409.5" x14ac:dyDescent="0.25">
      <c r="A232" s="348" t="s">
        <v>1821</v>
      </c>
      <c r="B232" s="20">
        <v>118319</v>
      </c>
      <c r="C232" s="16">
        <v>27</v>
      </c>
      <c r="D232" s="3" t="s">
        <v>173</v>
      </c>
      <c r="E232" s="24" t="s">
        <v>165</v>
      </c>
      <c r="F232" s="195" t="s">
        <v>125</v>
      </c>
      <c r="G232" s="23" t="s">
        <v>95</v>
      </c>
      <c r="H232" s="23" t="s">
        <v>94</v>
      </c>
      <c r="I232" s="3" t="s">
        <v>198</v>
      </c>
      <c r="J232" s="51" t="s">
        <v>96</v>
      </c>
      <c r="K232" s="5">
        <v>42585</v>
      </c>
      <c r="L232" s="7">
        <v>43680</v>
      </c>
      <c r="M232" s="4">
        <f t="shared" si="307"/>
        <v>83.983862824473448</v>
      </c>
      <c r="N232" s="3" t="s">
        <v>155</v>
      </c>
      <c r="O232" s="3" t="s">
        <v>156</v>
      </c>
      <c r="P232" s="3" t="s">
        <v>156</v>
      </c>
      <c r="Q232" s="44" t="s">
        <v>157</v>
      </c>
      <c r="R232" s="3" t="s">
        <v>36</v>
      </c>
      <c r="S232" s="2">
        <f t="shared" si="309"/>
        <v>17052953.060000002</v>
      </c>
      <c r="T232" s="2">
        <v>13751720.9</v>
      </c>
      <c r="U232" s="2">
        <v>3301232.16</v>
      </c>
      <c r="V232" s="2">
        <f t="shared" si="308"/>
        <v>0</v>
      </c>
      <c r="W232" s="2">
        <v>0</v>
      </c>
      <c r="X232" s="2">
        <v>0</v>
      </c>
      <c r="Y232" s="2">
        <f t="shared" si="310"/>
        <v>3252082.32</v>
      </c>
      <c r="Z232" s="2">
        <v>2426774.2799999998</v>
      </c>
      <c r="AA232" s="2">
        <v>825308.04</v>
      </c>
      <c r="AB232" s="2">
        <f t="shared" si="311"/>
        <v>0</v>
      </c>
      <c r="AC232" s="2"/>
      <c r="AD232" s="2"/>
      <c r="AE232" s="2">
        <f t="shared" si="312"/>
        <v>20305035.380000003</v>
      </c>
      <c r="AF232" s="2">
        <v>0</v>
      </c>
      <c r="AG232" s="2">
        <f t="shared" si="259"/>
        <v>20305035.380000003</v>
      </c>
      <c r="AH232" s="29" t="s">
        <v>586</v>
      </c>
      <c r="AI232" s="30" t="s">
        <v>458</v>
      </c>
      <c r="AJ232" s="31">
        <f>13499794.97+716994.5+92062.31+258000</f>
        <v>14566851.780000001</v>
      </c>
      <c r="AK232" s="52">
        <v>0</v>
      </c>
    </row>
    <row r="233" spans="1:37" ht="346.5" x14ac:dyDescent="0.25">
      <c r="A233" s="348" t="s">
        <v>1822</v>
      </c>
      <c r="B233" s="20"/>
      <c r="C233" s="16">
        <v>28</v>
      </c>
      <c r="D233" s="3" t="s">
        <v>168</v>
      </c>
      <c r="E233" s="24" t="s">
        <v>165</v>
      </c>
      <c r="F233" s="195" t="s">
        <v>125</v>
      </c>
      <c r="G233" s="23" t="s">
        <v>97</v>
      </c>
      <c r="H233" s="23" t="s">
        <v>84</v>
      </c>
      <c r="I233" s="3" t="s">
        <v>202</v>
      </c>
      <c r="J233" s="51" t="s">
        <v>98</v>
      </c>
      <c r="K233" s="5">
        <v>42515</v>
      </c>
      <c r="L233" s="7">
        <v>44037</v>
      </c>
      <c r="M233" s="4">
        <f t="shared" si="307"/>
        <v>83.983862862063091</v>
      </c>
      <c r="N233" s="3" t="s">
        <v>155</v>
      </c>
      <c r="O233" s="3" t="s">
        <v>156</v>
      </c>
      <c r="P233" s="3" t="s">
        <v>156</v>
      </c>
      <c r="Q233" s="44" t="s">
        <v>157</v>
      </c>
      <c r="R233" s="3" t="s">
        <v>36</v>
      </c>
      <c r="S233" s="2">
        <f t="shared" si="309"/>
        <v>36908560.949999996</v>
      </c>
      <c r="T233" s="2">
        <v>29763538.739999998</v>
      </c>
      <c r="U233" s="2">
        <v>7145022.21</v>
      </c>
      <c r="V233" s="2">
        <f t="shared" si="308"/>
        <v>0</v>
      </c>
      <c r="W233" s="2">
        <v>0</v>
      </c>
      <c r="X233" s="2">
        <v>0</v>
      </c>
      <c r="Y233" s="2">
        <f t="shared" si="310"/>
        <v>7038644.7300000004</v>
      </c>
      <c r="Z233" s="2">
        <v>5252389.1900000004</v>
      </c>
      <c r="AA233" s="2">
        <v>1786255.54</v>
      </c>
      <c r="AB233" s="2">
        <f t="shared" si="311"/>
        <v>0</v>
      </c>
      <c r="AC233" s="2"/>
      <c r="AD233" s="2"/>
      <c r="AE233" s="2">
        <f t="shared" si="312"/>
        <v>43947205.679999992</v>
      </c>
      <c r="AF233" s="2">
        <v>0</v>
      </c>
      <c r="AG233" s="2">
        <f t="shared" si="259"/>
        <v>43947205.679999992</v>
      </c>
      <c r="AH233" s="29" t="s">
        <v>586</v>
      </c>
      <c r="AI233" s="30" t="s">
        <v>1534</v>
      </c>
      <c r="AJ233" s="31">
        <f>14591533.85+314543.7</f>
        <v>14906077.549999999</v>
      </c>
      <c r="AK233" s="52">
        <v>0</v>
      </c>
    </row>
    <row r="234" spans="1:37" ht="362.25" x14ac:dyDescent="0.25">
      <c r="A234" s="348" t="s">
        <v>1823</v>
      </c>
      <c r="B234" s="20">
        <v>119993</v>
      </c>
      <c r="C234" s="16">
        <v>29</v>
      </c>
      <c r="D234" s="3" t="s">
        <v>171</v>
      </c>
      <c r="E234" s="24" t="s">
        <v>165</v>
      </c>
      <c r="F234" s="195" t="s">
        <v>125</v>
      </c>
      <c r="G234" s="23" t="s">
        <v>100</v>
      </c>
      <c r="H234" s="23" t="s">
        <v>99</v>
      </c>
      <c r="I234" s="3" t="s">
        <v>207</v>
      </c>
      <c r="J234" s="51" t="s">
        <v>101</v>
      </c>
      <c r="K234" s="5">
        <v>42569</v>
      </c>
      <c r="L234" s="7">
        <v>44030</v>
      </c>
      <c r="M234" s="4">
        <f t="shared" si="307"/>
        <v>83.98386282616714</v>
      </c>
      <c r="N234" s="3" t="s">
        <v>155</v>
      </c>
      <c r="O234" s="3" t="s">
        <v>156</v>
      </c>
      <c r="P234" s="3" t="s">
        <v>156</v>
      </c>
      <c r="Q234" s="44" t="s">
        <v>157</v>
      </c>
      <c r="R234" s="3" t="s">
        <v>36</v>
      </c>
      <c r="S234" s="2">
        <f t="shared" si="309"/>
        <v>35912411.909999996</v>
      </c>
      <c r="T234" s="2">
        <v>28960231.329999998</v>
      </c>
      <c r="U234" s="2">
        <v>6952180.5800000001</v>
      </c>
      <c r="V234" s="2">
        <f t="shared" si="308"/>
        <v>0</v>
      </c>
      <c r="W234" s="2">
        <v>0</v>
      </c>
      <c r="X234" s="2">
        <v>0</v>
      </c>
      <c r="Y234" s="2">
        <f t="shared" si="310"/>
        <v>6848674.209999999</v>
      </c>
      <c r="Z234" s="2">
        <v>5110629.0599999996</v>
      </c>
      <c r="AA234" s="2">
        <v>1738045.15</v>
      </c>
      <c r="AB234" s="2">
        <f t="shared" si="311"/>
        <v>0</v>
      </c>
      <c r="AC234" s="2"/>
      <c r="AD234" s="2"/>
      <c r="AE234" s="2">
        <f t="shared" si="312"/>
        <v>42761086.119999997</v>
      </c>
      <c r="AF234" s="2">
        <v>0</v>
      </c>
      <c r="AG234" s="2">
        <f t="shared" ref="AG234:AG302" si="313">AE234+AF234</f>
        <v>42761086.119999997</v>
      </c>
      <c r="AH234" s="29" t="s">
        <v>586</v>
      </c>
      <c r="AI234" s="197" t="s">
        <v>190</v>
      </c>
      <c r="AJ234" s="31">
        <v>28176.63</v>
      </c>
      <c r="AK234" s="52">
        <v>0</v>
      </c>
    </row>
    <row r="235" spans="1:37" ht="409.5" x14ac:dyDescent="0.25">
      <c r="A235" s="348" t="s">
        <v>1824</v>
      </c>
      <c r="B235" s="20">
        <v>118292</v>
      </c>
      <c r="C235" s="16">
        <v>30</v>
      </c>
      <c r="D235" s="3" t="s">
        <v>174</v>
      </c>
      <c r="E235" s="24" t="s">
        <v>165</v>
      </c>
      <c r="F235" s="195" t="s">
        <v>125</v>
      </c>
      <c r="G235" s="23" t="s">
        <v>103</v>
      </c>
      <c r="H235" s="23" t="s">
        <v>102</v>
      </c>
      <c r="I235" s="3" t="s">
        <v>195</v>
      </c>
      <c r="J235" s="51" t="s">
        <v>104</v>
      </c>
      <c r="K235" s="5">
        <v>42446</v>
      </c>
      <c r="L235" s="7">
        <v>43237</v>
      </c>
      <c r="M235" s="4">
        <f t="shared" si="307"/>
        <v>83.983862811384185</v>
      </c>
      <c r="N235" s="3" t="s">
        <v>155</v>
      </c>
      <c r="O235" s="3" t="s">
        <v>156</v>
      </c>
      <c r="P235" s="3" t="s">
        <v>156</v>
      </c>
      <c r="Q235" s="44" t="s">
        <v>157</v>
      </c>
      <c r="R235" s="3" t="s">
        <v>36</v>
      </c>
      <c r="S235" s="2">
        <f t="shared" si="309"/>
        <v>23983572.759999998</v>
      </c>
      <c r="T235" s="2">
        <v>19340661.859999999</v>
      </c>
      <c r="U235" s="2">
        <v>4642910.9000000004</v>
      </c>
      <c r="V235" s="2">
        <f t="shared" si="308"/>
        <v>0</v>
      </c>
      <c r="W235" s="2">
        <v>0</v>
      </c>
      <c r="X235" s="2">
        <v>0</v>
      </c>
      <c r="Y235" s="2">
        <f t="shared" si="310"/>
        <v>4573785.71</v>
      </c>
      <c r="Z235" s="2">
        <v>3413057.98</v>
      </c>
      <c r="AA235" s="2">
        <v>1160727.73</v>
      </c>
      <c r="AB235" s="2">
        <f t="shared" si="311"/>
        <v>0</v>
      </c>
      <c r="AC235" s="2"/>
      <c r="AD235" s="2"/>
      <c r="AE235" s="2">
        <f t="shared" si="312"/>
        <v>28557358.469999999</v>
      </c>
      <c r="AF235" s="2">
        <v>54654.13</v>
      </c>
      <c r="AG235" s="2">
        <f t="shared" si="313"/>
        <v>28612012.599999998</v>
      </c>
      <c r="AH235" s="29" t="s">
        <v>1072</v>
      </c>
      <c r="AI235" s="30" t="s">
        <v>465</v>
      </c>
      <c r="AJ235" s="31">
        <v>20419622.34</v>
      </c>
      <c r="AK235" s="52">
        <v>0</v>
      </c>
    </row>
    <row r="236" spans="1:37" ht="236.25" x14ac:dyDescent="0.25">
      <c r="A236" s="348" t="s">
        <v>1825</v>
      </c>
      <c r="B236" s="20">
        <v>120208</v>
      </c>
      <c r="C236" s="16">
        <v>47</v>
      </c>
      <c r="D236" s="3" t="s">
        <v>173</v>
      </c>
      <c r="E236" s="24" t="s">
        <v>165</v>
      </c>
      <c r="F236" s="195" t="s">
        <v>128</v>
      </c>
      <c r="G236" s="23" t="s">
        <v>677</v>
      </c>
      <c r="H236" s="23" t="s">
        <v>329</v>
      </c>
      <c r="I236" s="3" t="s">
        <v>185</v>
      </c>
      <c r="J236" s="51" t="s">
        <v>679</v>
      </c>
      <c r="K236" s="5">
        <v>42914</v>
      </c>
      <c r="L236" s="7">
        <v>44193</v>
      </c>
      <c r="M236" s="4">
        <f t="shared" si="307"/>
        <v>83.983862839866035</v>
      </c>
      <c r="N236" s="3" t="s">
        <v>155</v>
      </c>
      <c r="O236" s="3" t="s">
        <v>156</v>
      </c>
      <c r="P236" s="3" t="s">
        <v>156</v>
      </c>
      <c r="Q236" s="44" t="s">
        <v>157</v>
      </c>
      <c r="R236" s="3" t="s">
        <v>36</v>
      </c>
      <c r="S236" s="2">
        <f t="shared" si="309"/>
        <v>6085613.1800000006</v>
      </c>
      <c r="T236" s="2">
        <v>4907516.82</v>
      </c>
      <c r="U236" s="2">
        <v>1178096.3600000001</v>
      </c>
      <c r="V236" s="2">
        <f>W236+X236</f>
        <v>0</v>
      </c>
      <c r="W236" s="2">
        <v>0</v>
      </c>
      <c r="X236" s="2">
        <v>0</v>
      </c>
      <c r="Y236" s="2">
        <f t="shared" si="310"/>
        <v>1160556.47</v>
      </c>
      <c r="Z236" s="2">
        <v>866032.38</v>
      </c>
      <c r="AA236" s="2">
        <v>294524.09000000003</v>
      </c>
      <c r="AB236" s="2">
        <f t="shared" si="311"/>
        <v>0</v>
      </c>
      <c r="AC236" s="2"/>
      <c r="AD236" s="2"/>
      <c r="AE236" s="2">
        <f t="shared" si="312"/>
        <v>7246169.6500000004</v>
      </c>
      <c r="AF236" s="2">
        <v>0</v>
      </c>
      <c r="AG236" s="2">
        <f t="shared" si="313"/>
        <v>7246169.6500000004</v>
      </c>
      <c r="AH236" s="29" t="s">
        <v>586</v>
      </c>
      <c r="AI236" s="30" t="s">
        <v>1078</v>
      </c>
      <c r="AJ236" s="31">
        <f>318314.17+157541.59+137631.79+46368.47</f>
        <v>659856.02</v>
      </c>
      <c r="AK236" s="52">
        <v>0</v>
      </c>
    </row>
    <row r="237" spans="1:37" ht="330.75" x14ac:dyDescent="0.25">
      <c r="A237" s="348" t="s">
        <v>1826</v>
      </c>
      <c r="B237" s="20">
        <v>119991</v>
      </c>
      <c r="C237" s="16">
        <v>48</v>
      </c>
      <c r="D237" s="3" t="s">
        <v>171</v>
      </c>
      <c r="E237" s="24" t="s">
        <v>165</v>
      </c>
      <c r="F237" s="195" t="s">
        <v>128</v>
      </c>
      <c r="G237" s="23" t="s">
        <v>130</v>
      </c>
      <c r="H237" s="23" t="s">
        <v>129</v>
      </c>
      <c r="I237" s="3" t="s">
        <v>185</v>
      </c>
      <c r="J237" s="51" t="s">
        <v>131</v>
      </c>
      <c r="K237" s="5">
        <v>43004</v>
      </c>
      <c r="L237" s="7">
        <v>43916</v>
      </c>
      <c r="M237" s="4">
        <f t="shared" si="307"/>
        <v>83.9838628091575</v>
      </c>
      <c r="N237" s="3" t="s">
        <v>155</v>
      </c>
      <c r="O237" s="3" t="s">
        <v>156</v>
      </c>
      <c r="P237" s="3" t="s">
        <v>156</v>
      </c>
      <c r="Q237" s="44" t="s">
        <v>157</v>
      </c>
      <c r="R237" s="3" t="s">
        <v>36</v>
      </c>
      <c r="S237" s="2">
        <f t="shared" si="309"/>
        <v>12597407.540000001</v>
      </c>
      <c r="T237" s="2">
        <v>10158711.630000001</v>
      </c>
      <c r="U237" s="2">
        <v>2438695.91</v>
      </c>
      <c r="V237" s="2">
        <f t="shared" si="308"/>
        <v>0</v>
      </c>
      <c r="W237" s="2">
        <v>0</v>
      </c>
      <c r="X237" s="2">
        <v>0</v>
      </c>
      <c r="Y237" s="2">
        <f t="shared" si="310"/>
        <v>2402387.7999999998</v>
      </c>
      <c r="Z237" s="2">
        <v>1792713.82</v>
      </c>
      <c r="AA237" s="2">
        <v>609673.98</v>
      </c>
      <c r="AB237" s="2">
        <f t="shared" si="311"/>
        <v>0</v>
      </c>
      <c r="AC237" s="2"/>
      <c r="AD237" s="2"/>
      <c r="AE237" s="2">
        <f t="shared" si="312"/>
        <v>14999795.34</v>
      </c>
      <c r="AF237" s="2">
        <v>2999990</v>
      </c>
      <c r="AG237" s="2">
        <f t="shared" si="313"/>
        <v>17999785.34</v>
      </c>
      <c r="AH237" s="29" t="s">
        <v>586</v>
      </c>
      <c r="AI237" s="196" t="s">
        <v>185</v>
      </c>
      <c r="AJ237" s="31">
        <v>0</v>
      </c>
      <c r="AK237" s="199">
        <v>0</v>
      </c>
    </row>
    <row r="238" spans="1:37" s="200" customFormat="1" ht="409.5" x14ac:dyDescent="0.25">
      <c r="A238" s="348" t="s">
        <v>1827</v>
      </c>
      <c r="B238" s="20">
        <v>119992</v>
      </c>
      <c r="C238" s="16">
        <v>49</v>
      </c>
      <c r="D238" s="3" t="s">
        <v>171</v>
      </c>
      <c r="E238" s="24" t="s">
        <v>165</v>
      </c>
      <c r="F238" s="195" t="s">
        <v>128</v>
      </c>
      <c r="G238" s="23" t="s">
        <v>132</v>
      </c>
      <c r="H238" s="23" t="s">
        <v>129</v>
      </c>
      <c r="I238" s="3" t="s">
        <v>185</v>
      </c>
      <c r="J238" s="51" t="s">
        <v>133</v>
      </c>
      <c r="K238" s="5">
        <v>43004</v>
      </c>
      <c r="L238" s="7">
        <v>43916</v>
      </c>
      <c r="M238" s="4">
        <f t="shared" si="307"/>
        <v>83.98386278575461</v>
      </c>
      <c r="N238" s="3" t="s">
        <v>155</v>
      </c>
      <c r="O238" s="3" t="s">
        <v>156</v>
      </c>
      <c r="P238" s="3" t="s">
        <v>156</v>
      </c>
      <c r="Q238" s="44" t="s">
        <v>157</v>
      </c>
      <c r="R238" s="3" t="s">
        <v>36</v>
      </c>
      <c r="S238" s="2">
        <f t="shared" si="309"/>
        <v>11755282.280000001</v>
      </c>
      <c r="T238" s="2">
        <v>9479610.9800000004</v>
      </c>
      <c r="U238" s="2">
        <v>2275671.2999999998</v>
      </c>
      <c r="V238" s="2">
        <f t="shared" si="308"/>
        <v>0</v>
      </c>
      <c r="W238" s="2">
        <v>0</v>
      </c>
      <c r="X238" s="2">
        <v>0</v>
      </c>
      <c r="Y238" s="2">
        <f t="shared" si="310"/>
        <v>2241790.36</v>
      </c>
      <c r="Z238" s="2">
        <v>1672872.53</v>
      </c>
      <c r="AA238" s="2">
        <v>568917.82999999996</v>
      </c>
      <c r="AB238" s="2">
        <f t="shared" si="311"/>
        <v>0</v>
      </c>
      <c r="AC238" s="2"/>
      <c r="AD238" s="2"/>
      <c r="AE238" s="2">
        <f t="shared" si="312"/>
        <v>13997072.640000001</v>
      </c>
      <c r="AF238" s="2">
        <v>0</v>
      </c>
      <c r="AG238" s="2">
        <f t="shared" si="313"/>
        <v>13997072.640000001</v>
      </c>
      <c r="AH238" s="29" t="s">
        <v>586</v>
      </c>
      <c r="AI238" s="196" t="s">
        <v>185</v>
      </c>
      <c r="AJ238" s="31">
        <v>0</v>
      </c>
      <c r="AK238" s="199">
        <v>0</v>
      </c>
    </row>
    <row r="239" spans="1:37" s="200" customFormat="1" ht="283.5" x14ac:dyDescent="0.25">
      <c r="A239" s="348" t="s">
        <v>1828</v>
      </c>
      <c r="B239" s="20">
        <v>119731</v>
      </c>
      <c r="C239" s="16">
        <v>51</v>
      </c>
      <c r="D239" s="3" t="s">
        <v>173</v>
      </c>
      <c r="E239" s="24" t="s">
        <v>165</v>
      </c>
      <c r="F239" s="195" t="s">
        <v>128</v>
      </c>
      <c r="G239" s="23" t="s">
        <v>134</v>
      </c>
      <c r="H239" s="23" t="s">
        <v>64</v>
      </c>
      <c r="I239" s="3" t="s">
        <v>185</v>
      </c>
      <c r="J239" s="51" t="s">
        <v>135</v>
      </c>
      <c r="K239" s="5">
        <v>42956</v>
      </c>
      <c r="L239" s="7">
        <v>43870</v>
      </c>
      <c r="M239" s="4">
        <f t="shared" si="307"/>
        <v>83.983862780427785</v>
      </c>
      <c r="N239" s="3" t="s">
        <v>155</v>
      </c>
      <c r="O239" s="3" t="s">
        <v>156</v>
      </c>
      <c r="P239" s="3" t="s">
        <v>156</v>
      </c>
      <c r="Q239" s="44" t="s">
        <v>157</v>
      </c>
      <c r="R239" s="3" t="s">
        <v>36</v>
      </c>
      <c r="S239" s="2">
        <f t="shared" si="309"/>
        <v>10449475.91</v>
      </c>
      <c r="T239" s="2">
        <v>8426591.9100000001</v>
      </c>
      <c r="U239" s="2">
        <v>2022884</v>
      </c>
      <c r="V239" s="2">
        <f t="shared" si="308"/>
        <v>0</v>
      </c>
      <c r="W239" s="2">
        <v>0</v>
      </c>
      <c r="X239" s="2">
        <v>0</v>
      </c>
      <c r="Y239" s="2">
        <f t="shared" si="310"/>
        <v>1992766.64</v>
      </c>
      <c r="Z239" s="2">
        <v>1487045.64</v>
      </c>
      <c r="AA239" s="2">
        <v>505721</v>
      </c>
      <c r="AB239" s="2">
        <f t="shared" si="311"/>
        <v>0</v>
      </c>
      <c r="AC239" s="2"/>
      <c r="AD239" s="2"/>
      <c r="AE239" s="2">
        <f t="shared" si="312"/>
        <v>12442242.550000001</v>
      </c>
      <c r="AF239" s="2">
        <v>0</v>
      </c>
      <c r="AG239" s="2">
        <f t="shared" si="313"/>
        <v>12442242.550000001</v>
      </c>
      <c r="AH239" s="29" t="s">
        <v>586</v>
      </c>
      <c r="AI239" s="196" t="s">
        <v>185</v>
      </c>
      <c r="AJ239" s="31">
        <f>69562.99+104629.25+99957.75+221484.48</f>
        <v>495634.47</v>
      </c>
      <c r="AK239" s="199">
        <v>0</v>
      </c>
    </row>
    <row r="240" spans="1:37" s="200" customFormat="1" ht="267.75" x14ac:dyDescent="0.25">
      <c r="A240" s="348" t="s">
        <v>1829</v>
      </c>
      <c r="B240" s="20">
        <v>120194</v>
      </c>
      <c r="C240" s="16">
        <v>52</v>
      </c>
      <c r="D240" s="3" t="s">
        <v>170</v>
      </c>
      <c r="E240" s="24" t="s">
        <v>165</v>
      </c>
      <c r="F240" s="195" t="s">
        <v>128</v>
      </c>
      <c r="G240" s="23" t="s">
        <v>137</v>
      </c>
      <c r="H240" s="23" t="s">
        <v>136</v>
      </c>
      <c r="I240" s="3" t="s">
        <v>185</v>
      </c>
      <c r="J240" s="51" t="s">
        <v>138</v>
      </c>
      <c r="K240" s="5">
        <v>42963</v>
      </c>
      <c r="L240" s="7">
        <v>43877</v>
      </c>
      <c r="M240" s="4">
        <f t="shared" si="307"/>
        <v>83.983862831024851</v>
      </c>
      <c r="N240" s="3" t="s">
        <v>155</v>
      </c>
      <c r="O240" s="3" t="s">
        <v>156</v>
      </c>
      <c r="P240" s="3" t="s">
        <v>156</v>
      </c>
      <c r="Q240" s="44" t="s">
        <v>157</v>
      </c>
      <c r="R240" s="3" t="s">
        <v>36</v>
      </c>
      <c r="S240" s="2">
        <f t="shared" si="309"/>
        <v>12243037.969999999</v>
      </c>
      <c r="T240" s="2">
        <v>9872943.4499999993</v>
      </c>
      <c r="U240" s="2">
        <v>2370094.52</v>
      </c>
      <c r="V240" s="2">
        <f t="shared" si="308"/>
        <v>0</v>
      </c>
      <c r="W240" s="2">
        <v>0</v>
      </c>
      <c r="X240" s="2">
        <v>0</v>
      </c>
      <c r="Y240" s="2">
        <f t="shared" si="310"/>
        <v>2334807.77</v>
      </c>
      <c r="Z240" s="2">
        <v>1742284.14</v>
      </c>
      <c r="AA240" s="2">
        <v>592523.63</v>
      </c>
      <c r="AB240" s="2">
        <f t="shared" si="311"/>
        <v>0</v>
      </c>
      <c r="AC240" s="2"/>
      <c r="AD240" s="2"/>
      <c r="AE240" s="2">
        <f t="shared" si="312"/>
        <v>14577845.739999998</v>
      </c>
      <c r="AF240" s="2">
        <v>0</v>
      </c>
      <c r="AG240" s="2">
        <f t="shared" si="313"/>
        <v>14577845.739999998</v>
      </c>
      <c r="AH240" s="29" t="s">
        <v>586</v>
      </c>
      <c r="AI240" s="196" t="s">
        <v>185</v>
      </c>
      <c r="AJ240" s="31">
        <f>18637.33+286940.34+81387.29+339087.35</f>
        <v>726052.31</v>
      </c>
      <c r="AK240" s="199">
        <v>0</v>
      </c>
    </row>
    <row r="241" spans="1:37" s="200" customFormat="1" ht="409.5" x14ac:dyDescent="0.25">
      <c r="A241" s="348" t="s">
        <v>1830</v>
      </c>
      <c r="B241" s="20">
        <v>119983</v>
      </c>
      <c r="C241" s="16">
        <v>58</v>
      </c>
      <c r="D241" s="3" t="s">
        <v>172</v>
      </c>
      <c r="E241" s="24" t="s">
        <v>165</v>
      </c>
      <c r="F241" s="195" t="s">
        <v>128</v>
      </c>
      <c r="G241" s="23" t="s">
        <v>139</v>
      </c>
      <c r="H241" s="23" t="s">
        <v>75</v>
      </c>
      <c r="I241" s="3" t="s">
        <v>194</v>
      </c>
      <c r="J241" s="51" t="s">
        <v>140</v>
      </c>
      <c r="K241" s="5">
        <v>42963</v>
      </c>
      <c r="L241" s="7">
        <v>43693</v>
      </c>
      <c r="M241" s="4">
        <f t="shared" si="307"/>
        <v>83.983862872994763</v>
      </c>
      <c r="N241" s="3" t="s">
        <v>155</v>
      </c>
      <c r="O241" s="3" t="s">
        <v>156</v>
      </c>
      <c r="P241" s="3" t="s">
        <v>156</v>
      </c>
      <c r="Q241" s="44" t="s">
        <v>157</v>
      </c>
      <c r="R241" s="3" t="s">
        <v>36</v>
      </c>
      <c r="S241" s="2">
        <f t="shared" si="309"/>
        <v>8062160.4699999997</v>
      </c>
      <c r="T241" s="2">
        <v>6501430</v>
      </c>
      <c r="U241" s="2">
        <v>1560730.47</v>
      </c>
      <c r="V241" s="2">
        <f t="shared" si="308"/>
        <v>0</v>
      </c>
      <c r="W241" s="2">
        <v>0</v>
      </c>
      <c r="X241" s="2">
        <v>0</v>
      </c>
      <c r="Y241" s="2">
        <f t="shared" si="310"/>
        <v>1537493.79</v>
      </c>
      <c r="Z241" s="2">
        <v>1147311.17</v>
      </c>
      <c r="AA241" s="2">
        <v>390182.62</v>
      </c>
      <c r="AB241" s="2">
        <f t="shared" si="311"/>
        <v>0</v>
      </c>
      <c r="AC241" s="2"/>
      <c r="AD241" s="2"/>
      <c r="AE241" s="2">
        <f t="shared" si="312"/>
        <v>9599654.2599999998</v>
      </c>
      <c r="AF241" s="2">
        <v>655333</v>
      </c>
      <c r="AG241" s="2">
        <f t="shared" si="313"/>
        <v>10254987.26</v>
      </c>
      <c r="AH241" s="29" t="s">
        <v>586</v>
      </c>
      <c r="AI241" s="196" t="s">
        <v>185</v>
      </c>
      <c r="AJ241" s="31">
        <f>27068+159937+61959.1+719797.57+221414.47</f>
        <v>1190176.1399999999</v>
      </c>
      <c r="AK241" s="199">
        <v>0</v>
      </c>
    </row>
    <row r="242" spans="1:37" ht="236.25" x14ac:dyDescent="0.25">
      <c r="A242" s="348" t="s">
        <v>1831</v>
      </c>
      <c r="B242" s="20">
        <v>119622</v>
      </c>
      <c r="C242" s="16">
        <v>45</v>
      </c>
      <c r="D242" s="3" t="s">
        <v>173</v>
      </c>
      <c r="E242" s="24" t="s">
        <v>166</v>
      </c>
      <c r="F242" s="195" t="s">
        <v>182</v>
      </c>
      <c r="G242" s="23" t="s">
        <v>122</v>
      </c>
      <c r="H242" s="23" t="s">
        <v>121</v>
      </c>
      <c r="I242" s="3" t="s">
        <v>185</v>
      </c>
      <c r="J242" s="51" t="s">
        <v>123</v>
      </c>
      <c r="K242" s="5">
        <v>42793</v>
      </c>
      <c r="L242" s="7">
        <v>43948</v>
      </c>
      <c r="M242" s="4">
        <f t="shared" si="307"/>
        <v>83.983862835522956</v>
      </c>
      <c r="N242" s="3" t="s">
        <v>155</v>
      </c>
      <c r="O242" s="3" t="s">
        <v>156</v>
      </c>
      <c r="P242" s="3" t="s">
        <v>156</v>
      </c>
      <c r="Q242" s="44" t="s">
        <v>157</v>
      </c>
      <c r="R242" s="3" t="s">
        <v>36</v>
      </c>
      <c r="S242" s="2">
        <f t="shared" si="309"/>
        <v>37233996.450000003</v>
      </c>
      <c r="T242" s="2">
        <v>30025974.120000001</v>
      </c>
      <c r="U242" s="2">
        <v>7208022.3300000001</v>
      </c>
      <c r="V242" s="2">
        <f t="shared" si="308"/>
        <v>0</v>
      </c>
      <c r="W242" s="2">
        <v>0</v>
      </c>
      <c r="X242" s="2">
        <v>0</v>
      </c>
      <c r="Y242" s="2">
        <f t="shared" si="310"/>
        <v>7100706.9000000004</v>
      </c>
      <c r="Z242" s="2">
        <v>5298701.32</v>
      </c>
      <c r="AA242" s="2">
        <v>1802005.58</v>
      </c>
      <c r="AB242" s="2">
        <f t="shared" si="311"/>
        <v>0</v>
      </c>
      <c r="AC242" s="2"/>
      <c r="AD242" s="2"/>
      <c r="AE242" s="2">
        <f t="shared" si="312"/>
        <v>44334703.350000001</v>
      </c>
      <c r="AF242" s="2">
        <v>427346.26</v>
      </c>
      <c r="AG242" s="2">
        <f t="shared" si="313"/>
        <v>44762049.609999999</v>
      </c>
      <c r="AH242" s="29" t="s">
        <v>586</v>
      </c>
      <c r="AI242" s="201" t="s">
        <v>1555</v>
      </c>
      <c r="AJ242" s="31">
        <f>4923177.41+2008542+5450879.77+3758413.79+2325826.28</f>
        <v>18466839.25</v>
      </c>
      <c r="AK242" s="199">
        <v>0</v>
      </c>
    </row>
    <row r="243" spans="1:37" ht="141.75" x14ac:dyDescent="0.25">
      <c r="A243" s="348" t="s">
        <v>1832</v>
      </c>
      <c r="B243" s="20">
        <v>119689</v>
      </c>
      <c r="C243" s="16">
        <v>53</v>
      </c>
      <c r="D243" s="3" t="s">
        <v>173</v>
      </c>
      <c r="E243" s="24" t="s">
        <v>169</v>
      </c>
      <c r="F243" s="195" t="s">
        <v>142</v>
      </c>
      <c r="G243" s="23" t="s">
        <v>112</v>
      </c>
      <c r="H243" s="23" t="s">
        <v>111</v>
      </c>
      <c r="I243" s="3" t="s">
        <v>185</v>
      </c>
      <c r="J243" s="51" t="s">
        <v>113</v>
      </c>
      <c r="K243" s="5">
        <v>42943</v>
      </c>
      <c r="L243" s="7">
        <v>44039</v>
      </c>
      <c r="M243" s="4">
        <f t="shared" si="307"/>
        <v>83.983862843305559</v>
      </c>
      <c r="N243" s="3" t="s">
        <v>155</v>
      </c>
      <c r="O243" s="3" t="s">
        <v>156</v>
      </c>
      <c r="P243" s="3" t="s">
        <v>156</v>
      </c>
      <c r="Q243" s="44" t="s">
        <v>157</v>
      </c>
      <c r="R243" s="3" t="s">
        <v>36</v>
      </c>
      <c r="S243" s="2">
        <f t="shared" si="309"/>
        <v>46010993.850000001</v>
      </c>
      <c r="T243" s="2">
        <v>37103857.82</v>
      </c>
      <c r="U243" s="2">
        <v>8907136.0299999993</v>
      </c>
      <c r="V243" s="2">
        <f t="shared" si="308"/>
        <v>0</v>
      </c>
      <c r="W243" s="2">
        <v>0</v>
      </c>
      <c r="X243" s="2">
        <v>0</v>
      </c>
      <c r="Y243" s="2">
        <f t="shared" si="310"/>
        <v>8774523.620000001</v>
      </c>
      <c r="Z243" s="2">
        <v>6547739.6100000003</v>
      </c>
      <c r="AA243" s="2">
        <v>2226784.0099999998</v>
      </c>
      <c r="AB243" s="2">
        <f t="shared" si="311"/>
        <v>0</v>
      </c>
      <c r="AC243" s="2"/>
      <c r="AD243" s="2"/>
      <c r="AE243" s="2">
        <f t="shared" si="312"/>
        <v>54785517.469999999</v>
      </c>
      <c r="AF243" s="2">
        <v>0</v>
      </c>
      <c r="AG243" s="2">
        <f t="shared" si="313"/>
        <v>54785517.469999999</v>
      </c>
      <c r="AH243" s="29" t="s">
        <v>586</v>
      </c>
      <c r="AI243" s="30" t="s">
        <v>185</v>
      </c>
      <c r="AJ243" s="31">
        <f>159716.44+74879.59+127159.41+24852.51+91132.97</f>
        <v>477740.92000000004</v>
      </c>
      <c r="AK243" s="52">
        <v>0</v>
      </c>
    </row>
    <row r="244" spans="1:37" ht="252" x14ac:dyDescent="0.25">
      <c r="A244" s="348" t="s">
        <v>1833</v>
      </c>
      <c r="B244" s="20">
        <v>119240</v>
      </c>
      <c r="C244" s="16">
        <v>54</v>
      </c>
      <c r="D244" s="3" t="s">
        <v>173</v>
      </c>
      <c r="E244" s="24" t="s">
        <v>169</v>
      </c>
      <c r="F244" s="195" t="s">
        <v>142</v>
      </c>
      <c r="G244" s="23" t="s">
        <v>114</v>
      </c>
      <c r="H244" s="23" t="s">
        <v>111</v>
      </c>
      <c r="I244" s="3" t="s">
        <v>185</v>
      </c>
      <c r="J244" s="51" t="s">
        <v>115</v>
      </c>
      <c r="K244" s="5">
        <v>42943</v>
      </c>
      <c r="L244" s="7">
        <v>44039</v>
      </c>
      <c r="M244" s="4">
        <f t="shared" si="307"/>
        <v>83.983862856059488</v>
      </c>
      <c r="N244" s="3" t="s">
        <v>155</v>
      </c>
      <c r="O244" s="3" t="s">
        <v>156</v>
      </c>
      <c r="P244" s="3" t="s">
        <v>156</v>
      </c>
      <c r="Q244" s="44" t="s">
        <v>157</v>
      </c>
      <c r="R244" s="3" t="s">
        <v>36</v>
      </c>
      <c r="S244" s="2">
        <f t="shared" si="309"/>
        <v>11805482.93</v>
      </c>
      <c r="T244" s="2">
        <v>9520093.4299999997</v>
      </c>
      <c r="U244" s="2">
        <v>2285389.5</v>
      </c>
      <c r="V244" s="2">
        <f t="shared" si="308"/>
        <v>0</v>
      </c>
      <c r="W244" s="2">
        <v>0</v>
      </c>
      <c r="X244" s="2">
        <v>0</v>
      </c>
      <c r="Y244" s="2">
        <f t="shared" si="310"/>
        <v>2251363.86</v>
      </c>
      <c r="Z244" s="2">
        <v>1680016.49</v>
      </c>
      <c r="AA244" s="2">
        <v>571347.37</v>
      </c>
      <c r="AB244" s="2">
        <f t="shared" si="311"/>
        <v>0</v>
      </c>
      <c r="AC244" s="2"/>
      <c r="AD244" s="2"/>
      <c r="AE244" s="2">
        <f t="shared" si="312"/>
        <v>14056846.789999999</v>
      </c>
      <c r="AF244" s="2">
        <v>216877.5</v>
      </c>
      <c r="AG244" s="2">
        <f t="shared" si="313"/>
        <v>14273724.289999999</v>
      </c>
      <c r="AH244" s="29" t="s">
        <v>586</v>
      </c>
      <c r="AI244" s="30" t="s">
        <v>185</v>
      </c>
      <c r="AJ244" s="31">
        <f>122452.96+57358.87+100383.61+47533.82+68603.68</f>
        <v>396332.94</v>
      </c>
      <c r="AK244" s="52">
        <v>0</v>
      </c>
    </row>
    <row r="245" spans="1:37" ht="330.75" x14ac:dyDescent="0.25">
      <c r="A245" s="348" t="s">
        <v>1834</v>
      </c>
      <c r="B245" s="20">
        <v>120068</v>
      </c>
      <c r="C245" s="16">
        <v>55</v>
      </c>
      <c r="D245" s="3" t="s">
        <v>170</v>
      </c>
      <c r="E245" s="24" t="s">
        <v>169</v>
      </c>
      <c r="F245" s="195" t="s">
        <v>142</v>
      </c>
      <c r="G245" s="23" t="s">
        <v>117</v>
      </c>
      <c r="H245" s="23" t="s">
        <v>116</v>
      </c>
      <c r="I245" s="202" t="s">
        <v>192</v>
      </c>
      <c r="J245" s="51" t="s">
        <v>118</v>
      </c>
      <c r="K245" s="5">
        <v>43060</v>
      </c>
      <c r="L245" s="7">
        <v>43820</v>
      </c>
      <c r="M245" s="4">
        <f t="shared" si="307"/>
        <v>83.983862867470734</v>
      </c>
      <c r="N245" s="3" t="s">
        <v>155</v>
      </c>
      <c r="O245" s="3" t="s">
        <v>156</v>
      </c>
      <c r="P245" s="3" t="s">
        <v>156</v>
      </c>
      <c r="Q245" s="3" t="s">
        <v>157</v>
      </c>
      <c r="R245" s="3" t="s">
        <v>36</v>
      </c>
      <c r="S245" s="2">
        <f t="shared" si="309"/>
        <v>8678209.1799999997</v>
      </c>
      <c r="T245" s="2">
        <v>6998219.6100000003</v>
      </c>
      <c r="U245" s="2">
        <v>1679989.57</v>
      </c>
      <c r="V245" s="2">
        <f t="shared" si="308"/>
        <v>0</v>
      </c>
      <c r="W245" s="2">
        <v>0</v>
      </c>
      <c r="X245" s="2">
        <v>0</v>
      </c>
      <c r="Y245" s="2">
        <f t="shared" si="310"/>
        <v>1654977.3199999998</v>
      </c>
      <c r="Z245" s="2">
        <v>1234979.93</v>
      </c>
      <c r="AA245" s="2">
        <v>419997.39</v>
      </c>
      <c r="AB245" s="2">
        <f t="shared" si="311"/>
        <v>0</v>
      </c>
      <c r="AC245" s="2">
        <v>0</v>
      </c>
      <c r="AD245" s="2">
        <v>0</v>
      </c>
      <c r="AE245" s="2">
        <f t="shared" si="312"/>
        <v>10333186.5</v>
      </c>
      <c r="AF245" s="2">
        <v>0</v>
      </c>
      <c r="AG245" s="2">
        <f t="shared" si="313"/>
        <v>10333186.5</v>
      </c>
      <c r="AH245" s="29" t="s">
        <v>586</v>
      </c>
      <c r="AI245" s="30" t="s">
        <v>1210</v>
      </c>
      <c r="AJ245" s="31">
        <f>41796.8+106506.65</f>
        <v>148303.45000000001</v>
      </c>
      <c r="AK245" s="52">
        <v>0</v>
      </c>
    </row>
    <row r="246" spans="1:37" ht="141.75" x14ac:dyDescent="0.25">
      <c r="A246" s="348" t="s">
        <v>1835</v>
      </c>
      <c r="B246" s="20">
        <v>120082</v>
      </c>
      <c r="C246" s="16">
        <v>56</v>
      </c>
      <c r="D246" s="3" t="s">
        <v>168</v>
      </c>
      <c r="E246" s="24" t="s">
        <v>169</v>
      </c>
      <c r="F246" s="195" t="s">
        <v>142</v>
      </c>
      <c r="G246" s="23" t="s">
        <v>143</v>
      </c>
      <c r="H246" s="23" t="s">
        <v>141</v>
      </c>
      <c r="I246" s="3" t="s">
        <v>204</v>
      </c>
      <c r="J246" s="51" t="s">
        <v>144</v>
      </c>
      <c r="K246" s="5">
        <v>43006</v>
      </c>
      <c r="L246" s="7">
        <v>44102</v>
      </c>
      <c r="M246" s="4">
        <f t="shared" si="307"/>
        <v>83.98386279749451</v>
      </c>
      <c r="N246" s="3" t="s">
        <v>155</v>
      </c>
      <c r="O246" s="3" t="s">
        <v>156</v>
      </c>
      <c r="P246" s="3" t="s">
        <v>156</v>
      </c>
      <c r="Q246" s="44" t="s">
        <v>157</v>
      </c>
      <c r="R246" s="3" t="s">
        <v>36</v>
      </c>
      <c r="S246" s="2">
        <f t="shared" si="309"/>
        <v>5145385.2700000005</v>
      </c>
      <c r="T246" s="2">
        <v>4149304.93</v>
      </c>
      <c r="U246" s="2">
        <v>996080.34</v>
      </c>
      <c r="V246" s="2">
        <f t="shared" si="308"/>
        <v>0</v>
      </c>
      <c r="W246" s="2">
        <v>0</v>
      </c>
      <c r="X246" s="2">
        <v>0</v>
      </c>
      <c r="Y246" s="2">
        <f t="shared" si="310"/>
        <v>981250.37</v>
      </c>
      <c r="Z246" s="2">
        <v>732230.28</v>
      </c>
      <c r="AA246" s="2">
        <v>249020.09</v>
      </c>
      <c r="AB246" s="2">
        <f t="shared" si="311"/>
        <v>0</v>
      </c>
      <c r="AC246" s="2"/>
      <c r="AD246" s="2"/>
      <c r="AE246" s="2">
        <f t="shared" si="312"/>
        <v>6126635.6400000006</v>
      </c>
      <c r="AF246" s="2">
        <v>0</v>
      </c>
      <c r="AG246" s="2">
        <f t="shared" si="313"/>
        <v>6126635.6400000006</v>
      </c>
      <c r="AH246" s="29" t="s">
        <v>586</v>
      </c>
      <c r="AI246" s="196" t="s">
        <v>185</v>
      </c>
      <c r="AJ246" s="31">
        <f>15818.36+6578.46+48495.02</f>
        <v>70891.839999999997</v>
      </c>
      <c r="AK246" s="52">
        <v>0</v>
      </c>
    </row>
    <row r="247" spans="1:37" ht="141.75" x14ac:dyDescent="0.25">
      <c r="A247" s="348" t="s">
        <v>1836</v>
      </c>
      <c r="B247" s="20">
        <v>120126</v>
      </c>
      <c r="C247" s="16">
        <v>57</v>
      </c>
      <c r="D247" s="3" t="s">
        <v>168</v>
      </c>
      <c r="E247" s="24" t="s">
        <v>169</v>
      </c>
      <c r="F247" s="195" t="s">
        <v>142</v>
      </c>
      <c r="G247" s="23" t="s">
        <v>119</v>
      </c>
      <c r="H247" s="23" t="s">
        <v>116</v>
      </c>
      <c r="I247" s="3" t="s">
        <v>185</v>
      </c>
      <c r="J247" s="51" t="s">
        <v>120</v>
      </c>
      <c r="K247" s="5">
        <v>43060</v>
      </c>
      <c r="L247" s="7">
        <v>44094</v>
      </c>
      <c r="M247" s="4">
        <f t="shared" si="307"/>
        <v>83.98386273060467</v>
      </c>
      <c r="N247" s="3" t="s">
        <v>155</v>
      </c>
      <c r="O247" s="3" t="s">
        <v>156</v>
      </c>
      <c r="P247" s="3" t="s">
        <v>156</v>
      </c>
      <c r="Q247" s="44" t="s">
        <v>157</v>
      </c>
      <c r="R247" s="3" t="s">
        <v>36</v>
      </c>
      <c r="S247" s="2">
        <f t="shared" si="309"/>
        <v>2709276.16</v>
      </c>
      <c r="T247" s="2">
        <v>2184795.1800000002</v>
      </c>
      <c r="U247" s="2">
        <v>524480.98</v>
      </c>
      <c r="V247" s="2">
        <f t="shared" si="308"/>
        <v>0</v>
      </c>
      <c r="W247" s="2">
        <v>0</v>
      </c>
      <c r="X247" s="2">
        <v>0</v>
      </c>
      <c r="Y247" s="2">
        <f t="shared" si="310"/>
        <v>516672.34</v>
      </c>
      <c r="Z247" s="2">
        <v>385552.09</v>
      </c>
      <c r="AA247" s="2">
        <v>131120.25</v>
      </c>
      <c r="AB247" s="2">
        <f t="shared" si="311"/>
        <v>0</v>
      </c>
      <c r="AC247" s="2"/>
      <c r="AD247" s="2"/>
      <c r="AE247" s="2">
        <f t="shared" si="312"/>
        <v>3225948.5</v>
      </c>
      <c r="AF247" s="2">
        <v>0</v>
      </c>
      <c r="AG247" s="2">
        <f t="shared" si="313"/>
        <v>3225948.5</v>
      </c>
      <c r="AH247" s="29" t="s">
        <v>586</v>
      </c>
      <c r="AI247" s="203" t="s">
        <v>1386</v>
      </c>
      <c r="AJ247" s="31">
        <f>38081.64+10353.53+14871.03</f>
        <v>63306.2</v>
      </c>
      <c r="AK247" s="52">
        <v>0</v>
      </c>
    </row>
    <row r="248" spans="1:37" ht="409.5" x14ac:dyDescent="0.25">
      <c r="A248" s="348" t="s">
        <v>1837</v>
      </c>
      <c r="B248" s="20">
        <v>119957</v>
      </c>
      <c r="C248" s="16">
        <v>136</v>
      </c>
      <c r="D248" s="3" t="s">
        <v>170</v>
      </c>
      <c r="E248" s="24" t="s">
        <v>178</v>
      </c>
      <c r="F248" s="195" t="s">
        <v>145</v>
      </c>
      <c r="G248" s="23" t="s">
        <v>146</v>
      </c>
      <c r="H248" s="23" t="s">
        <v>87</v>
      </c>
      <c r="I248" s="3" t="s">
        <v>200</v>
      </c>
      <c r="J248" s="51" t="s">
        <v>147</v>
      </c>
      <c r="K248" s="5">
        <v>43047</v>
      </c>
      <c r="L248" s="7">
        <v>43838</v>
      </c>
      <c r="M248" s="4">
        <f t="shared" si="307"/>
        <v>83.983862631165763</v>
      </c>
      <c r="N248" s="3" t="s">
        <v>155</v>
      </c>
      <c r="O248" s="3" t="s">
        <v>156</v>
      </c>
      <c r="P248" s="3" t="s">
        <v>156</v>
      </c>
      <c r="Q248" s="44" t="s">
        <v>157</v>
      </c>
      <c r="R248" s="3" t="s">
        <v>36</v>
      </c>
      <c r="S248" s="2">
        <f t="shared" si="309"/>
        <v>30804926.460000001</v>
      </c>
      <c r="T248" s="2">
        <v>24841489.309999999</v>
      </c>
      <c r="U248" s="2">
        <v>5963437.1500000004</v>
      </c>
      <c r="V248" s="2">
        <f t="shared" si="308"/>
        <v>0</v>
      </c>
      <c r="W248" s="2">
        <v>0</v>
      </c>
      <c r="X248" s="2">
        <v>0</v>
      </c>
      <c r="Y248" s="2">
        <f t="shared" si="310"/>
        <v>5874651.6099999994</v>
      </c>
      <c r="Z248" s="2">
        <v>4383792.3</v>
      </c>
      <c r="AA248" s="2">
        <v>1490859.31</v>
      </c>
      <c r="AB248" s="2">
        <f t="shared" si="311"/>
        <v>0</v>
      </c>
      <c r="AC248" s="2"/>
      <c r="AD248" s="2"/>
      <c r="AE248" s="2">
        <f t="shared" si="312"/>
        <v>36679578.07</v>
      </c>
      <c r="AF248" s="2">
        <v>0</v>
      </c>
      <c r="AG248" s="2">
        <f t="shared" si="313"/>
        <v>36679578.07</v>
      </c>
      <c r="AH248" s="29" t="s">
        <v>586</v>
      </c>
      <c r="AI248" s="196" t="s">
        <v>1435</v>
      </c>
      <c r="AJ248" s="31">
        <f>279828.68+528409.7+438718.76+190085.92+282362.84+626562.73</f>
        <v>2345968.63</v>
      </c>
      <c r="AK248" s="52">
        <v>0</v>
      </c>
    </row>
    <row r="249" spans="1:37" s="200" customFormat="1" ht="330.75" x14ac:dyDescent="0.25">
      <c r="A249" s="348" t="s">
        <v>1838</v>
      </c>
      <c r="B249" s="20">
        <v>118963</v>
      </c>
      <c r="C249" s="16">
        <v>34</v>
      </c>
      <c r="D249" s="3" t="s">
        <v>173</v>
      </c>
      <c r="E249" s="24" t="s">
        <v>167</v>
      </c>
      <c r="F249" s="195" t="s">
        <v>181</v>
      </c>
      <c r="G249" s="23" t="s">
        <v>105</v>
      </c>
      <c r="H249" s="23" t="s">
        <v>87</v>
      </c>
      <c r="I249" s="3" t="s">
        <v>553</v>
      </c>
      <c r="J249" s="51" t="s">
        <v>106</v>
      </c>
      <c r="K249" s="5">
        <v>42629</v>
      </c>
      <c r="L249" s="7">
        <v>43540</v>
      </c>
      <c r="M249" s="4">
        <f t="shared" si="307"/>
        <v>83.983862803496507</v>
      </c>
      <c r="N249" s="3" t="s">
        <v>155</v>
      </c>
      <c r="O249" s="3" t="s">
        <v>156</v>
      </c>
      <c r="P249" s="3" t="s">
        <v>156</v>
      </c>
      <c r="Q249" s="44" t="s">
        <v>157</v>
      </c>
      <c r="R249" s="3" t="s">
        <v>36</v>
      </c>
      <c r="S249" s="2">
        <f t="shared" si="309"/>
        <v>4117071.25</v>
      </c>
      <c r="T249" s="2">
        <v>3320059.26</v>
      </c>
      <c r="U249" s="2">
        <v>797011.99</v>
      </c>
      <c r="V249" s="2">
        <f t="shared" si="308"/>
        <v>0</v>
      </c>
      <c r="W249" s="2">
        <v>0</v>
      </c>
      <c r="X249" s="2">
        <v>0</v>
      </c>
      <c r="Y249" s="2">
        <f t="shared" si="310"/>
        <v>785145.81</v>
      </c>
      <c r="Z249" s="2">
        <v>585892.81000000006</v>
      </c>
      <c r="AA249" s="2">
        <v>199253</v>
      </c>
      <c r="AB249" s="2">
        <f t="shared" si="311"/>
        <v>0</v>
      </c>
      <c r="AC249" s="2"/>
      <c r="AD249" s="2"/>
      <c r="AE249" s="2">
        <f t="shared" si="312"/>
        <v>4902217.0600000005</v>
      </c>
      <c r="AF249" s="2">
        <v>0</v>
      </c>
      <c r="AG249" s="2">
        <f t="shared" si="313"/>
        <v>4902217.0600000005</v>
      </c>
      <c r="AH249" s="29" t="s">
        <v>1309</v>
      </c>
      <c r="AI249" s="30" t="s">
        <v>187</v>
      </c>
      <c r="AJ249" s="31">
        <f>1460741.83+228438.52+391513.86+234930.38+421082.6+869050.66</f>
        <v>3605757.85</v>
      </c>
      <c r="AK249" s="52">
        <v>0</v>
      </c>
    </row>
    <row r="250" spans="1:37" s="200" customFormat="1" ht="141.75" x14ac:dyDescent="0.25">
      <c r="A250" s="348" t="s">
        <v>1839</v>
      </c>
      <c r="B250" s="20">
        <v>118964</v>
      </c>
      <c r="C250" s="16">
        <v>35</v>
      </c>
      <c r="D250" s="3" t="s">
        <v>170</v>
      </c>
      <c r="E250" s="24" t="s">
        <v>167</v>
      </c>
      <c r="F250" s="195" t="s">
        <v>181</v>
      </c>
      <c r="G250" s="23" t="s">
        <v>107</v>
      </c>
      <c r="H250" s="23" t="s">
        <v>87</v>
      </c>
      <c r="I250" s="3" t="s">
        <v>842</v>
      </c>
      <c r="J250" s="51" t="s">
        <v>108</v>
      </c>
      <c r="K250" s="5">
        <v>42670</v>
      </c>
      <c r="L250" s="7">
        <v>43796</v>
      </c>
      <c r="M250" s="4">
        <f t="shared" si="307"/>
        <v>83.983860041638508</v>
      </c>
      <c r="N250" s="3" t="s">
        <v>155</v>
      </c>
      <c r="O250" s="3" t="s">
        <v>156</v>
      </c>
      <c r="P250" s="3" t="s">
        <v>156</v>
      </c>
      <c r="Q250" s="44" t="s">
        <v>157</v>
      </c>
      <c r="R250" s="3" t="s">
        <v>36</v>
      </c>
      <c r="S250" s="2">
        <f t="shared" si="309"/>
        <v>1279634.26</v>
      </c>
      <c r="T250" s="2">
        <v>1031913.55</v>
      </c>
      <c r="U250" s="2">
        <v>247720.71</v>
      </c>
      <c r="V250" s="2">
        <f t="shared" si="308"/>
        <v>0</v>
      </c>
      <c r="W250" s="2">
        <v>0</v>
      </c>
      <c r="X250" s="2">
        <v>0</v>
      </c>
      <c r="Y250" s="2">
        <f t="shared" si="310"/>
        <v>244032.62</v>
      </c>
      <c r="Z250" s="2">
        <v>182102.42</v>
      </c>
      <c r="AA250" s="2">
        <v>61930.2</v>
      </c>
      <c r="AB250" s="2">
        <f t="shared" si="311"/>
        <v>0</v>
      </c>
      <c r="AC250" s="2"/>
      <c r="AD250" s="2"/>
      <c r="AE250" s="2">
        <f t="shared" si="312"/>
        <v>1523666.88</v>
      </c>
      <c r="AF250" s="2">
        <v>0</v>
      </c>
      <c r="AG250" s="2">
        <f t="shared" si="313"/>
        <v>1523666.88</v>
      </c>
      <c r="AH250" s="29" t="s">
        <v>586</v>
      </c>
      <c r="AI250" s="30" t="s">
        <v>1424</v>
      </c>
      <c r="AJ250" s="31">
        <f>122689.41+119337.51+49801.59</f>
        <v>291828.51</v>
      </c>
      <c r="AK250" s="52">
        <v>0</v>
      </c>
    </row>
    <row r="251" spans="1:37" s="200" customFormat="1" ht="236.25" x14ac:dyDescent="0.25">
      <c r="A251" s="348" t="s">
        <v>1840</v>
      </c>
      <c r="B251" s="20">
        <v>119981</v>
      </c>
      <c r="C251" s="16">
        <v>36</v>
      </c>
      <c r="D251" s="3" t="s">
        <v>1073</v>
      </c>
      <c r="E251" s="24" t="s">
        <v>167</v>
      </c>
      <c r="F251" s="195" t="s">
        <v>181</v>
      </c>
      <c r="G251" s="23" t="s">
        <v>109</v>
      </c>
      <c r="H251" s="23" t="s">
        <v>84</v>
      </c>
      <c r="I251" s="3" t="s">
        <v>185</v>
      </c>
      <c r="J251" s="51" t="s">
        <v>110</v>
      </c>
      <c r="K251" s="5">
        <v>42579</v>
      </c>
      <c r="L251" s="7">
        <v>43462</v>
      </c>
      <c r="M251" s="4">
        <f t="shared" si="307"/>
        <v>83.983863111728837</v>
      </c>
      <c r="N251" s="3" t="s">
        <v>155</v>
      </c>
      <c r="O251" s="3" t="s">
        <v>156</v>
      </c>
      <c r="P251" s="3" t="s">
        <v>156</v>
      </c>
      <c r="Q251" s="44" t="s">
        <v>157</v>
      </c>
      <c r="R251" s="3" t="s">
        <v>36</v>
      </c>
      <c r="S251" s="2">
        <f t="shared" si="309"/>
        <v>1627939.8599999999</v>
      </c>
      <c r="T251" s="2">
        <v>1312791.6599999999</v>
      </c>
      <c r="U251" s="2">
        <v>315148.2</v>
      </c>
      <c r="V251" s="2">
        <f t="shared" si="308"/>
        <v>0</v>
      </c>
      <c r="W251" s="2">
        <v>0</v>
      </c>
      <c r="X251" s="2">
        <v>0</v>
      </c>
      <c r="Y251" s="2">
        <f t="shared" si="310"/>
        <v>310456.15999999997</v>
      </c>
      <c r="Z251" s="2">
        <v>231669.11</v>
      </c>
      <c r="AA251" s="2">
        <v>78787.05</v>
      </c>
      <c r="AB251" s="2">
        <f t="shared" si="311"/>
        <v>0</v>
      </c>
      <c r="AC251" s="2"/>
      <c r="AD251" s="2"/>
      <c r="AE251" s="2">
        <f t="shared" si="312"/>
        <v>1938396.0199999998</v>
      </c>
      <c r="AF251" s="2">
        <v>0</v>
      </c>
      <c r="AG251" s="2">
        <f t="shared" si="313"/>
        <v>1938396.0199999998</v>
      </c>
      <c r="AH251" s="29" t="s">
        <v>1072</v>
      </c>
      <c r="AI251" s="30" t="s">
        <v>188</v>
      </c>
      <c r="AJ251" s="31">
        <f>559604.06+125761.16+33457.13+622518.23+7475.79+33855.21+3996.8</f>
        <v>1386668.3800000001</v>
      </c>
      <c r="AK251" s="52">
        <v>0</v>
      </c>
    </row>
    <row r="252" spans="1:37" s="200" customFormat="1" ht="315" x14ac:dyDescent="0.25">
      <c r="A252" s="348" t="s">
        <v>1841</v>
      </c>
      <c r="B252" s="20">
        <v>120414</v>
      </c>
      <c r="C252" s="16">
        <v>61</v>
      </c>
      <c r="D252" s="3" t="s">
        <v>173</v>
      </c>
      <c r="E252" s="24" t="s">
        <v>167</v>
      </c>
      <c r="F252" s="195" t="s">
        <v>148</v>
      </c>
      <c r="G252" s="23" t="s">
        <v>149</v>
      </c>
      <c r="H252" s="23" t="s">
        <v>329</v>
      </c>
      <c r="I252" s="3" t="s">
        <v>199</v>
      </c>
      <c r="J252" s="51" t="s">
        <v>678</v>
      </c>
      <c r="K252" s="5">
        <v>42893</v>
      </c>
      <c r="L252" s="7">
        <v>43928</v>
      </c>
      <c r="M252" s="4">
        <f t="shared" si="307"/>
        <v>83.395347070002629</v>
      </c>
      <c r="N252" s="3" t="s">
        <v>155</v>
      </c>
      <c r="O252" s="3" t="s">
        <v>156</v>
      </c>
      <c r="P252" s="3" t="s">
        <v>156</v>
      </c>
      <c r="Q252" s="44" t="s">
        <v>157</v>
      </c>
      <c r="R252" s="3" t="s">
        <v>36</v>
      </c>
      <c r="S252" s="2">
        <f t="shared" si="309"/>
        <v>9816719.1999999993</v>
      </c>
      <c r="T252" s="2">
        <v>7916328.7599999998</v>
      </c>
      <c r="U252" s="2">
        <v>1900390.44</v>
      </c>
      <c r="V252" s="2">
        <f t="shared" si="308"/>
        <v>647352.26</v>
      </c>
      <c r="W252" s="2">
        <v>483068.28</v>
      </c>
      <c r="X252" s="2">
        <v>164283.98000000001</v>
      </c>
      <c r="Y252" s="2">
        <f t="shared" si="310"/>
        <v>1307231.79</v>
      </c>
      <c r="Z252" s="2">
        <v>979654.51000000013</v>
      </c>
      <c r="AA252" s="2">
        <v>327577.27999999997</v>
      </c>
      <c r="AB252" s="2">
        <f t="shared" si="311"/>
        <v>0</v>
      </c>
      <c r="AC252" s="2"/>
      <c r="AD252" s="2"/>
      <c r="AE252" s="2">
        <f t="shared" si="312"/>
        <v>11771303.25</v>
      </c>
      <c r="AF252" s="2">
        <v>0</v>
      </c>
      <c r="AG252" s="2">
        <f t="shared" si="313"/>
        <v>11771303.25</v>
      </c>
      <c r="AH252" s="29" t="s">
        <v>586</v>
      </c>
      <c r="AI252" s="30" t="s">
        <v>1286</v>
      </c>
      <c r="AJ252" s="31">
        <v>1693123.23</v>
      </c>
      <c r="AK252" s="31">
        <v>67677.87</v>
      </c>
    </row>
    <row r="253" spans="1:37" ht="173.25" x14ac:dyDescent="0.25">
      <c r="A253" s="348" t="s">
        <v>1842</v>
      </c>
      <c r="B253" s="20">
        <v>119988</v>
      </c>
      <c r="C253" s="16">
        <v>62</v>
      </c>
      <c r="D253" s="3" t="s">
        <v>170</v>
      </c>
      <c r="E253" s="24" t="s">
        <v>167</v>
      </c>
      <c r="F253" s="195" t="s">
        <v>148</v>
      </c>
      <c r="G253" s="23" t="s">
        <v>150</v>
      </c>
      <c r="H253" s="23" t="s">
        <v>116</v>
      </c>
      <c r="I253" s="204" t="s">
        <v>208</v>
      </c>
      <c r="J253" s="51" t="s">
        <v>151</v>
      </c>
      <c r="K253" s="5">
        <v>43060</v>
      </c>
      <c r="L253" s="7">
        <v>43911</v>
      </c>
      <c r="M253" s="4">
        <f t="shared" si="307"/>
        <v>83.983862836233868</v>
      </c>
      <c r="N253" s="3" t="s">
        <v>155</v>
      </c>
      <c r="O253" s="3" t="s">
        <v>156</v>
      </c>
      <c r="P253" s="3" t="s">
        <v>156</v>
      </c>
      <c r="Q253" s="44" t="s">
        <v>157</v>
      </c>
      <c r="R253" s="3" t="s">
        <v>36</v>
      </c>
      <c r="S253" s="2">
        <f t="shared" si="309"/>
        <v>3950537.5</v>
      </c>
      <c r="T253" s="2">
        <v>3185764.3</v>
      </c>
      <c r="U253" s="2">
        <v>764773.2</v>
      </c>
      <c r="V253" s="2">
        <f t="shared" si="308"/>
        <v>0</v>
      </c>
      <c r="W253" s="2">
        <v>0</v>
      </c>
      <c r="X253" s="2">
        <v>0</v>
      </c>
      <c r="Y253" s="2">
        <f t="shared" si="310"/>
        <v>753387</v>
      </c>
      <c r="Z253" s="2">
        <v>562193.69999999995</v>
      </c>
      <c r="AA253" s="2">
        <v>191193.3</v>
      </c>
      <c r="AB253" s="2">
        <f t="shared" si="311"/>
        <v>0</v>
      </c>
      <c r="AC253" s="2"/>
      <c r="AD253" s="2"/>
      <c r="AE253" s="2">
        <f t="shared" si="312"/>
        <v>4703924.5</v>
      </c>
      <c r="AF253" s="2"/>
      <c r="AG253" s="2">
        <f t="shared" si="313"/>
        <v>4703924.5</v>
      </c>
      <c r="AH253" s="29" t="s">
        <v>586</v>
      </c>
      <c r="AI253" s="30" t="s">
        <v>185</v>
      </c>
      <c r="AJ253" s="31">
        <f>143481.84+21902.16+29844.51</f>
        <v>195228.51</v>
      </c>
      <c r="AK253" s="31">
        <v>0</v>
      </c>
    </row>
    <row r="254" spans="1:37" ht="315" x14ac:dyDescent="0.25">
      <c r="A254" s="348" t="s">
        <v>1843</v>
      </c>
      <c r="B254" s="20">
        <v>119741</v>
      </c>
      <c r="C254" s="16">
        <v>63</v>
      </c>
      <c r="D254" s="3" t="s">
        <v>170</v>
      </c>
      <c r="E254" s="24" t="s">
        <v>167</v>
      </c>
      <c r="F254" s="195" t="s">
        <v>148</v>
      </c>
      <c r="G254" s="33" t="s">
        <v>153</v>
      </c>
      <c r="H254" s="23" t="s">
        <v>152</v>
      </c>
      <c r="I254" s="3" t="s">
        <v>185</v>
      </c>
      <c r="J254" s="51" t="s">
        <v>154</v>
      </c>
      <c r="K254" s="5">
        <v>43063</v>
      </c>
      <c r="L254" s="7">
        <v>43793</v>
      </c>
      <c r="M254" s="4">
        <f t="shared" si="307"/>
        <v>83.983862837339956</v>
      </c>
      <c r="N254" s="3" t="s">
        <v>155</v>
      </c>
      <c r="O254" s="3" t="s">
        <v>156</v>
      </c>
      <c r="P254" s="3" t="s">
        <v>156</v>
      </c>
      <c r="Q254" s="44" t="s">
        <v>157</v>
      </c>
      <c r="R254" s="3" t="s">
        <v>36</v>
      </c>
      <c r="S254" s="2">
        <f t="shared" si="309"/>
        <v>2267315.5699999998</v>
      </c>
      <c r="T254" s="2">
        <v>1828392.47</v>
      </c>
      <c r="U254" s="2">
        <v>438923.1</v>
      </c>
      <c r="V254" s="2">
        <f t="shared" si="308"/>
        <v>0</v>
      </c>
      <c r="W254" s="2">
        <v>0</v>
      </c>
      <c r="X254" s="2">
        <v>0</v>
      </c>
      <c r="Y254" s="2">
        <f t="shared" si="310"/>
        <v>432388.27</v>
      </c>
      <c r="Z254" s="2">
        <v>322657.49</v>
      </c>
      <c r="AA254" s="2">
        <v>109730.78</v>
      </c>
      <c r="AB254" s="2">
        <f t="shared" si="311"/>
        <v>0</v>
      </c>
      <c r="AC254" s="2"/>
      <c r="AD254" s="2"/>
      <c r="AE254" s="2">
        <f t="shared" si="312"/>
        <v>2699703.84</v>
      </c>
      <c r="AF254" s="2">
        <v>0</v>
      </c>
      <c r="AG254" s="2">
        <f t="shared" si="313"/>
        <v>2699703.84</v>
      </c>
      <c r="AH254" s="29" t="s">
        <v>586</v>
      </c>
      <c r="AI254" s="196" t="s">
        <v>1246</v>
      </c>
      <c r="AJ254" s="31">
        <f>29668.14+28646.05+103144.15+31797.13</f>
        <v>193255.47</v>
      </c>
      <c r="AK254" s="31">
        <v>0</v>
      </c>
    </row>
    <row r="255" spans="1:37" ht="189" x14ac:dyDescent="0.25">
      <c r="A255" s="348" t="s">
        <v>1844</v>
      </c>
      <c r="B255" s="20">
        <v>122485</v>
      </c>
      <c r="C255" s="16">
        <v>38</v>
      </c>
      <c r="D255" s="3" t="s">
        <v>173</v>
      </c>
      <c r="E255" s="195" t="s">
        <v>162</v>
      </c>
      <c r="F255" s="195" t="s">
        <v>25</v>
      </c>
      <c r="G255" s="33" t="s">
        <v>27</v>
      </c>
      <c r="H255" s="23" t="s">
        <v>328</v>
      </c>
      <c r="I255" s="3" t="s">
        <v>185</v>
      </c>
      <c r="J255" s="51" t="s">
        <v>28</v>
      </c>
      <c r="K255" s="5">
        <v>42488</v>
      </c>
      <c r="L255" s="7">
        <v>45288</v>
      </c>
      <c r="M255" s="4">
        <f t="shared" si="307"/>
        <v>84.695097599999997</v>
      </c>
      <c r="N255" s="3" t="s">
        <v>155</v>
      </c>
      <c r="O255" s="3" t="s">
        <v>156</v>
      </c>
      <c r="P255" s="3" t="s">
        <v>156</v>
      </c>
      <c r="Q255" s="44" t="s">
        <v>157</v>
      </c>
      <c r="R255" s="3" t="s">
        <v>26</v>
      </c>
      <c r="S255" s="2">
        <f t="shared" si="309"/>
        <v>16939019.52</v>
      </c>
      <c r="T255" s="2">
        <v>15963331.810000001</v>
      </c>
      <c r="U255" s="2">
        <v>975687.71</v>
      </c>
      <c r="V255" s="2">
        <f t="shared" si="308"/>
        <v>0</v>
      </c>
      <c r="W255" s="2">
        <v>0</v>
      </c>
      <c r="X255" s="2">
        <v>0</v>
      </c>
      <c r="Y255" s="2">
        <f t="shared" si="310"/>
        <v>3060980.48</v>
      </c>
      <c r="Z255" s="2">
        <v>2817058.55</v>
      </c>
      <c r="AA255" s="2">
        <v>243921.93</v>
      </c>
      <c r="AB255" s="2">
        <f t="shared" si="311"/>
        <v>0</v>
      </c>
      <c r="AC255" s="2"/>
      <c r="AD255" s="2"/>
      <c r="AE255" s="2">
        <f t="shared" si="312"/>
        <v>20000000</v>
      </c>
      <c r="AF255" s="2">
        <v>200000</v>
      </c>
      <c r="AG255" s="2">
        <f t="shared" si="313"/>
        <v>20200000</v>
      </c>
      <c r="AH255" s="29" t="s">
        <v>586</v>
      </c>
      <c r="AI255" s="30" t="s">
        <v>1066</v>
      </c>
      <c r="AJ255" s="205">
        <f>367086.52+3723.41+1413.34+18873.79+125767.27</f>
        <v>516864.33</v>
      </c>
      <c r="AK255" s="206">
        <v>0</v>
      </c>
    </row>
    <row r="256" spans="1:37" ht="110.25" x14ac:dyDescent="0.25">
      <c r="A256" s="348" t="s">
        <v>1845</v>
      </c>
      <c r="B256" s="20">
        <v>122484</v>
      </c>
      <c r="C256" s="16">
        <v>39</v>
      </c>
      <c r="D256" s="3" t="s">
        <v>173</v>
      </c>
      <c r="E256" s="195" t="s">
        <v>161</v>
      </c>
      <c r="F256" s="195" t="s">
        <v>25</v>
      </c>
      <c r="G256" s="33" t="s">
        <v>30</v>
      </c>
      <c r="H256" s="23" t="s">
        <v>328</v>
      </c>
      <c r="I256" s="3" t="s">
        <v>185</v>
      </c>
      <c r="J256" s="51" t="s">
        <v>31</v>
      </c>
      <c r="K256" s="5">
        <v>42488</v>
      </c>
      <c r="L256" s="7">
        <v>45288</v>
      </c>
      <c r="M256" s="4">
        <f t="shared" si="307"/>
        <v>84.695097596566526</v>
      </c>
      <c r="N256" s="3" t="s">
        <v>155</v>
      </c>
      <c r="O256" s="3" t="s">
        <v>156</v>
      </c>
      <c r="P256" s="3" t="s">
        <v>156</v>
      </c>
      <c r="Q256" s="44" t="s">
        <v>157</v>
      </c>
      <c r="R256" s="3" t="s">
        <v>29</v>
      </c>
      <c r="S256" s="2">
        <f t="shared" si="309"/>
        <v>59201873.219999999</v>
      </c>
      <c r="T256" s="2">
        <v>55791844.670000002</v>
      </c>
      <c r="U256" s="2">
        <v>3410028.55</v>
      </c>
      <c r="V256" s="2">
        <f t="shared" si="308"/>
        <v>0</v>
      </c>
      <c r="W256" s="2">
        <v>0</v>
      </c>
      <c r="X256" s="2">
        <v>0</v>
      </c>
      <c r="Y256" s="2">
        <f t="shared" si="310"/>
        <v>10698126.780000001</v>
      </c>
      <c r="Z256" s="2">
        <v>9845619.6400000006</v>
      </c>
      <c r="AA256" s="2">
        <v>852507.14</v>
      </c>
      <c r="AB256" s="2">
        <f t="shared" si="311"/>
        <v>0</v>
      </c>
      <c r="AC256" s="2"/>
      <c r="AD256" s="2"/>
      <c r="AE256" s="2">
        <f t="shared" si="312"/>
        <v>69900000</v>
      </c>
      <c r="AF256" s="2">
        <v>600000</v>
      </c>
      <c r="AG256" s="2">
        <f t="shared" si="313"/>
        <v>70500000</v>
      </c>
      <c r="AH256" s="29" t="s">
        <v>586</v>
      </c>
      <c r="AI256" s="30" t="s">
        <v>1067</v>
      </c>
      <c r="AJ256" s="31">
        <f>1614958.09+116790.02+175736.29+210865.38+813289.51+430129.67</f>
        <v>3361768.96</v>
      </c>
      <c r="AK256" s="52">
        <v>0</v>
      </c>
    </row>
    <row r="257" spans="1:37" ht="94.5" x14ac:dyDescent="0.25">
      <c r="A257" s="348" t="s">
        <v>1846</v>
      </c>
      <c r="B257" s="20">
        <v>112483</v>
      </c>
      <c r="C257" s="16">
        <v>40</v>
      </c>
      <c r="D257" s="3" t="s">
        <v>173</v>
      </c>
      <c r="E257" s="195" t="s">
        <v>161</v>
      </c>
      <c r="F257" s="195" t="s">
        <v>25</v>
      </c>
      <c r="G257" s="33" t="s">
        <v>33</v>
      </c>
      <c r="H257" s="23" t="s">
        <v>328</v>
      </c>
      <c r="I257" s="3" t="s">
        <v>185</v>
      </c>
      <c r="J257" s="51" t="s">
        <v>34</v>
      </c>
      <c r="K257" s="5">
        <v>42488</v>
      </c>
      <c r="L257" s="7">
        <v>44314</v>
      </c>
      <c r="M257" s="4">
        <f t="shared" si="307"/>
        <v>84.695097599999997</v>
      </c>
      <c r="N257" s="3" t="s">
        <v>155</v>
      </c>
      <c r="O257" s="3" t="s">
        <v>156</v>
      </c>
      <c r="P257" s="3" t="s">
        <v>156</v>
      </c>
      <c r="Q257" s="44" t="s">
        <v>157</v>
      </c>
      <c r="R257" s="3" t="s">
        <v>32</v>
      </c>
      <c r="S257" s="2">
        <f t="shared" si="309"/>
        <v>50817058.560000002</v>
      </c>
      <c r="T257" s="2">
        <v>47889995.43</v>
      </c>
      <c r="U257" s="2">
        <v>2927063.13</v>
      </c>
      <c r="V257" s="2">
        <f t="shared" si="308"/>
        <v>0</v>
      </c>
      <c r="W257" s="2">
        <v>0</v>
      </c>
      <c r="X257" s="2">
        <v>0</v>
      </c>
      <c r="Y257" s="2">
        <f t="shared" si="310"/>
        <v>9182941.4399999995</v>
      </c>
      <c r="Z257" s="2">
        <v>8451175.6600000001</v>
      </c>
      <c r="AA257" s="2">
        <v>731765.78</v>
      </c>
      <c r="AB257" s="2">
        <f t="shared" si="311"/>
        <v>0</v>
      </c>
      <c r="AC257" s="2"/>
      <c r="AD257" s="2"/>
      <c r="AE257" s="2">
        <f t="shared" si="312"/>
        <v>60000000</v>
      </c>
      <c r="AF257" s="2">
        <v>1936000</v>
      </c>
      <c r="AG257" s="2">
        <f t="shared" si="313"/>
        <v>61936000</v>
      </c>
      <c r="AH257" s="29" t="s">
        <v>586</v>
      </c>
      <c r="AI257" s="30" t="s">
        <v>211</v>
      </c>
      <c r="AJ257" s="31">
        <f>18028067.88+2522724.79+2940219.11+5150825.51+1054081.31+2107332.6+2141049.72</f>
        <v>33944300.920000002</v>
      </c>
      <c r="AK257" s="52">
        <v>0</v>
      </c>
    </row>
    <row r="258" spans="1:37" ht="409.5" x14ac:dyDescent="0.25">
      <c r="A258" s="348" t="s">
        <v>1847</v>
      </c>
      <c r="B258" s="20">
        <v>109937</v>
      </c>
      <c r="C258" s="16">
        <v>162</v>
      </c>
      <c r="D258" s="3" t="s">
        <v>1073</v>
      </c>
      <c r="E258" s="24" t="s">
        <v>165</v>
      </c>
      <c r="F258" s="22" t="s">
        <v>322</v>
      </c>
      <c r="G258" s="33" t="s">
        <v>520</v>
      </c>
      <c r="H258" s="23" t="s">
        <v>323</v>
      </c>
      <c r="I258" s="3" t="s">
        <v>185</v>
      </c>
      <c r="J258" s="66" t="s">
        <v>521</v>
      </c>
      <c r="K258" s="5">
        <v>43173</v>
      </c>
      <c r="L258" s="7">
        <v>43660</v>
      </c>
      <c r="M258" s="4">
        <f t="shared" si="307"/>
        <v>82.304184778160604</v>
      </c>
      <c r="N258" s="3" t="s">
        <v>324</v>
      </c>
      <c r="O258" s="3" t="s">
        <v>312</v>
      </c>
      <c r="P258" s="3" t="s">
        <v>325</v>
      </c>
      <c r="Q258" s="8" t="s">
        <v>326</v>
      </c>
      <c r="R258" s="3" t="s">
        <v>36</v>
      </c>
      <c r="S258" s="2">
        <f t="shared" si="309"/>
        <v>762655.8600000001</v>
      </c>
      <c r="T258" s="2">
        <v>147617.44</v>
      </c>
      <c r="U258" s="2">
        <v>615038.42000000004</v>
      </c>
      <c r="V258" s="2">
        <f t="shared" si="308"/>
        <v>145442.25</v>
      </c>
      <c r="W258" s="2">
        <v>36906.06</v>
      </c>
      <c r="X258" s="2">
        <v>108536.19</v>
      </c>
      <c r="Y258" s="2">
        <f t="shared" si="310"/>
        <v>0</v>
      </c>
      <c r="Z258" s="2"/>
      <c r="AA258" s="2"/>
      <c r="AB258" s="2">
        <f t="shared" si="311"/>
        <v>18532.61</v>
      </c>
      <c r="AC258" s="2">
        <v>3765.78</v>
      </c>
      <c r="AD258" s="2">
        <v>14766.83</v>
      </c>
      <c r="AE258" s="2">
        <f t="shared" si="312"/>
        <v>926630.72000000009</v>
      </c>
      <c r="AF258" s="2">
        <v>0</v>
      </c>
      <c r="AG258" s="2">
        <f t="shared" si="313"/>
        <v>926630.72000000009</v>
      </c>
      <c r="AH258" s="29" t="s">
        <v>586</v>
      </c>
      <c r="AI258" s="30"/>
      <c r="AJ258" s="31">
        <f>340951.1+52774.1+61862.22+16616.16+1069.94+8813.14+48351.34+107449.24</f>
        <v>637887.23999999987</v>
      </c>
      <c r="AK258" s="31">
        <f>47349.74+21861.72+3168.79+9424.88+1680.7+20491.06</f>
        <v>103976.88999999998</v>
      </c>
    </row>
    <row r="259" spans="1:37" ht="346.5" x14ac:dyDescent="0.25">
      <c r="A259" s="348" t="s">
        <v>1848</v>
      </c>
      <c r="B259" s="20">
        <v>112093</v>
      </c>
      <c r="C259" s="16">
        <v>344</v>
      </c>
      <c r="D259" s="3" t="s">
        <v>1318</v>
      </c>
      <c r="E259" s="24" t="s">
        <v>165</v>
      </c>
      <c r="F259" s="84" t="s">
        <v>322</v>
      </c>
      <c r="G259" s="33" t="s">
        <v>361</v>
      </c>
      <c r="H259" s="33" t="s">
        <v>362</v>
      </c>
      <c r="I259" s="24" t="s">
        <v>349</v>
      </c>
      <c r="J259" s="25" t="s">
        <v>522</v>
      </c>
      <c r="K259" s="5">
        <v>43188</v>
      </c>
      <c r="L259" s="7">
        <v>43553</v>
      </c>
      <c r="M259" s="4">
        <f t="shared" si="307"/>
        <v>82.304184346141142</v>
      </c>
      <c r="N259" s="3" t="s">
        <v>324</v>
      </c>
      <c r="O259" s="3" t="s">
        <v>363</v>
      </c>
      <c r="P259" s="3" t="s">
        <v>363</v>
      </c>
      <c r="Q259" s="8" t="s">
        <v>326</v>
      </c>
      <c r="R259" s="24" t="s">
        <v>36</v>
      </c>
      <c r="S259" s="2">
        <f t="shared" si="309"/>
        <v>624137.28</v>
      </c>
      <c r="T259" s="2">
        <v>503312.34</v>
      </c>
      <c r="U259" s="2">
        <v>120824.94</v>
      </c>
      <c r="V259" s="2">
        <f t="shared" si="308"/>
        <v>119026.06000000001</v>
      </c>
      <c r="W259" s="2">
        <v>88819.82</v>
      </c>
      <c r="X259" s="2">
        <v>30206.240000000002</v>
      </c>
      <c r="Y259" s="2">
        <f t="shared" si="310"/>
        <v>0</v>
      </c>
      <c r="Z259" s="2"/>
      <c r="AA259" s="2"/>
      <c r="AB259" s="2">
        <f t="shared" si="311"/>
        <v>15166.61</v>
      </c>
      <c r="AC259" s="2">
        <v>12084.34</v>
      </c>
      <c r="AD259" s="2">
        <v>3082.27</v>
      </c>
      <c r="AE259" s="2">
        <f t="shared" si="312"/>
        <v>758329.95000000007</v>
      </c>
      <c r="AF259" s="2">
        <v>0</v>
      </c>
      <c r="AG259" s="2">
        <f t="shared" si="313"/>
        <v>758329.95000000007</v>
      </c>
      <c r="AH259" s="29" t="s">
        <v>1072</v>
      </c>
      <c r="AI259" s="30" t="s">
        <v>353</v>
      </c>
      <c r="AJ259" s="31">
        <f>281863.03+67706.32-7048.99+70335.64+92451.16+65330.18</f>
        <v>570637.34000000008</v>
      </c>
      <c r="AK259" s="31">
        <f>53450.47+7048.99+3931.35+17630.9+12458.8</f>
        <v>94520.51</v>
      </c>
    </row>
    <row r="260" spans="1:37" ht="409.5" x14ac:dyDescent="0.25">
      <c r="A260" s="348" t="s">
        <v>1849</v>
      </c>
      <c r="B260" s="20">
        <v>110829</v>
      </c>
      <c r="C260" s="16">
        <v>345</v>
      </c>
      <c r="D260" s="3" t="s">
        <v>175</v>
      </c>
      <c r="E260" s="24" t="s">
        <v>165</v>
      </c>
      <c r="F260" s="84" t="s">
        <v>322</v>
      </c>
      <c r="G260" s="33" t="s">
        <v>364</v>
      </c>
      <c r="H260" s="33" t="s">
        <v>365</v>
      </c>
      <c r="I260" s="24" t="s">
        <v>185</v>
      </c>
      <c r="J260" s="25" t="s">
        <v>366</v>
      </c>
      <c r="K260" s="5">
        <v>43188</v>
      </c>
      <c r="L260" s="7">
        <v>43737</v>
      </c>
      <c r="M260" s="4">
        <f t="shared" si="307"/>
        <v>82.304186026137842</v>
      </c>
      <c r="N260" s="3" t="s">
        <v>324</v>
      </c>
      <c r="O260" s="3" t="s">
        <v>363</v>
      </c>
      <c r="P260" s="3" t="s">
        <v>363</v>
      </c>
      <c r="Q260" s="8" t="s">
        <v>326</v>
      </c>
      <c r="R260" s="24" t="s">
        <v>36</v>
      </c>
      <c r="S260" s="2">
        <f t="shared" si="309"/>
        <v>757586.23</v>
      </c>
      <c r="T260" s="2">
        <v>610927.28</v>
      </c>
      <c r="U260" s="2">
        <v>146658.95000000001</v>
      </c>
      <c r="V260" s="2">
        <f t="shared" si="308"/>
        <v>144475.43</v>
      </c>
      <c r="W260" s="2">
        <v>107810.7</v>
      </c>
      <c r="X260" s="2">
        <v>36664.730000000003</v>
      </c>
      <c r="Y260" s="2">
        <f t="shared" si="310"/>
        <v>0</v>
      </c>
      <c r="Z260" s="2"/>
      <c r="AA260" s="2"/>
      <c r="AB260" s="2">
        <f t="shared" si="311"/>
        <v>18409.420000000002</v>
      </c>
      <c r="AC260" s="2">
        <v>14668.12</v>
      </c>
      <c r="AD260" s="2">
        <v>3741.3</v>
      </c>
      <c r="AE260" s="2">
        <f t="shared" si="312"/>
        <v>920471.08</v>
      </c>
      <c r="AF260" s="2">
        <v>0</v>
      </c>
      <c r="AG260" s="2">
        <f t="shared" si="313"/>
        <v>920471.08</v>
      </c>
      <c r="AH260" s="29" t="s">
        <v>586</v>
      </c>
      <c r="AI260" s="30" t="s">
        <v>353</v>
      </c>
      <c r="AJ260" s="31">
        <f>89285.71-11964.69+140134-555.33+108178.82+21252.58+36085.35+107586.93+34575.24</f>
        <v>524578.61</v>
      </c>
      <c r="AK260" s="31">
        <f>11964.69+11960.22+17298.63+11541.66+4052.98+14039.69+5043.38+6593.66</f>
        <v>82494.91</v>
      </c>
    </row>
    <row r="261" spans="1:37" ht="267.75" x14ac:dyDescent="0.25">
      <c r="A261" s="348" t="s">
        <v>1850</v>
      </c>
      <c r="B261" s="20">
        <v>111077</v>
      </c>
      <c r="C261" s="16">
        <v>352</v>
      </c>
      <c r="D261" s="3" t="s">
        <v>1318</v>
      </c>
      <c r="E261" s="24" t="s">
        <v>165</v>
      </c>
      <c r="F261" s="84" t="s">
        <v>322</v>
      </c>
      <c r="G261" s="33" t="s">
        <v>367</v>
      </c>
      <c r="H261" s="33" t="s">
        <v>368</v>
      </c>
      <c r="I261" s="24" t="s">
        <v>185</v>
      </c>
      <c r="J261" s="25" t="s">
        <v>369</v>
      </c>
      <c r="K261" s="5">
        <v>43188</v>
      </c>
      <c r="L261" s="7">
        <v>43672</v>
      </c>
      <c r="M261" s="4">
        <f t="shared" si="307"/>
        <v>82.304186243592014</v>
      </c>
      <c r="N261" s="3" t="s">
        <v>324</v>
      </c>
      <c r="O261" s="3" t="s">
        <v>363</v>
      </c>
      <c r="P261" s="3" t="s">
        <v>363</v>
      </c>
      <c r="Q261" s="8" t="s">
        <v>326</v>
      </c>
      <c r="R261" s="24" t="s">
        <v>36</v>
      </c>
      <c r="S261" s="2">
        <f t="shared" si="309"/>
        <v>704316.51</v>
      </c>
      <c r="T261" s="2">
        <v>567969.9</v>
      </c>
      <c r="U261" s="2">
        <v>136346.60999999999</v>
      </c>
      <c r="V261" s="2">
        <f t="shared" si="308"/>
        <v>134316.63</v>
      </c>
      <c r="W261" s="27">
        <v>100229.98</v>
      </c>
      <c r="X261" s="27">
        <v>34086.65</v>
      </c>
      <c r="Y261" s="2">
        <f t="shared" si="310"/>
        <v>0</v>
      </c>
      <c r="Z261" s="2"/>
      <c r="AA261" s="2"/>
      <c r="AB261" s="2">
        <f t="shared" si="311"/>
        <v>17114.96</v>
      </c>
      <c r="AC261" s="2">
        <v>13636.73</v>
      </c>
      <c r="AD261" s="2">
        <v>3478.23</v>
      </c>
      <c r="AE261" s="2">
        <f t="shared" si="312"/>
        <v>855748.1</v>
      </c>
      <c r="AF261" s="2"/>
      <c r="AG261" s="2">
        <f t="shared" si="313"/>
        <v>855748.1</v>
      </c>
      <c r="AH261" s="29" t="s">
        <v>1526</v>
      </c>
      <c r="AI261" s="30" t="s">
        <v>353</v>
      </c>
      <c r="AJ261" s="31">
        <f>85000+43282.16-11040.21+106472.55+153782.22-13315.84+83140.14+113279.69</f>
        <v>560600.71</v>
      </c>
      <c r="AK261" s="31">
        <f>8254.12+14104.5+20304.84+13117.11+13315.84+21603</f>
        <v>90699.41</v>
      </c>
    </row>
    <row r="262" spans="1:37" ht="409.5" x14ac:dyDescent="0.25">
      <c r="A262" s="348" t="s">
        <v>1851</v>
      </c>
      <c r="B262" s="20">
        <v>111631</v>
      </c>
      <c r="C262" s="16">
        <v>170</v>
      </c>
      <c r="D262" s="3" t="s">
        <v>171</v>
      </c>
      <c r="E262" s="24" t="s">
        <v>165</v>
      </c>
      <c r="F262" s="84" t="s">
        <v>322</v>
      </c>
      <c r="G262" s="33" t="s">
        <v>370</v>
      </c>
      <c r="H262" s="33" t="s">
        <v>371</v>
      </c>
      <c r="I262" s="100" t="s">
        <v>372</v>
      </c>
      <c r="J262" s="25" t="s">
        <v>523</v>
      </c>
      <c r="K262" s="5">
        <v>43189</v>
      </c>
      <c r="L262" s="7">
        <v>43676</v>
      </c>
      <c r="M262" s="4">
        <f t="shared" si="307"/>
        <v>82.304185177297953</v>
      </c>
      <c r="N262" s="3" t="s">
        <v>324</v>
      </c>
      <c r="O262" s="3" t="s">
        <v>363</v>
      </c>
      <c r="P262" s="3" t="s">
        <v>363</v>
      </c>
      <c r="Q262" s="8" t="s">
        <v>326</v>
      </c>
      <c r="R262" s="24" t="s">
        <v>36</v>
      </c>
      <c r="S262" s="2">
        <f t="shared" si="309"/>
        <v>822209.74</v>
      </c>
      <c r="T262" s="2">
        <v>663040.52</v>
      </c>
      <c r="U262" s="2">
        <v>159169.22</v>
      </c>
      <c r="V262" s="2">
        <f t="shared" si="308"/>
        <v>156799.45000000001</v>
      </c>
      <c r="W262" s="2">
        <v>39792.300000000003</v>
      </c>
      <c r="X262" s="2">
        <v>117007.15</v>
      </c>
      <c r="Y262" s="2">
        <f t="shared" si="310"/>
        <v>0</v>
      </c>
      <c r="Z262" s="2"/>
      <c r="AA262" s="2"/>
      <c r="AB262" s="2">
        <f t="shared" si="311"/>
        <v>19979.79</v>
      </c>
      <c r="AC262" s="2">
        <v>15919.35</v>
      </c>
      <c r="AD262" s="2">
        <v>4060.44</v>
      </c>
      <c r="AE262" s="2">
        <f t="shared" si="312"/>
        <v>998988.98</v>
      </c>
      <c r="AF262" s="2"/>
      <c r="AG262" s="2">
        <f t="shared" si="313"/>
        <v>998988.98</v>
      </c>
      <c r="AH262" s="29" t="s">
        <v>586</v>
      </c>
      <c r="AI262" s="30" t="s">
        <v>353</v>
      </c>
      <c r="AJ262" s="31">
        <f>99898.9+20257.44+82739.46+65227.91+122865.84+26629.39+183749.63+32157.06+25755.53</f>
        <v>659281.16</v>
      </c>
      <c r="AK262" s="31">
        <f>3863.19+15778.83+29070.82+6799.58+5078.36+35041.94+6132.52+4911.69</f>
        <v>106676.93000000001</v>
      </c>
    </row>
    <row r="263" spans="1:37" ht="252" x14ac:dyDescent="0.25">
      <c r="A263" s="348" t="s">
        <v>1852</v>
      </c>
      <c r="B263" s="20">
        <v>112405</v>
      </c>
      <c r="C263" s="16">
        <v>171</v>
      </c>
      <c r="D263" s="3" t="s">
        <v>171</v>
      </c>
      <c r="E263" s="24" t="s">
        <v>165</v>
      </c>
      <c r="F263" s="84" t="s">
        <v>322</v>
      </c>
      <c r="G263" s="33" t="s">
        <v>373</v>
      </c>
      <c r="H263" s="33" t="s">
        <v>374</v>
      </c>
      <c r="I263" s="100" t="s">
        <v>375</v>
      </c>
      <c r="J263" s="25" t="s">
        <v>396</v>
      </c>
      <c r="K263" s="5">
        <v>43186</v>
      </c>
      <c r="L263" s="7">
        <v>43673</v>
      </c>
      <c r="M263" s="4">
        <f t="shared" si="307"/>
        <v>82.304185365731513</v>
      </c>
      <c r="N263" s="3" t="s">
        <v>324</v>
      </c>
      <c r="O263" s="3" t="s">
        <v>363</v>
      </c>
      <c r="P263" s="3" t="s">
        <v>363</v>
      </c>
      <c r="Q263" s="8" t="s">
        <v>326</v>
      </c>
      <c r="R263" s="24" t="s">
        <v>36</v>
      </c>
      <c r="S263" s="2">
        <f t="shared" si="309"/>
        <v>723131.98</v>
      </c>
      <c r="T263" s="2">
        <v>583142.93999999994</v>
      </c>
      <c r="U263" s="2">
        <v>139989.04</v>
      </c>
      <c r="V263" s="2">
        <f t="shared" si="308"/>
        <v>137904.84</v>
      </c>
      <c r="W263" s="2">
        <v>102907.58</v>
      </c>
      <c r="X263" s="2">
        <v>34997.26</v>
      </c>
      <c r="Y263" s="2">
        <f t="shared" si="310"/>
        <v>0</v>
      </c>
      <c r="Z263" s="2"/>
      <c r="AA263" s="2"/>
      <c r="AB263" s="2">
        <f t="shared" si="311"/>
        <v>17572.18</v>
      </c>
      <c r="AC263" s="2">
        <v>14001.03</v>
      </c>
      <c r="AD263" s="2">
        <v>3571.15</v>
      </c>
      <c r="AE263" s="2">
        <f t="shared" si="312"/>
        <v>878609</v>
      </c>
      <c r="AF263" s="2"/>
      <c r="AG263" s="2">
        <f t="shared" si="313"/>
        <v>878609</v>
      </c>
      <c r="AH263" s="29" t="s">
        <v>586</v>
      </c>
      <c r="AI263" s="30"/>
      <c r="AJ263" s="31">
        <f>208329.69+72239-12893.42+110533+33743.88+27302.86+184981.92</f>
        <v>624236.93000000005</v>
      </c>
      <c r="AK263" s="31">
        <f>36750.34+12893.42+5726.93+6435.14+21177.89+19305.83</f>
        <v>102289.55</v>
      </c>
    </row>
    <row r="264" spans="1:37" ht="189" x14ac:dyDescent="0.25">
      <c r="A264" s="348" t="s">
        <v>1853</v>
      </c>
      <c r="B264" s="20">
        <v>109810</v>
      </c>
      <c r="C264" s="16">
        <v>257</v>
      </c>
      <c r="D264" s="3" t="s">
        <v>1318</v>
      </c>
      <c r="E264" s="24" t="s">
        <v>165</v>
      </c>
      <c r="F264" s="84" t="s">
        <v>322</v>
      </c>
      <c r="G264" s="33" t="s">
        <v>376</v>
      </c>
      <c r="H264" s="33" t="s">
        <v>377</v>
      </c>
      <c r="I264" s="24" t="s">
        <v>185</v>
      </c>
      <c r="J264" s="25" t="s">
        <v>384</v>
      </c>
      <c r="K264" s="5">
        <v>43192</v>
      </c>
      <c r="L264" s="7">
        <v>43679</v>
      </c>
      <c r="M264" s="4">
        <f t="shared" si="307"/>
        <v>82.304188283311021</v>
      </c>
      <c r="N264" s="3" t="s">
        <v>324</v>
      </c>
      <c r="O264" s="3" t="s">
        <v>363</v>
      </c>
      <c r="P264" s="3" t="s">
        <v>363</v>
      </c>
      <c r="Q264" s="8" t="s">
        <v>326</v>
      </c>
      <c r="R264" s="24" t="s">
        <v>36</v>
      </c>
      <c r="S264" s="2">
        <f t="shared" si="309"/>
        <v>821139.01</v>
      </c>
      <c r="T264" s="27">
        <v>662177.06999999995</v>
      </c>
      <c r="U264" s="27">
        <v>158961.94</v>
      </c>
      <c r="V264" s="2">
        <f t="shared" si="308"/>
        <v>156595.26</v>
      </c>
      <c r="W264" s="27">
        <v>116854.78</v>
      </c>
      <c r="X264" s="27">
        <v>39740.480000000003</v>
      </c>
      <c r="Y264" s="2">
        <f t="shared" si="310"/>
        <v>0</v>
      </c>
      <c r="Z264" s="2"/>
      <c r="AA264" s="2"/>
      <c r="AB264" s="2">
        <f t="shared" si="311"/>
        <v>19953.73</v>
      </c>
      <c r="AC264" s="2">
        <v>15898.58</v>
      </c>
      <c r="AD264" s="2">
        <v>4055.15</v>
      </c>
      <c r="AE264" s="2">
        <f t="shared" si="312"/>
        <v>997688</v>
      </c>
      <c r="AF264" s="2"/>
      <c r="AG264" s="2">
        <f t="shared" si="313"/>
        <v>997688</v>
      </c>
      <c r="AH264" s="29" t="s">
        <v>586</v>
      </c>
      <c r="AI264" s="30"/>
      <c r="AJ264" s="31">
        <f>311274.3+94352.8-8733.69+71724.61+102413.3+20161.59+85316+25210.31</f>
        <v>701719.22</v>
      </c>
      <c r="AK264" s="31">
        <f>40335.29+17993.54+8733.69+3278.99+19530.72+3844.92+16270.21+4807.73</f>
        <v>114795.09000000001</v>
      </c>
    </row>
    <row r="265" spans="1:37" ht="204.75" x14ac:dyDescent="0.25">
      <c r="A265" s="348" t="s">
        <v>1854</v>
      </c>
      <c r="B265" s="20">
        <v>112956</v>
      </c>
      <c r="C265" s="16">
        <v>273</v>
      </c>
      <c r="D265" s="3" t="s">
        <v>175</v>
      </c>
      <c r="E265" s="24" t="s">
        <v>165</v>
      </c>
      <c r="F265" s="84" t="s">
        <v>322</v>
      </c>
      <c r="G265" s="33" t="s">
        <v>378</v>
      </c>
      <c r="H265" s="207" t="s">
        <v>379</v>
      </c>
      <c r="I265" s="100" t="s">
        <v>380</v>
      </c>
      <c r="J265" s="25" t="s">
        <v>524</v>
      </c>
      <c r="K265" s="5">
        <v>43192</v>
      </c>
      <c r="L265" s="7">
        <v>43679</v>
      </c>
      <c r="M265" s="4">
        <f t="shared" si="307"/>
        <v>82.3041866136534</v>
      </c>
      <c r="N265" s="3" t="s">
        <v>324</v>
      </c>
      <c r="O265" s="3" t="s">
        <v>363</v>
      </c>
      <c r="P265" s="3" t="s">
        <v>363</v>
      </c>
      <c r="Q265" s="8" t="s">
        <v>326</v>
      </c>
      <c r="R265" s="24" t="s">
        <v>36</v>
      </c>
      <c r="S265" s="2">
        <f t="shared" si="309"/>
        <v>710350.48</v>
      </c>
      <c r="T265" s="2">
        <v>572835.77</v>
      </c>
      <c r="U265" s="2">
        <v>137514.71</v>
      </c>
      <c r="V265" s="2">
        <f t="shared" si="308"/>
        <v>135467.34</v>
      </c>
      <c r="W265" s="2">
        <v>101088.67</v>
      </c>
      <c r="X265" s="2">
        <v>34378.67</v>
      </c>
      <c r="Y265" s="2">
        <f t="shared" si="310"/>
        <v>0</v>
      </c>
      <c r="Z265" s="2"/>
      <c r="AA265" s="2"/>
      <c r="AB265" s="2">
        <f t="shared" si="311"/>
        <v>17261.579999999998</v>
      </c>
      <c r="AC265" s="2">
        <v>13753.55</v>
      </c>
      <c r="AD265" s="2">
        <v>3508.03</v>
      </c>
      <c r="AE265" s="2">
        <f t="shared" si="312"/>
        <v>863079.39999999991</v>
      </c>
      <c r="AF265" s="2"/>
      <c r="AG265" s="2">
        <f t="shared" si="313"/>
        <v>863079.39999999991</v>
      </c>
      <c r="AH265" s="29" t="s">
        <v>586</v>
      </c>
      <c r="AI265" s="30" t="s">
        <v>185</v>
      </c>
      <c r="AJ265" s="31">
        <f>184670.36-1719.64+59823.53+78024.86+71396.89-5943.21+95904.43+18163.66</f>
        <v>500320.87999999995</v>
      </c>
      <c r="AK265" s="31">
        <f>18758.18+11080.69+14879.72+13615.74+5943.21+14676.76</f>
        <v>78954.3</v>
      </c>
    </row>
    <row r="266" spans="1:37" ht="330.75" x14ac:dyDescent="0.25">
      <c r="A266" s="348" t="s">
        <v>1855</v>
      </c>
      <c r="B266" s="20">
        <v>112066</v>
      </c>
      <c r="C266" s="16">
        <v>262</v>
      </c>
      <c r="D266" s="3" t="s">
        <v>175</v>
      </c>
      <c r="E266" s="24" t="s">
        <v>165</v>
      </c>
      <c r="F266" s="84" t="s">
        <v>322</v>
      </c>
      <c r="G266" s="114" t="s">
        <v>381</v>
      </c>
      <c r="H266" s="33" t="s">
        <v>382</v>
      </c>
      <c r="I266" s="100" t="s">
        <v>383</v>
      </c>
      <c r="J266" s="25" t="s">
        <v>525</v>
      </c>
      <c r="K266" s="5">
        <v>43193</v>
      </c>
      <c r="L266" s="7">
        <v>43680</v>
      </c>
      <c r="M266" s="4">
        <f t="shared" si="307"/>
        <v>82.304184459884823</v>
      </c>
      <c r="N266" s="3" t="s">
        <v>324</v>
      </c>
      <c r="O266" s="3" t="s">
        <v>363</v>
      </c>
      <c r="P266" s="3" t="s">
        <v>363</v>
      </c>
      <c r="Q266" s="8" t="s">
        <v>326</v>
      </c>
      <c r="R266" s="24" t="s">
        <v>36</v>
      </c>
      <c r="S266" s="2">
        <f t="shared" si="309"/>
        <v>822673.27</v>
      </c>
      <c r="T266" s="2">
        <v>663414.31999999995</v>
      </c>
      <c r="U266" s="2">
        <v>159258.95000000001</v>
      </c>
      <c r="V266" s="2">
        <f t="shared" si="308"/>
        <v>156887.87</v>
      </c>
      <c r="W266" s="2">
        <v>117073.13</v>
      </c>
      <c r="X266" s="2">
        <v>39814.74</v>
      </c>
      <c r="Y266" s="2">
        <f t="shared" si="310"/>
        <v>0</v>
      </c>
      <c r="Z266" s="2"/>
      <c r="AA266" s="2"/>
      <c r="AB266" s="2">
        <f t="shared" si="311"/>
        <v>19991.04</v>
      </c>
      <c r="AC266" s="2">
        <v>15928.31</v>
      </c>
      <c r="AD266" s="2">
        <v>4062.73</v>
      </c>
      <c r="AE266" s="2">
        <f t="shared" si="312"/>
        <v>999552.18</v>
      </c>
      <c r="AF266" s="2"/>
      <c r="AG266" s="2">
        <f t="shared" si="313"/>
        <v>999552.18</v>
      </c>
      <c r="AH266" s="29" t="s">
        <v>586</v>
      </c>
      <c r="AI266" s="30" t="s">
        <v>185</v>
      </c>
      <c r="AJ266" s="31">
        <f>148819.34+46038+153649.09+7836.15+91741.83</f>
        <v>448084.41000000003</v>
      </c>
      <c r="AK266" s="31">
        <f>28380.59+38081.31+1494.39+17308.68</f>
        <v>85264.97</v>
      </c>
    </row>
    <row r="267" spans="1:37" ht="362.25" x14ac:dyDescent="0.25">
      <c r="A267" s="348" t="s">
        <v>1856</v>
      </c>
      <c r="B267" s="20">
        <v>121460</v>
      </c>
      <c r="C267" s="16">
        <v>59</v>
      </c>
      <c r="D267" s="3" t="s">
        <v>172</v>
      </c>
      <c r="E267" s="24" t="s">
        <v>165</v>
      </c>
      <c r="F267" s="84" t="s">
        <v>128</v>
      </c>
      <c r="G267" s="79" t="s">
        <v>400</v>
      </c>
      <c r="H267" s="33" t="s">
        <v>402</v>
      </c>
      <c r="I267" s="24" t="s">
        <v>349</v>
      </c>
      <c r="J267" s="25" t="s">
        <v>401</v>
      </c>
      <c r="K267" s="5">
        <v>43207</v>
      </c>
      <c r="L267" s="7">
        <v>44302</v>
      </c>
      <c r="M267" s="4">
        <f t="shared" si="307"/>
        <v>83.983863089546503</v>
      </c>
      <c r="N267" s="3" t="s">
        <v>324</v>
      </c>
      <c r="O267" s="3" t="s">
        <v>363</v>
      </c>
      <c r="P267" s="3" t="s">
        <v>363</v>
      </c>
      <c r="Q267" s="8" t="s">
        <v>157</v>
      </c>
      <c r="R267" s="3" t="s">
        <v>36</v>
      </c>
      <c r="S267" s="2">
        <f t="shared" si="309"/>
        <v>6975407.2700000005</v>
      </c>
      <c r="T267" s="2">
        <v>5625058.2300000004</v>
      </c>
      <c r="U267" s="2">
        <v>1350349.04</v>
      </c>
      <c r="V267" s="2">
        <f t="shared" si="308"/>
        <v>0</v>
      </c>
      <c r="W267" s="2">
        <v>0</v>
      </c>
      <c r="X267" s="2">
        <v>0</v>
      </c>
      <c r="Y267" s="2">
        <f t="shared" si="310"/>
        <v>1330244.57</v>
      </c>
      <c r="Z267" s="27">
        <v>992657.31</v>
      </c>
      <c r="AA267" s="2">
        <v>337587.26</v>
      </c>
      <c r="AB267" s="2">
        <f t="shared" si="311"/>
        <v>0</v>
      </c>
      <c r="AC267" s="2">
        <v>0</v>
      </c>
      <c r="AD267" s="2">
        <v>0</v>
      </c>
      <c r="AE267" s="2">
        <f t="shared" si="312"/>
        <v>8305651.8400000008</v>
      </c>
      <c r="AF267" s="2">
        <v>0</v>
      </c>
      <c r="AG267" s="2">
        <f t="shared" si="313"/>
        <v>8305651.8400000008</v>
      </c>
      <c r="AH267" s="29" t="s">
        <v>586</v>
      </c>
      <c r="AI267" s="30" t="s">
        <v>1383</v>
      </c>
      <c r="AJ267" s="31">
        <f>59335.44+64701.17+90758.49+56070.66</f>
        <v>270865.76</v>
      </c>
      <c r="AK267" s="31">
        <v>0</v>
      </c>
    </row>
    <row r="268" spans="1:37" ht="283.5" x14ac:dyDescent="0.25">
      <c r="A268" s="348" t="s">
        <v>1857</v>
      </c>
      <c r="B268" s="20">
        <v>109749</v>
      </c>
      <c r="C268" s="16">
        <v>253</v>
      </c>
      <c r="D268" s="3" t="s">
        <v>1318</v>
      </c>
      <c r="E268" s="24" t="s">
        <v>165</v>
      </c>
      <c r="F268" s="84" t="s">
        <v>322</v>
      </c>
      <c r="G268" s="79" t="s">
        <v>388</v>
      </c>
      <c r="H268" s="208" t="s">
        <v>389</v>
      </c>
      <c r="I268" s="24" t="s">
        <v>185</v>
      </c>
      <c r="J268" s="25" t="s">
        <v>526</v>
      </c>
      <c r="K268" s="5">
        <v>43208</v>
      </c>
      <c r="L268" s="7">
        <v>43695</v>
      </c>
      <c r="M268" s="4">
        <f t="shared" si="307"/>
        <v>82.304185790916577</v>
      </c>
      <c r="N268" s="3" t="s">
        <v>324</v>
      </c>
      <c r="O268" s="3" t="s">
        <v>410</v>
      </c>
      <c r="P268" s="3" t="s">
        <v>410</v>
      </c>
      <c r="Q268" s="8" t="s">
        <v>326</v>
      </c>
      <c r="R268" s="24" t="s">
        <v>36</v>
      </c>
      <c r="S268" s="2">
        <f t="shared" si="309"/>
        <v>808649.72</v>
      </c>
      <c r="T268" s="27">
        <v>652105.54</v>
      </c>
      <c r="U268" s="27">
        <v>156544.18</v>
      </c>
      <c r="V268" s="2">
        <f t="shared" si="308"/>
        <v>154213.49</v>
      </c>
      <c r="W268" s="27">
        <v>115077.45</v>
      </c>
      <c r="X268" s="27">
        <v>39136.04</v>
      </c>
      <c r="Y268" s="2">
        <f t="shared" si="310"/>
        <v>0</v>
      </c>
      <c r="Z268" s="2">
        <v>0</v>
      </c>
      <c r="AA268" s="2">
        <v>0</v>
      </c>
      <c r="AB268" s="2">
        <f t="shared" si="311"/>
        <v>19650.27</v>
      </c>
      <c r="AC268" s="2">
        <v>15656.8</v>
      </c>
      <c r="AD268" s="2">
        <v>3993.47</v>
      </c>
      <c r="AE268" s="2">
        <f t="shared" si="312"/>
        <v>982513.48</v>
      </c>
      <c r="AF268" s="2"/>
      <c r="AG268" s="2">
        <f t="shared" si="313"/>
        <v>982513.48</v>
      </c>
      <c r="AH268" s="29" t="s">
        <v>586</v>
      </c>
      <c r="AI268" s="30"/>
      <c r="AJ268" s="31">
        <f>320855.76+13409.42+153292.16+833.72+98250+85029.68</f>
        <v>671670.74</v>
      </c>
      <c r="AK268" s="31">
        <f>63706.03+10496.81+18895.75+16215.58</f>
        <v>109314.17</v>
      </c>
    </row>
    <row r="269" spans="1:37" ht="362.25" x14ac:dyDescent="0.25">
      <c r="A269" s="348" t="s">
        <v>1858</v>
      </c>
      <c r="B269" s="20">
        <v>109967</v>
      </c>
      <c r="C269" s="16">
        <v>177</v>
      </c>
      <c r="D269" s="3" t="s">
        <v>171</v>
      </c>
      <c r="E269" s="24" t="s">
        <v>165</v>
      </c>
      <c r="F269" s="84" t="s">
        <v>322</v>
      </c>
      <c r="G269" s="79" t="s">
        <v>394</v>
      </c>
      <c r="H269" s="33" t="s">
        <v>395</v>
      </c>
      <c r="I269" s="24" t="s">
        <v>185</v>
      </c>
      <c r="J269" s="25" t="s">
        <v>527</v>
      </c>
      <c r="K269" s="5">
        <v>43208</v>
      </c>
      <c r="L269" s="7">
        <v>43695</v>
      </c>
      <c r="M269" s="4">
        <f t="shared" si="307"/>
        <v>82.304184597190911</v>
      </c>
      <c r="N269" s="3" t="s">
        <v>324</v>
      </c>
      <c r="O269" s="3" t="s">
        <v>363</v>
      </c>
      <c r="P269" s="3" t="s">
        <v>363</v>
      </c>
      <c r="Q269" s="8" t="s">
        <v>326</v>
      </c>
      <c r="R269" s="24" t="s">
        <v>36</v>
      </c>
      <c r="S269" s="2">
        <f t="shared" si="309"/>
        <v>804452.45</v>
      </c>
      <c r="T269" s="2">
        <v>648720.82999999996</v>
      </c>
      <c r="U269" s="2">
        <v>155731.62</v>
      </c>
      <c r="V269" s="2">
        <f t="shared" si="308"/>
        <v>153413.06</v>
      </c>
      <c r="W269" s="2">
        <v>114480.15</v>
      </c>
      <c r="X269" s="2">
        <v>38932.910000000003</v>
      </c>
      <c r="Y269" s="2">
        <f t="shared" si="310"/>
        <v>0</v>
      </c>
      <c r="Z269" s="209"/>
      <c r="AA269" s="209"/>
      <c r="AB269" s="2">
        <f t="shared" si="311"/>
        <v>19548.28</v>
      </c>
      <c r="AC269" s="2">
        <v>15575.51</v>
      </c>
      <c r="AD269" s="2">
        <v>3972.77</v>
      </c>
      <c r="AE269" s="2">
        <f t="shared" si="312"/>
        <v>977413.79</v>
      </c>
      <c r="AF269" s="2"/>
      <c r="AG269" s="2">
        <f t="shared" si="313"/>
        <v>977413.79</v>
      </c>
      <c r="AH269" s="29" t="s">
        <v>586</v>
      </c>
      <c r="AI269" s="30" t="s">
        <v>1377</v>
      </c>
      <c r="AJ269" s="31">
        <f>312590.47-8868.28+88856.3+55475.75+73233.76+50351.94+43692.49</f>
        <v>615332.42999999993</v>
      </c>
      <c r="AK269" s="31">
        <f>40972.78+16948.54+8885.07+13966.04+9602.34+8332.37</f>
        <v>98707.139999999985</v>
      </c>
    </row>
    <row r="270" spans="1:37" ht="267.75" x14ac:dyDescent="0.25">
      <c r="A270" s="348" t="s">
        <v>1859</v>
      </c>
      <c r="B270" s="20">
        <v>112811</v>
      </c>
      <c r="C270" s="24">
        <v>196</v>
      </c>
      <c r="D270" s="3" t="s">
        <v>171</v>
      </c>
      <c r="E270" s="24" t="s">
        <v>165</v>
      </c>
      <c r="F270" s="84" t="s">
        <v>322</v>
      </c>
      <c r="G270" s="79" t="s">
        <v>397</v>
      </c>
      <c r="H270" s="33" t="s">
        <v>398</v>
      </c>
      <c r="I270" s="24" t="s">
        <v>185</v>
      </c>
      <c r="J270" s="25" t="s">
        <v>399</v>
      </c>
      <c r="K270" s="5">
        <v>43208</v>
      </c>
      <c r="L270" s="7">
        <v>43573</v>
      </c>
      <c r="M270" s="4">
        <f t="shared" si="307"/>
        <v>82.304184666338784</v>
      </c>
      <c r="N270" s="3" t="s">
        <v>324</v>
      </c>
      <c r="O270" s="3" t="s">
        <v>363</v>
      </c>
      <c r="P270" s="3" t="s">
        <v>363</v>
      </c>
      <c r="Q270" s="8" t="s">
        <v>326</v>
      </c>
      <c r="R270" s="3" t="s">
        <v>36</v>
      </c>
      <c r="S270" s="2">
        <f t="shared" si="309"/>
        <v>760931.29</v>
      </c>
      <c r="T270" s="2">
        <v>613624.79</v>
      </c>
      <c r="U270" s="2">
        <v>147306.5</v>
      </c>
      <c r="V270" s="2">
        <f t="shared" si="308"/>
        <v>145113.35999999999</v>
      </c>
      <c r="W270" s="2">
        <v>108286.73</v>
      </c>
      <c r="X270" s="2">
        <v>36826.629999999997</v>
      </c>
      <c r="Y270" s="2">
        <f t="shared" si="310"/>
        <v>0</v>
      </c>
      <c r="Z270" s="2">
        <v>0</v>
      </c>
      <c r="AA270" s="2">
        <v>0</v>
      </c>
      <c r="AB270" s="2">
        <f t="shared" si="311"/>
        <v>18490.71</v>
      </c>
      <c r="AC270" s="2">
        <v>14732.89</v>
      </c>
      <c r="AD270" s="2">
        <v>3757.82</v>
      </c>
      <c r="AE270" s="2">
        <f t="shared" si="312"/>
        <v>924535.36</v>
      </c>
      <c r="AF270" s="2"/>
      <c r="AG270" s="2">
        <f t="shared" si="313"/>
        <v>924535.36</v>
      </c>
      <c r="AH270" s="29" t="s">
        <v>1072</v>
      </c>
      <c r="AI270" s="30"/>
      <c r="AJ270" s="31">
        <f>91800+75057.16+74073.77+121742.1-7175.16+205568.39+83432.56</f>
        <v>644498.82000000007</v>
      </c>
      <c r="AK270" s="31">
        <f>14189.24+14126.23+23216.82+16262.9+21571.65+15911</f>
        <v>105277.84</v>
      </c>
    </row>
    <row r="271" spans="1:37" ht="409.5" x14ac:dyDescent="0.25">
      <c r="A271" s="348" t="s">
        <v>1860</v>
      </c>
      <c r="B271" s="20">
        <v>112080</v>
      </c>
      <c r="C271" s="16">
        <v>354</v>
      </c>
      <c r="D271" s="3" t="s">
        <v>1318</v>
      </c>
      <c r="E271" s="24" t="s">
        <v>165</v>
      </c>
      <c r="F271" s="84" t="s">
        <v>322</v>
      </c>
      <c r="G271" s="79" t="s">
        <v>409</v>
      </c>
      <c r="H271" s="79" t="s">
        <v>408</v>
      </c>
      <c r="I271" s="24" t="s">
        <v>185</v>
      </c>
      <c r="J271" s="25" t="s">
        <v>528</v>
      </c>
      <c r="K271" s="5">
        <v>43214</v>
      </c>
      <c r="L271" s="7">
        <v>43793</v>
      </c>
      <c r="M271" s="4">
        <f t="shared" ref="M271:M302" si="314">S271/AE271*100</f>
        <v>82.304185109241828</v>
      </c>
      <c r="N271" s="3" t="s">
        <v>324</v>
      </c>
      <c r="O271" s="3" t="s">
        <v>363</v>
      </c>
      <c r="P271" s="3" t="s">
        <v>363</v>
      </c>
      <c r="Q271" s="8" t="s">
        <v>326</v>
      </c>
      <c r="R271" s="24" t="s">
        <v>36</v>
      </c>
      <c r="S271" s="2">
        <f t="shared" si="309"/>
        <v>570578.29</v>
      </c>
      <c r="T271" s="2">
        <v>460121.68</v>
      </c>
      <c r="U271" s="2">
        <v>110456.61</v>
      </c>
      <c r="V271" s="2">
        <f t="shared" ref="V271:V302" si="315">W271+X271</f>
        <v>108812.1</v>
      </c>
      <c r="W271" s="2">
        <v>81197.94</v>
      </c>
      <c r="X271" s="2">
        <v>27614.16</v>
      </c>
      <c r="Y271" s="2">
        <f t="shared" si="310"/>
        <v>0</v>
      </c>
      <c r="Z271" s="2">
        <v>0</v>
      </c>
      <c r="AA271" s="2">
        <v>0</v>
      </c>
      <c r="AB271" s="2">
        <f t="shared" ref="AB271:AB284" si="316">AC271+AD271</f>
        <v>13865.11</v>
      </c>
      <c r="AC271" s="2">
        <v>11047.34</v>
      </c>
      <c r="AD271" s="2">
        <v>2817.77</v>
      </c>
      <c r="AE271" s="2">
        <f t="shared" si="312"/>
        <v>693255.5</v>
      </c>
      <c r="AF271" s="2">
        <v>0</v>
      </c>
      <c r="AG271" s="2">
        <f t="shared" si="313"/>
        <v>693255.5</v>
      </c>
      <c r="AH271" s="29" t="s">
        <v>586</v>
      </c>
      <c r="AI271" s="30" t="s">
        <v>1592</v>
      </c>
      <c r="AJ271" s="31">
        <f>105536.1+45768.53+51356.28+43663.9-6908.51+43134.7</f>
        <v>282551</v>
      </c>
      <c r="AK271" s="31">
        <f>6905.53+8728.29+18120.82+6908.51</f>
        <v>40663.15</v>
      </c>
    </row>
    <row r="272" spans="1:37" ht="315" x14ac:dyDescent="0.25">
      <c r="A272" s="348" t="s">
        <v>1861</v>
      </c>
      <c r="B272" s="20">
        <v>111113</v>
      </c>
      <c r="C272" s="16">
        <v>252</v>
      </c>
      <c r="D272" s="3" t="s">
        <v>1318</v>
      </c>
      <c r="E272" s="24" t="s">
        <v>165</v>
      </c>
      <c r="F272" s="84" t="s">
        <v>322</v>
      </c>
      <c r="G272" s="79" t="s">
        <v>411</v>
      </c>
      <c r="H272" s="79" t="s">
        <v>1224</v>
      </c>
      <c r="I272" s="24" t="s">
        <v>438</v>
      </c>
      <c r="J272" s="25" t="s">
        <v>413</v>
      </c>
      <c r="K272" s="5">
        <v>43214</v>
      </c>
      <c r="L272" s="7">
        <v>43578</v>
      </c>
      <c r="M272" s="4">
        <f t="shared" si="314"/>
        <v>82.304185972255567</v>
      </c>
      <c r="N272" s="3" t="s">
        <v>324</v>
      </c>
      <c r="O272" s="3" t="s">
        <v>359</v>
      </c>
      <c r="P272" s="3" t="s">
        <v>412</v>
      </c>
      <c r="Q272" s="8" t="s">
        <v>326</v>
      </c>
      <c r="R272" s="24" t="s">
        <v>36</v>
      </c>
      <c r="S272" s="2">
        <f t="shared" ref="S272:S302" si="317">T272+U272</f>
        <v>793396.18</v>
      </c>
      <c r="T272" s="2">
        <v>639804.9</v>
      </c>
      <c r="U272" s="2">
        <v>153591.28</v>
      </c>
      <c r="V272" s="2">
        <f t="shared" si="315"/>
        <v>151304.57</v>
      </c>
      <c r="W272" s="2">
        <v>112906.75</v>
      </c>
      <c r="X272" s="2">
        <v>38397.82</v>
      </c>
      <c r="Y272" s="2">
        <f t="shared" ref="Y272:Y302" si="318">Z272+AA272</f>
        <v>0</v>
      </c>
      <c r="Z272" s="2">
        <v>0</v>
      </c>
      <c r="AA272" s="2">
        <v>0</v>
      </c>
      <c r="AB272" s="2">
        <f t="shared" si="316"/>
        <v>19279.599999999999</v>
      </c>
      <c r="AC272" s="2">
        <v>15361.46</v>
      </c>
      <c r="AD272" s="2">
        <v>3918.14</v>
      </c>
      <c r="AE272" s="2">
        <f t="shared" si="312"/>
        <v>963980.35</v>
      </c>
      <c r="AF272" s="2">
        <v>0</v>
      </c>
      <c r="AG272" s="2">
        <f t="shared" si="313"/>
        <v>963980.35</v>
      </c>
      <c r="AH272" s="29" t="s">
        <v>1072</v>
      </c>
      <c r="AI272" s="30" t="s">
        <v>185</v>
      </c>
      <c r="AJ272" s="31">
        <f>360374.76+80428.02+85558.08+11319.22+96397+20389.47</f>
        <v>654466.54999999993</v>
      </c>
      <c r="AK272" s="31">
        <f>36349.9+31943.22+13703.1+20542.02+22271.75</f>
        <v>124809.99</v>
      </c>
    </row>
    <row r="273" spans="1:37" ht="409.5" x14ac:dyDescent="0.25">
      <c r="A273" s="348" t="s">
        <v>1862</v>
      </c>
      <c r="B273" s="20">
        <v>109880</v>
      </c>
      <c r="C273" s="16">
        <v>261</v>
      </c>
      <c r="D273" s="3" t="s">
        <v>175</v>
      </c>
      <c r="E273" s="24" t="s">
        <v>165</v>
      </c>
      <c r="F273" s="84" t="s">
        <v>322</v>
      </c>
      <c r="G273" s="79" t="s">
        <v>420</v>
      </c>
      <c r="H273" s="210" t="s">
        <v>418</v>
      </c>
      <c r="I273" s="80" t="s">
        <v>419</v>
      </c>
      <c r="J273" s="25" t="s">
        <v>529</v>
      </c>
      <c r="K273" s="5">
        <v>43214</v>
      </c>
      <c r="L273" s="7">
        <v>43640</v>
      </c>
      <c r="M273" s="4">
        <f t="shared" si="314"/>
        <v>82.304184374786118</v>
      </c>
      <c r="N273" s="3" t="s">
        <v>324</v>
      </c>
      <c r="O273" s="3" t="s">
        <v>263</v>
      </c>
      <c r="P273" s="3" t="s">
        <v>421</v>
      </c>
      <c r="Q273" s="8" t="s">
        <v>326</v>
      </c>
      <c r="R273" s="24" t="s">
        <v>36</v>
      </c>
      <c r="S273" s="2">
        <f t="shared" si="317"/>
        <v>782828.76</v>
      </c>
      <c r="T273" s="2">
        <v>631283.18999999994</v>
      </c>
      <c r="U273" s="2">
        <v>151545.57</v>
      </c>
      <c r="V273" s="2">
        <f t="shared" si="315"/>
        <v>149289.32</v>
      </c>
      <c r="W273" s="2">
        <v>111402.93</v>
      </c>
      <c r="X273" s="2">
        <v>37886.39</v>
      </c>
      <c r="Y273" s="2">
        <f t="shared" si="318"/>
        <v>0</v>
      </c>
      <c r="Z273" s="2"/>
      <c r="AA273" s="2"/>
      <c r="AB273" s="2">
        <f t="shared" si="316"/>
        <v>19022.82</v>
      </c>
      <c r="AC273" s="2">
        <v>15156.86</v>
      </c>
      <c r="AD273" s="2">
        <v>3865.96</v>
      </c>
      <c r="AE273" s="2">
        <f t="shared" si="312"/>
        <v>951140.9</v>
      </c>
      <c r="AF273" s="2"/>
      <c r="AG273" s="2">
        <f t="shared" si="313"/>
        <v>951140.9</v>
      </c>
      <c r="AH273" s="29" t="s">
        <v>1072</v>
      </c>
      <c r="AI273" s="30" t="s">
        <v>422</v>
      </c>
      <c r="AJ273" s="31">
        <f>158718.42+71720.08+35094.89+253530.72</f>
        <v>519064.11</v>
      </c>
      <c r="AK273" s="31">
        <f>13036.61+13677.37+23924.58+31117.83</f>
        <v>81756.390000000014</v>
      </c>
    </row>
    <row r="274" spans="1:37" ht="330.75" x14ac:dyDescent="0.25">
      <c r="A274" s="348" t="s">
        <v>1863</v>
      </c>
      <c r="B274" s="20">
        <v>110309</v>
      </c>
      <c r="C274" s="16">
        <v>304</v>
      </c>
      <c r="D274" s="3" t="s">
        <v>1073</v>
      </c>
      <c r="E274" s="24" t="s">
        <v>165</v>
      </c>
      <c r="F274" s="84" t="s">
        <v>322</v>
      </c>
      <c r="G274" s="23" t="s">
        <v>455</v>
      </c>
      <c r="H274" s="33" t="s">
        <v>456</v>
      </c>
      <c r="I274" s="24" t="s">
        <v>185</v>
      </c>
      <c r="J274" s="25" t="s">
        <v>457</v>
      </c>
      <c r="K274" s="5">
        <v>43217</v>
      </c>
      <c r="L274" s="7">
        <v>43704</v>
      </c>
      <c r="M274" s="4">
        <f t="shared" si="314"/>
        <v>82.304186243827388</v>
      </c>
      <c r="N274" s="3" t="s">
        <v>324</v>
      </c>
      <c r="O274" s="3" t="s">
        <v>425</v>
      </c>
      <c r="P274" s="3" t="s">
        <v>425</v>
      </c>
      <c r="Q274" s="8" t="s">
        <v>326</v>
      </c>
      <c r="R274" s="24" t="s">
        <v>36</v>
      </c>
      <c r="S274" s="2">
        <f t="shared" si="317"/>
        <v>822248.59</v>
      </c>
      <c r="T274" s="2">
        <v>663071.85</v>
      </c>
      <c r="U274" s="2">
        <v>159176.74</v>
      </c>
      <c r="V274" s="2">
        <f t="shared" si="315"/>
        <v>156806.85999999999</v>
      </c>
      <c r="W274" s="2">
        <v>117012.68</v>
      </c>
      <c r="X274" s="2">
        <v>39794.18</v>
      </c>
      <c r="Y274" s="2">
        <f t="shared" si="318"/>
        <v>0</v>
      </c>
      <c r="Z274" s="2">
        <v>0</v>
      </c>
      <c r="AA274" s="2">
        <v>0</v>
      </c>
      <c r="AB274" s="2">
        <f t="shared" si="316"/>
        <v>19980.72</v>
      </c>
      <c r="AC274" s="2">
        <v>15920.09</v>
      </c>
      <c r="AD274" s="2">
        <v>4060.63</v>
      </c>
      <c r="AE274" s="2">
        <f t="shared" si="312"/>
        <v>999036.16999999993</v>
      </c>
      <c r="AF274" s="2">
        <v>0</v>
      </c>
      <c r="AG274" s="2">
        <f t="shared" si="313"/>
        <v>999036.16999999993</v>
      </c>
      <c r="AH274" s="29" t="s">
        <v>586</v>
      </c>
      <c r="AI274" s="30" t="s">
        <v>185</v>
      </c>
      <c r="AJ274" s="31">
        <f>83798.27+102389.01-8104.35+153466.67</f>
        <v>331549.59999999998</v>
      </c>
      <c r="AK274" s="31">
        <f>11201.73+6188.13+8104.35+19616.99</f>
        <v>45111.199999999997</v>
      </c>
    </row>
    <row r="275" spans="1:37" ht="204.75" x14ac:dyDescent="0.25">
      <c r="A275" s="348" t="s">
        <v>1864</v>
      </c>
      <c r="B275" s="20">
        <v>112122</v>
      </c>
      <c r="C275" s="16">
        <v>172</v>
      </c>
      <c r="D275" s="3" t="s">
        <v>171</v>
      </c>
      <c r="E275" s="24" t="s">
        <v>165</v>
      </c>
      <c r="F275" s="84" t="s">
        <v>322</v>
      </c>
      <c r="G275" s="194" t="s">
        <v>423</v>
      </c>
      <c r="H275" s="33" t="s">
        <v>424</v>
      </c>
      <c r="I275" s="24" t="s">
        <v>185</v>
      </c>
      <c r="J275" s="25" t="s">
        <v>1282</v>
      </c>
      <c r="K275" s="5">
        <v>43217</v>
      </c>
      <c r="L275" s="7">
        <v>43704</v>
      </c>
      <c r="M275" s="4">
        <f t="shared" si="314"/>
        <v>82.30418763248349</v>
      </c>
      <c r="N275" s="3" t="s">
        <v>324</v>
      </c>
      <c r="O275" s="3" t="s">
        <v>263</v>
      </c>
      <c r="P275" s="3" t="s">
        <v>421</v>
      </c>
      <c r="Q275" s="8" t="s">
        <v>326</v>
      </c>
      <c r="R275" s="24" t="s">
        <v>36</v>
      </c>
      <c r="S275" s="2">
        <f t="shared" si="317"/>
        <v>773010.27999999991</v>
      </c>
      <c r="T275" s="2">
        <v>623365.43999999994</v>
      </c>
      <c r="U275" s="2">
        <v>149644.84</v>
      </c>
      <c r="V275" s="2">
        <f t="shared" si="315"/>
        <v>147416.85999999999</v>
      </c>
      <c r="W275" s="2">
        <v>110005.65</v>
      </c>
      <c r="X275" s="2">
        <v>37411.21</v>
      </c>
      <c r="Y275" s="2">
        <f t="shared" si="318"/>
        <v>0</v>
      </c>
      <c r="Z275" s="2">
        <v>0</v>
      </c>
      <c r="AA275" s="2">
        <v>0</v>
      </c>
      <c r="AB275" s="2">
        <f t="shared" si="316"/>
        <v>18784.22</v>
      </c>
      <c r="AC275" s="2">
        <v>14966.72</v>
      </c>
      <c r="AD275" s="2">
        <v>3817.5</v>
      </c>
      <c r="AE275" s="2">
        <f t="shared" si="312"/>
        <v>939211.35999999987</v>
      </c>
      <c r="AF275" s="2">
        <v>0</v>
      </c>
      <c r="AG275" s="2">
        <f t="shared" si="313"/>
        <v>939211.35999999987</v>
      </c>
      <c r="AH275" s="29" t="s">
        <v>586</v>
      </c>
      <c r="AI275" s="30" t="s">
        <v>1437</v>
      </c>
      <c r="AJ275" s="31">
        <f>203464.35+52738-9972.73+62266+18526.35+82225+36211.55+59667.9</f>
        <v>505126.42</v>
      </c>
      <c r="AK275" s="31">
        <f>20890.44+10057.4+9972.73+19214.05+7939.81+11378.95</f>
        <v>79453.37999999999</v>
      </c>
    </row>
    <row r="276" spans="1:37" ht="409.5" x14ac:dyDescent="0.25">
      <c r="A276" s="348" t="s">
        <v>1865</v>
      </c>
      <c r="B276" s="20">
        <v>111683</v>
      </c>
      <c r="C276" s="16">
        <v>339</v>
      </c>
      <c r="D276" s="3" t="s">
        <v>1073</v>
      </c>
      <c r="E276" s="24" t="s">
        <v>165</v>
      </c>
      <c r="F276" s="84" t="s">
        <v>322</v>
      </c>
      <c r="G276" s="23" t="s">
        <v>439</v>
      </c>
      <c r="H276" s="23" t="s">
        <v>440</v>
      </c>
      <c r="I276" s="24" t="s">
        <v>185</v>
      </c>
      <c r="J276" s="25" t="s">
        <v>530</v>
      </c>
      <c r="K276" s="5">
        <v>43227</v>
      </c>
      <c r="L276" s="7">
        <v>43715</v>
      </c>
      <c r="M276" s="4">
        <f t="shared" si="314"/>
        <v>82.304184760647772</v>
      </c>
      <c r="N276" s="3" t="s">
        <v>324</v>
      </c>
      <c r="O276" s="3" t="s">
        <v>312</v>
      </c>
      <c r="P276" s="3" t="s">
        <v>312</v>
      </c>
      <c r="Q276" s="8" t="s">
        <v>326</v>
      </c>
      <c r="R276" s="24" t="s">
        <v>36</v>
      </c>
      <c r="S276" s="2">
        <f t="shared" si="317"/>
        <v>791387.51</v>
      </c>
      <c r="T276" s="2">
        <v>638185.07999999996</v>
      </c>
      <c r="U276" s="211">
        <v>153202.43</v>
      </c>
      <c r="V276" s="2">
        <f t="shared" si="315"/>
        <v>150921.51</v>
      </c>
      <c r="W276" s="212">
        <v>112620.9</v>
      </c>
      <c r="X276" s="2">
        <v>38300.61</v>
      </c>
      <c r="Y276" s="2">
        <f t="shared" si="318"/>
        <v>0</v>
      </c>
      <c r="Z276" s="2">
        <v>0</v>
      </c>
      <c r="AA276" s="2">
        <v>0</v>
      </c>
      <c r="AB276" s="2">
        <f t="shared" si="316"/>
        <v>19230.8</v>
      </c>
      <c r="AC276" s="2">
        <v>15322.57</v>
      </c>
      <c r="AD276" s="2">
        <v>3908.23</v>
      </c>
      <c r="AE276" s="2">
        <f t="shared" si="312"/>
        <v>961539.82000000007</v>
      </c>
      <c r="AF276" s="2"/>
      <c r="AG276" s="2">
        <f t="shared" si="313"/>
        <v>961539.82000000007</v>
      </c>
      <c r="AH276" s="29" t="s">
        <v>586</v>
      </c>
      <c r="AI276" s="30" t="s">
        <v>185</v>
      </c>
      <c r="AJ276" s="31">
        <f>96153.98-3298.47-11810.23+94334.22</f>
        <v>175379.5</v>
      </c>
      <c r="AK276" s="31">
        <f>3298.47+11810.23</f>
        <v>15108.699999999999</v>
      </c>
    </row>
    <row r="277" spans="1:37" ht="409.5" x14ac:dyDescent="0.25">
      <c r="A277" s="348" t="s">
        <v>1866</v>
      </c>
      <c r="B277" s="20">
        <v>112332</v>
      </c>
      <c r="C277" s="16">
        <v>351</v>
      </c>
      <c r="D277" s="3" t="s">
        <v>1318</v>
      </c>
      <c r="E277" s="24" t="s">
        <v>165</v>
      </c>
      <c r="F277" s="84" t="s">
        <v>322</v>
      </c>
      <c r="G277" s="77" t="s">
        <v>441</v>
      </c>
      <c r="H277" s="213" t="s">
        <v>442</v>
      </c>
      <c r="I277" s="194" t="s">
        <v>443</v>
      </c>
      <c r="J277" s="25" t="s">
        <v>444</v>
      </c>
      <c r="K277" s="5">
        <v>43227</v>
      </c>
      <c r="L277" s="7">
        <v>43715</v>
      </c>
      <c r="M277" s="4">
        <f t="shared" si="314"/>
        <v>82.803274080218131</v>
      </c>
      <c r="N277" s="3" t="s">
        <v>324</v>
      </c>
      <c r="O277" s="3" t="s">
        <v>994</v>
      </c>
      <c r="P277" s="3" t="s">
        <v>995</v>
      </c>
      <c r="Q277" s="8" t="s">
        <v>326</v>
      </c>
      <c r="R277" s="24" t="s">
        <v>36</v>
      </c>
      <c r="S277" s="2">
        <f>T277+U277</f>
        <v>789905.57000000007</v>
      </c>
      <c r="T277" s="2">
        <v>636990.03</v>
      </c>
      <c r="U277" s="2">
        <v>152915.54</v>
      </c>
      <c r="V277" s="2">
        <f t="shared" si="315"/>
        <v>144969.853</v>
      </c>
      <c r="W277" s="2">
        <v>107893.05</v>
      </c>
      <c r="X277" s="2">
        <v>37076.803</v>
      </c>
      <c r="Y277" s="2">
        <f t="shared" si="318"/>
        <v>0</v>
      </c>
      <c r="Z277" s="2">
        <v>0</v>
      </c>
      <c r="AA277" s="2">
        <v>0</v>
      </c>
      <c r="AB277" s="2">
        <f t="shared" si="316"/>
        <v>19079.09</v>
      </c>
      <c r="AC277" s="2">
        <v>15201.708000000001</v>
      </c>
      <c r="AD277" s="2">
        <v>3877.3820000000001</v>
      </c>
      <c r="AE277" s="2">
        <f t="shared" si="312"/>
        <v>953954.51300000004</v>
      </c>
      <c r="AF277" s="2">
        <v>0</v>
      </c>
      <c r="AG277" s="2">
        <f t="shared" si="313"/>
        <v>953954.51300000004</v>
      </c>
      <c r="AH277" s="29" t="s">
        <v>586</v>
      </c>
      <c r="AI277" s="30" t="s">
        <v>185</v>
      </c>
      <c r="AJ277" s="31">
        <f>103189.19-10344.17+64585.92+101525.85+67050.25</f>
        <v>326007.04000000004</v>
      </c>
      <c r="AK277" s="31">
        <f>6891.88+10344.17+32148.26</f>
        <v>49384.31</v>
      </c>
    </row>
    <row r="278" spans="1:37" ht="299.25" x14ac:dyDescent="0.25">
      <c r="A278" s="348" t="s">
        <v>1867</v>
      </c>
      <c r="B278" s="20">
        <v>115657</v>
      </c>
      <c r="C278" s="16">
        <v>390</v>
      </c>
      <c r="D278" s="3" t="s">
        <v>173</v>
      </c>
      <c r="E278" s="24" t="s">
        <v>165</v>
      </c>
      <c r="F278" s="22" t="s">
        <v>446</v>
      </c>
      <c r="G278" s="23" t="s">
        <v>445</v>
      </c>
      <c r="H278" s="23" t="s">
        <v>42</v>
      </c>
      <c r="I278" s="3" t="s">
        <v>447</v>
      </c>
      <c r="J278" s="25" t="s">
        <v>448</v>
      </c>
      <c r="K278" s="5">
        <v>43223</v>
      </c>
      <c r="L278" s="7">
        <v>44015</v>
      </c>
      <c r="M278" s="4">
        <f t="shared" si="314"/>
        <v>83.983862800906138</v>
      </c>
      <c r="N278" s="3" t="s">
        <v>324</v>
      </c>
      <c r="O278" s="3" t="s">
        <v>363</v>
      </c>
      <c r="P278" s="3" t="s">
        <v>363</v>
      </c>
      <c r="Q278" s="8" t="s">
        <v>157</v>
      </c>
      <c r="R278" s="24" t="s">
        <v>36</v>
      </c>
      <c r="S278" s="2">
        <f t="shared" si="317"/>
        <v>5309367.55</v>
      </c>
      <c r="T278" s="2">
        <v>4281542.3499999996</v>
      </c>
      <c r="U278" s="2">
        <v>1027825.2</v>
      </c>
      <c r="V278" s="2">
        <f t="shared" si="315"/>
        <v>0</v>
      </c>
      <c r="W278" s="2">
        <v>0</v>
      </c>
      <c r="X278" s="2">
        <v>0</v>
      </c>
      <c r="Y278" s="2">
        <f t="shared" si="318"/>
        <v>1012522.6000000001</v>
      </c>
      <c r="Z278" s="2">
        <v>755566.3</v>
      </c>
      <c r="AA278" s="2">
        <v>256956.3</v>
      </c>
      <c r="AB278" s="2">
        <f t="shared" si="316"/>
        <v>0</v>
      </c>
      <c r="AC278" s="2">
        <v>0</v>
      </c>
      <c r="AD278" s="2">
        <v>0</v>
      </c>
      <c r="AE278" s="2">
        <f t="shared" si="312"/>
        <v>6321890.1500000004</v>
      </c>
      <c r="AF278" s="2">
        <v>0</v>
      </c>
      <c r="AG278" s="2">
        <f t="shared" si="313"/>
        <v>6321890.1500000004</v>
      </c>
      <c r="AH278" s="29" t="s">
        <v>586</v>
      </c>
      <c r="AI278" s="30" t="s">
        <v>1039</v>
      </c>
      <c r="AJ278" s="31">
        <f>353113.65+235442.42+97604.52</f>
        <v>686160.59000000008</v>
      </c>
      <c r="AK278" s="31">
        <v>0</v>
      </c>
    </row>
    <row r="279" spans="1:37" ht="220.5" x14ac:dyDescent="0.25">
      <c r="A279" s="348" t="s">
        <v>1868</v>
      </c>
      <c r="B279" s="20">
        <v>121858</v>
      </c>
      <c r="C279" s="16">
        <v>50</v>
      </c>
      <c r="D279" s="3" t="s">
        <v>170</v>
      </c>
      <c r="E279" s="24" t="s">
        <v>165</v>
      </c>
      <c r="F279" s="84" t="s">
        <v>128</v>
      </c>
      <c r="G279" s="33" t="s">
        <v>449</v>
      </c>
      <c r="H279" s="33" t="s">
        <v>454</v>
      </c>
      <c r="I279" s="24" t="s">
        <v>349</v>
      </c>
      <c r="J279" s="25" t="s">
        <v>450</v>
      </c>
      <c r="K279" s="5">
        <v>43229</v>
      </c>
      <c r="L279" s="7">
        <v>44144</v>
      </c>
      <c r="M279" s="4">
        <f t="shared" si="314"/>
        <v>83.983862841119134</v>
      </c>
      <c r="N279" s="3" t="s">
        <v>324</v>
      </c>
      <c r="O279" s="3" t="s">
        <v>363</v>
      </c>
      <c r="P279" s="3" t="s">
        <v>363</v>
      </c>
      <c r="Q279" s="8" t="s">
        <v>157</v>
      </c>
      <c r="R279" s="3" t="s">
        <v>36</v>
      </c>
      <c r="S279" s="2">
        <f t="shared" si="317"/>
        <v>9905083.2300000004</v>
      </c>
      <c r="T279" s="2">
        <v>7987586.6500000004</v>
      </c>
      <c r="U279" s="2">
        <v>1917496.58</v>
      </c>
      <c r="V279" s="2">
        <f t="shared" si="315"/>
        <v>0</v>
      </c>
      <c r="W279" s="2">
        <v>0</v>
      </c>
      <c r="X279" s="2">
        <v>0</v>
      </c>
      <c r="Y279" s="2">
        <f t="shared" si="318"/>
        <v>1888948.2600000002</v>
      </c>
      <c r="Z279" s="27">
        <v>1409574.12</v>
      </c>
      <c r="AA279" s="2">
        <v>479374.14</v>
      </c>
      <c r="AB279" s="2">
        <f t="shared" si="316"/>
        <v>0</v>
      </c>
      <c r="AC279" s="2">
        <v>0</v>
      </c>
      <c r="AD279" s="2">
        <v>0</v>
      </c>
      <c r="AE279" s="2">
        <f t="shared" ref="AE279:AE281" si="319">S279+V279+Y279+AB279</f>
        <v>11794031.49</v>
      </c>
      <c r="AF279" s="2">
        <v>0</v>
      </c>
      <c r="AG279" s="2">
        <f t="shared" ref="AG279" si="320">AE279+AF279</f>
        <v>11794031.49</v>
      </c>
      <c r="AH279" s="29" t="s">
        <v>586</v>
      </c>
      <c r="AI279" s="30" t="s">
        <v>185</v>
      </c>
      <c r="AJ279" s="31">
        <f>46758.01+81807.84+85847.46+78522.48</f>
        <v>292935.78999999998</v>
      </c>
      <c r="AK279" s="31">
        <v>0</v>
      </c>
    </row>
    <row r="280" spans="1:37" ht="409.5" x14ac:dyDescent="0.25">
      <c r="A280" s="348" t="s">
        <v>1869</v>
      </c>
      <c r="B280" s="20">
        <v>116172</v>
      </c>
      <c r="C280" s="16">
        <v>391</v>
      </c>
      <c r="D280" s="3" t="s">
        <v>170</v>
      </c>
      <c r="E280" s="24" t="s">
        <v>165</v>
      </c>
      <c r="F280" s="22" t="s">
        <v>446</v>
      </c>
      <c r="G280" s="79" t="s">
        <v>459</v>
      </c>
      <c r="H280" s="33" t="s">
        <v>460</v>
      </c>
      <c r="I280" s="77" t="s">
        <v>461</v>
      </c>
      <c r="J280" s="116" t="s">
        <v>531</v>
      </c>
      <c r="K280" s="5">
        <v>43230</v>
      </c>
      <c r="L280" s="7">
        <v>44022</v>
      </c>
      <c r="M280" s="4">
        <f t="shared" si="314"/>
        <v>83.983862781809307</v>
      </c>
      <c r="N280" s="3" t="s">
        <v>324</v>
      </c>
      <c r="O280" s="3" t="s">
        <v>363</v>
      </c>
      <c r="P280" s="3" t="s">
        <v>363</v>
      </c>
      <c r="Q280" s="8" t="s">
        <v>157</v>
      </c>
      <c r="R280" s="3" t="s">
        <v>36</v>
      </c>
      <c r="S280" s="2">
        <f>T280+U280</f>
        <v>6564977.1999999993</v>
      </c>
      <c r="T280" s="2">
        <v>5294082.1399999997</v>
      </c>
      <c r="U280" s="2">
        <v>1270895.06</v>
      </c>
      <c r="V280" s="2">
        <f t="shared" si="315"/>
        <v>0</v>
      </c>
      <c r="W280" s="2">
        <v>0</v>
      </c>
      <c r="X280" s="2">
        <v>0</v>
      </c>
      <c r="Y280" s="2">
        <f t="shared" si="318"/>
        <v>1251973.56</v>
      </c>
      <c r="Z280" s="2">
        <v>934249.79</v>
      </c>
      <c r="AA280" s="2">
        <v>317723.77</v>
      </c>
      <c r="AB280" s="2">
        <f t="shared" si="316"/>
        <v>0</v>
      </c>
      <c r="AC280" s="2">
        <v>0</v>
      </c>
      <c r="AD280" s="2"/>
      <c r="AE280" s="2">
        <f t="shared" si="319"/>
        <v>7816950.7599999998</v>
      </c>
      <c r="AF280" s="2">
        <v>0</v>
      </c>
      <c r="AG280" s="2">
        <f t="shared" si="313"/>
        <v>7816950.7599999998</v>
      </c>
      <c r="AH280" s="29" t="s">
        <v>586</v>
      </c>
      <c r="AI280" s="30" t="s">
        <v>185</v>
      </c>
      <c r="AJ280" s="31">
        <f>25605.84+62835.23+42330.38</f>
        <v>130771.45000000001</v>
      </c>
      <c r="AK280" s="31">
        <v>0</v>
      </c>
    </row>
    <row r="281" spans="1:37" ht="299.25" x14ac:dyDescent="0.25">
      <c r="A281" s="348" t="s">
        <v>1870</v>
      </c>
      <c r="B281" s="20">
        <v>111701</v>
      </c>
      <c r="C281" s="16">
        <v>251</v>
      </c>
      <c r="D281" s="3" t="s">
        <v>1318</v>
      </c>
      <c r="E281" s="24" t="s">
        <v>165</v>
      </c>
      <c r="F281" s="84" t="s">
        <v>322</v>
      </c>
      <c r="G281" s="77" t="s">
        <v>462</v>
      </c>
      <c r="H281" s="214" t="s">
        <v>463</v>
      </c>
      <c r="I281" s="214" t="s">
        <v>464</v>
      </c>
      <c r="J281" s="215" t="s">
        <v>532</v>
      </c>
      <c r="K281" s="5">
        <v>43231</v>
      </c>
      <c r="L281" s="7">
        <v>43780</v>
      </c>
      <c r="M281" s="4">
        <f t="shared" ref="M281" si="321">S281/AE281*100</f>
        <v>82.304184042493461</v>
      </c>
      <c r="N281" s="3" t="s">
        <v>324</v>
      </c>
      <c r="O281" s="3" t="s">
        <v>270</v>
      </c>
      <c r="P281" s="3" t="s">
        <v>270</v>
      </c>
      <c r="Q281" s="8" t="s">
        <v>326</v>
      </c>
      <c r="R281" s="24" t="s">
        <v>36</v>
      </c>
      <c r="S281" s="2">
        <f t="shared" ref="S281" si="322">T281+U281</f>
        <v>783324.87</v>
      </c>
      <c r="T281" s="2">
        <v>631683.26</v>
      </c>
      <c r="U281" s="2">
        <v>151641.60999999999</v>
      </c>
      <c r="V281" s="2">
        <f t="shared" ref="V281" si="323">W281+X281</f>
        <v>149383.93</v>
      </c>
      <c r="W281" s="2">
        <v>111473.52</v>
      </c>
      <c r="X281" s="2">
        <v>37910.410000000003</v>
      </c>
      <c r="Y281" s="2">
        <f t="shared" ref="Y281" si="324">Z281+AA281</f>
        <v>0</v>
      </c>
      <c r="Z281" s="2">
        <v>0</v>
      </c>
      <c r="AA281" s="2">
        <v>0</v>
      </c>
      <c r="AB281" s="2">
        <f t="shared" ref="AB281" si="325">AC281+AD281</f>
        <v>19034.879999999997</v>
      </c>
      <c r="AC281" s="2">
        <v>15166.47</v>
      </c>
      <c r="AD281" s="2">
        <v>3868.41</v>
      </c>
      <c r="AE281" s="2">
        <f t="shared" si="319"/>
        <v>951743.68</v>
      </c>
      <c r="AF281" s="2">
        <v>4162.62</v>
      </c>
      <c r="AG281" s="2">
        <f t="shared" ref="AG281" si="326">AE281+AF281</f>
        <v>955906.3</v>
      </c>
      <c r="AH281" s="29" t="s">
        <v>586</v>
      </c>
      <c r="AI281" s="30" t="s">
        <v>185</v>
      </c>
      <c r="AJ281" s="31">
        <f>95051.96+39484.25+23955.55-8000</f>
        <v>150491.76</v>
      </c>
      <c r="AK281" s="31">
        <f>15075.6+9055.47+4568.44</f>
        <v>28699.51</v>
      </c>
    </row>
    <row r="282" spans="1:37" ht="330" x14ac:dyDescent="0.25">
      <c r="A282" s="348" t="s">
        <v>1871</v>
      </c>
      <c r="B282" s="20">
        <v>111284</v>
      </c>
      <c r="C282" s="16">
        <v>182</v>
      </c>
      <c r="D282" s="3" t="s">
        <v>171</v>
      </c>
      <c r="E282" s="24" t="s">
        <v>165</v>
      </c>
      <c r="F282" s="84" t="s">
        <v>322</v>
      </c>
      <c r="G282" s="77" t="s">
        <v>469</v>
      </c>
      <c r="H282" s="3" t="s">
        <v>470</v>
      </c>
      <c r="I282" s="216"/>
      <c r="J282" s="66" t="s">
        <v>533</v>
      </c>
      <c r="K282" s="5">
        <v>43236</v>
      </c>
      <c r="L282" s="7">
        <v>43724</v>
      </c>
      <c r="M282" s="4">
        <f t="shared" si="314"/>
        <v>82.304186150868873</v>
      </c>
      <c r="N282" s="3" t="s">
        <v>324</v>
      </c>
      <c r="O282" s="3" t="s">
        <v>222</v>
      </c>
      <c r="P282" s="3" t="s">
        <v>471</v>
      </c>
      <c r="Q282" s="8" t="s">
        <v>326</v>
      </c>
      <c r="R282" s="24" t="s">
        <v>36</v>
      </c>
      <c r="S282" s="2">
        <f t="shared" si="317"/>
        <v>820224.26</v>
      </c>
      <c r="T282" s="2">
        <v>661439.4</v>
      </c>
      <c r="U282" s="2">
        <v>158784.85999999999</v>
      </c>
      <c r="V282" s="2">
        <f t="shared" si="315"/>
        <v>156420.81</v>
      </c>
      <c r="W282" s="2">
        <v>116724.6</v>
      </c>
      <c r="X282" s="2">
        <v>39696.21</v>
      </c>
      <c r="Y282" s="2">
        <f t="shared" si="318"/>
        <v>0</v>
      </c>
      <c r="Z282" s="2"/>
      <c r="AA282" s="2"/>
      <c r="AB282" s="2">
        <f t="shared" si="316"/>
        <v>19931.53</v>
      </c>
      <c r="AC282" s="2">
        <v>15880.9</v>
      </c>
      <c r="AD282" s="2">
        <v>4050.63</v>
      </c>
      <c r="AE282" s="2">
        <f t="shared" si="312"/>
        <v>996576.60000000009</v>
      </c>
      <c r="AF282" s="2"/>
      <c r="AG282" s="2">
        <f t="shared" si="313"/>
        <v>996576.60000000009</v>
      </c>
      <c r="AH282" s="29" t="s">
        <v>586</v>
      </c>
      <c r="AI282" s="30" t="s">
        <v>185</v>
      </c>
      <c r="AJ282" s="31">
        <f>89946.09+50286.21+28089.49+78330.42+133065.34+69728.09</f>
        <v>449445.6399999999</v>
      </c>
      <c r="AK282" s="31">
        <f>8053.91+20294.8+25376.22+13297.51</f>
        <v>67022.44</v>
      </c>
    </row>
    <row r="283" spans="1:37" ht="240" x14ac:dyDescent="0.25">
      <c r="A283" s="348" t="s">
        <v>1872</v>
      </c>
      <c r="B283" s="20">
        <v>116994</v>
      </c>
      <c r="C283" s="16">
        <v>399</v>
      </c>
      <c r="D283" s="3" t="s">
        <v>170</v>
      </c>
      <c r="E283" s="24" t="s">
        <v>165</v>
      </c>
      <c r="F283" s="22" t="s">
        <v>446</v>
      </c>
      <c r="G283" s="77" t="s">
        <v>472</v>
      </c>
      <c r="H283" s="23" t="s">
        <v>87</v>
      </c>
      <c r="I283" s="111" t="s">
        <v>349</v>
      </c>
      <c r="J283" s="66" t="s">
        <v>534</v>
      </c>
      <c r="K283" s="5">
        <v>43236</v>
      </c>
      <c r="L283" s="7">
        <v>44028</v>
      </c>
      <c r="M283" s="4">
        <f t="shared" si="314"/>
        <v>83.983862868396045</v>
      </c>
      <c r="N283" s="3" t="s">
        <v>324</v>
      </c>
      <c r="O283" s="3" t="s">
        <v>156</v>
      </c>
      <c r="P283" s="3" t="s">
        <v>156</v>
      </c>
      <c r="Q283" s="8" t="s">
        <v>157</v>
      </c>
      <c r="R283" s="24" t="s">
        <v>36</v>
      </c>
      <c r="S283" s="2">
        <f>T283+U283</f>
        <v>6570135.6299999999</v>
      </c>
      <c r="T283" s="2">
        <v>5298241.96</v>
      </c>
      <c r="U283" s="2">
        <v>1271893.67</v>
      </c>
      <c r="V283" s="2">
        <f>W283+X283</f>
        <v>0</v>
      </c>
      <c r="W283" s="2">
        <v>0</v>
      </c>
      <c r="X283" s="2">
        <v>0</v>
      </c>
      <c r="Y283" s="2">
        <f>Z283+AA283</f>
        <v>1252957.29</v>
      </c>
      <c r="Z283" s="2">
        <v>934983.88</v>
      </c>
      <c r="AA283" s="2">
        <v>317973.40999999997</v>
      </c>
      <c r="AB283" s="2">
        <f t="shared" si="316"/>
        <v>0</v>
      </c>
      <c r="AC283" s="2">
        <v>0</v>
      </c>
      <c r="AD283" s="2">
        <v>0</v>
      </c>
      <c r="AE283" s="2">
        <f t="shared" si="312"/>
        <v>7823092.9199999999</v>
      </c>
      <c r="AF283" s="2">
        <v>0</v>
      </c>
      <c r="AG283" s="2">
        <f t="shared" si="313"/>
        <v>7823092.9199999999</v>
      </c>
      <c r="AH283" s="29" t="s">
        <v>586</v>
      </c>
      <c r="AI283" s="30"/>
      <c r="AJ283" s="31">
        <f>4248.74+31166.22+89220.52</f>
        <v>124635.48000000001</v>
      </c>
      <c r="AK283" s="31">
        <v>0</v>
      </c>
    </row>
    <row r="284" spans="1:37" ht="300" x14ac:dyDescent="0.25">
      <c r="A284" s="348" t="s">
        <v>1873</v>
      </c>
      <c r="B284" s="20">
        <v>112921</v>
      </c>
      <c r="C284" s="16">
        <v>288</v>
      </c>
      <c r="D284" s="3" t="s">
        <v>1073</v>
      </c>
      <c r="E284" s="24" t="s">
        <v>165</v>
      </c>
      <c r="F284" s="22" t="s">
        <v>322</v>
      </c>
      <c r="G284" s="79" t="s">
        <v>474</v>
      </c>
      <c r="H284" s="23" t="s">
        <v>473</v>
      </c>
      <c r="I284" s="24" t="s">
        <v>475</v>
      </c>
      <c r="J284" s="66" t="s">
        <v>476</v>
      </c>
      <c r="K284" s="5">
        <v>43236</v>
      </c>
      <c r="L284" s="7">
        <v>43724</v>
      </c>
      <c r="M284" s="4">
        <f t="shared" si="314"/>
        <v>82.304184477468439</v>
      </c>
      <c r="N284" s="3" t="s">
        <v>324</v>
      </c>
      <c r="O284" s="3" t="s">
        <v>745</v>
      </c>
      <c r="P284" s="3" t="s">
        <v>745</v>
      </c>
      <c r="Q284" s="8" t="s">
        <v>326</v>
      </c>
      <c r="R284" s="24" t="s">
        <v>36</v>
      </c>
      <c r="S284" s="2">
        <f>T284+U284</f>
        <v>692528.19000000006</v>
      </c>
      <c r="T284" s="2">
        <v>558463.68000000005</v>
      </c>
      <c r="U284" s="2">
        <v>134064.51</v>
      </c>
      <c r="V284" s="2">
        <f>W284+X284</f>
        <v>132068.54999999999</v>
      </c>
      <c r="W284" s="2">
        <v>98552.39</v>
      </c>
      <c r="X284" s="2">
        <v>33516.160000000003</v>
      </c>
      <c r="Y284" s="2">
        <f>Z284+AA284</f>
        <v>0</v>
      </c>
      <c r="Z284" s="2">
        <v>0</v>
      </c>
      <c r="AA284" s="2">
        <v>0</v>
      </c>
      <c r="AB284" s="2">
        <f t="shared" si="316"/>
        <v>16828.509999999998</v>
      </c>
      <c r="AC284" s="2">
        <v>13408.49</v>
      </c>
      <c r="AD284" s="2">
        <v>3420.02</v>
      </c>
      <c r="AE284" s="2">
        <f t="shared" ref="AE284:AE302" si="327">S284+V284+Y284+AB284</f>
        <v>841425.25</v>
      </c>
      <c r="AF284" s="2">
        <v>0</v>
      </c>
      <c r="AG284" s="2">
        <f t="shared" si="313"/>
        <v>841425.25</v>
      </c>
      <c r="AH284" s="29" t="s">
        <v>586</v>
      </c>
      <c r="AI284" s="30" t="s">
        <v>1436</v>
      </c>
      <c r="AJ284" s="31">
        <f>59000+45054.47-7168.82+43487.54+82400+27588.29+82400</f>
        <v>332761.48</v>
      </c>
      <c r="AK284" s="31">
        <f>15760.94+11008.93+20975.3</f>
        <v>47745.17</v>
      </c>
    </row>
    <row r="285" spans="1:37" ht="150" x14ac:dyDescent="0.25">
      <c r="A285" s="348" t="s">
        <v>1874</v>
      </c>
      <c r="B285" s="20">
        <v>122235</v>
      </c>
      <c r="C285" s="16">
        <v>60</v>
      </c>
      <c r="D285" s="3" t="s">
        <v>168</v>
      </c>
      <c r="E285" s="24" t="s">
        <v>169</v>
      </c>
      <c r="F285" s="22" t="s">
        <v>142</v>
      </c>
      <c r="G285" s="79" t="s">
        <v>477</v>
      </c>
      <c r="H285" s="3" t="s">
        <v>478</v>
      </c>
      <c r="I285" s="24" t="s">
        <v>185</v>
      </c>
      <c r="J285" s="66" t="s">
        <v>479</v>
      </c>
      <c r="K285" s="5">
        <v>43236</v>
      </c>
      <c r="L285" s="7">
        <v>44302</v>
      </c>
      <c r="M285" s="4">
        <f>S285/AE285*100</f>
        <v>83.983862861012312</v>
      </c>
      <c r="N285" s="3" t="s">
        <v>324</v>
      </c>
      <c r="O285" s="3" t="s">
        <v>312</v>
      </c>
      <c r="P285" s="3" t="s">
        <v>312</v>
      </c>
      <c r="Q285" s="8" t="s">
        <v>157</v>
      </c>
      <c r="R285" s="3" t="s">
        <v>36</v>
      </c>
      <c r="S285" s="2">
        <f>T285+U285</f>
        <v>9422880.1500000004</v>
      </c>
      <c r="T285" s="2">
        <v>7598731.8700000001</v>
      </c>
      <c r="U285" s="2">
        <v>1824148.28</v>
      </c>
      <c r="V285" s="2">
        <f t="shared" si="315"/>
        <v>0</v>
      </c>
      <c r="W285" s="2"/>
      <c r="X285" s="2"/>
      <c r="Y285" s="2">
        <f t="shared" si="318"/>
        <v>1796989.75</v>
      </c>
      <c r="Z285" s="2">
        <v>1340952.68</v>
      </c>
      <c r="AA285" s="2">
        <v>456037.07</v>
      </c>
      <c r="AB285" s="2">
        <f>AC285+AD285</f>
        <v>0</v>
      </c>
      <c r="AC285" s="2"/>
      <c r="AD285" s="2"/>
      <c r="AE285" s="2">
        <f t="shared" si="327"/>
        <v>11219869.9</v>
      </c>
      <c r="AF285" s="2">
        <v>0</v>
      </c>
      <c r="AG285" s="2">
        <f>AE285+AF285</f>
        <v>11219869.9</v>
      </c>
      <c r="AH285" s="29" t="s">
        <v>586</v>
      </c>
      <c r="AI285" s="30" t="s">
        <v>185</v>
      </c>
      <c r="AJ285" s="31">
        <f>177000+30000-137868.19+11251.1+63755.9</f>
        <v>144138.81</v>
      </c>
      <c r="AK285" s="31">
        <v>0</v>
      </c>
    </row>
    <row r="286" spans="1:37" ht="225" x14ac:dyDescent="0.25">
      <c r="A286" s="348" t="s">
        <v>1875</v>
      </c>
      <c r="B286" s="20">
        <v>113205</v>
      </c>
      <c r="C286" s="16">
        <v>286</v>
      </c>
      <c r="D286" s="3" t="s">
        <v>1073</v>
      </c>
      <c r="E286" s="24" t="s">
        <v>165</v>
      </c>
      <c r="F286" s="22" t="s">
        <v>322</v>
      </c>
      <c r="G286" s="79" t="s">
        <v>480</v>
      </c>
      <c r="H286" s="23" t="s">
        <v>481</v>
      </c>
      <c r="I286" s="24" t="s">
        <v>482</v>
      </c>
      <c r="J286" s="66" t="s">
        <v>535</v>
      </c>
      <c r="K286" s="5">
        <v>43243</v>
      </c>
      <c r="L286" s="7">
        <v>43669</v>
      </c>
      <c r="M286" s="4">
        <f t="shared" si="314"/>
        <v>82.304187102769717</v>
      </c>
      <c r="N286" s="3" t="s">
        <v>324</v>
      </c>
      <c r="O286" s="3" t="s">
        <v>312</v>
      </c>
      <c r="P286" s="3" t="s">
        <v>312</v>
      </c>
      <c r="Q286" s="8" t="s">
        <v>157</v>
      </c>
      <c r="R286" s="3" t="s">
        <v>36</v>
      </c>
      <c r="S286" s="2">
        <f t="shared" si="317"/>
        <v>750653.75</v>
      </c>
      <c r="T286" s="2">
        <v>605336.84</v>
      </c>
      <c r="U286" s="2">
        <v>145316.91</v>
      </c>
      <c r="V286" s="2">
        <f t="shared" si="315"/>
        <v>143153.35999999999</v>
      </c>
      <c r="W286" s="2">
        <v>106824.15</v>
      </c>
      <c r="X286" s="2">
        <v>36329.21</v>
      </c>
      <c r="Y286" s="2">
        <f t="shared" si="318"/>
        <v>0</v>
      </c>
      <c r="Z286" s="2">
        <v>0</v>
      </c>
      <c r="AA286" s="2">
        <v>0</v>
      </c>
      <c r="AB286" s="2">
        <f t="shared" ref="AB286:AB302" si="328">AC286+AD286</f>
        <v>18240.96</v>
      </c>
      <c r="AC286" s="2">
        <v>14533.9</v>
      </c>
      <c r="AD286" s="2">
        <v>3707.06</v>
      </c>
      <c r="AE286" s="2">
        <f t="shared" si="327"/>
        <v>912048.07</v>
      </c>
      <c r="AF286" s="2">
        <v>0</v>
      </c>
      <c r="AG286" s="2">
        <f t="shared" si="313"/>
        <v>912048.07</v>
      </c>
      <c r="AH286" s="29" t="s">
        <v>586</v>
      </c>
      <c r="AI286" s="30"/>
      <c r="AJ286" s="31">
        <f>80989.07+73791.77+71604.65-11418.94+71296.47+10538.9+120276.34</f>
        <v>417078.26</v>
      </c>
      <c r="AK286" s="31">
        <f>12124.41+13655.35+11418.94+6176.71+18770.39</f>
        <v>62145.8</v>
      </c>
    </row>
    <row r="287" spans="1:37" ht="409.5" x14ac:dyDescent="0.25">
      <c r="A287" s="348" t="s">
        <v>1876</v>
      </c>
      <c r="B287" s="20">
        <v>111084</v>
      </c>
      <c r="C287" s="16">
        <v>343</v>
      </c>
      <c r="D287" s="3" t="s">
        <v>1073</v>
      </c>
      <c r="E287" s="24" t="s">
        <v>165</v>
      </c>
      <c r="F287" s="22" t="s">
        <v>322</v>
      </c>
      <c r="G287" s="217" t="s">
        <v>483</v>
      </c>
      <c r="H287" s="218" t="s">
        <v>484</v>
      </c>
      <c r="I287" s="24" t="s">
        <v>483</v>
      </c>
      <c r="J287" s="66" t="s">
        <v>536</v>
      </c>
      <c r="K287" s="5">
        <v>43243</v>
      </c>
      <c r="L287" s="7">
        <v>43669</v>
      </c>
      <c r="M287" s="4">
        <f t="shared" si="314"/>
        <v>82.304185103544512</v>
      </c>
      <c r="N287" s="3" t="s">
        <v>324</v>
      </c>
      <c r="O287" s="3" t="s">
        <v>156</v>
      </c>
      <c r="P287" s="3" t="s">
        <v>156</v>
      </c>
      <c r="Q287" s="8" t="s">
        <v>326</v>
      </c>
      <c r="R287" s="3" t="s">
        <v>36</v>
      </c>
      <c r="S287" s="2">
        <f t="shared" si="317"/>
        <v>698744.26</v>
      </c>
      <c r="T287" s="219">
        <v>563476.37</v>
      </c>
      <c r="U287" s="219">
        <v>135267.89000000001</v>
      </c>
      <c r="V287" s="2">
        <f t="shared" si="315"/>
        <v>133253.97999999998</v>
      </c>
      <c r="W287" s="219">
        <v>99437.01</v>
      </c>
      <c r="X287" s="220">
        <v>33816.97</v>
      </c>
      <c r="Y287" s="2">
        <f t="shared" si="318"/>
        <v>0</v>
      </c>
      <c r="Z287" s="2"/>
      <c r="AA287" s="2"/>
      <c r="AB287" s="2">
        <f t="shared" si="328"/>
        <v>16979.560000000001</v>
      </c>
      <c r="AC287" s="219">
        <v>13528.85</v>
      </c>
      <c r="AD287" s="221">
        <v>3450.71</v>
      </c>
      <c r="AE287" s="2">
        <f t="shared" si="327"/>
        <v>848977.8</v>
      </c>
      <c r="AF287" s="2">
        <v>0</v>
      </c>
      <c r="AG287" s="2">
        <f t="shared" si="313"/>
        <v>848977.8</v>
      </c>
      <c r="AH287" s="29" t="s">
        <v>586</v>
      </c>
      <c r="AI287" s="30"/>
      <c r="AJ287" s="31">
        <f>81482.69+89509.54+12342.66+79890.06+56608.82</f>
        <v>319833.76999999996</v>
      </c>
      <c r="AK287" s="31">
        <f>12927.23+3853.32+17589.26+10795.58</f>
        <v>45165.39</v>
      </c>
    </row>
    <row r="288" spans="1:37" ht="409.5" x14ac:dyDescent="0.25">
      <c r="A288" s="348" t="s">
        <v>1877</v>
      </c>
      <c r="B288" s="20">
        <v>110679</v>
      </c>
      <c r="C288" s="16">
        <v>197</v>
      </c>
      <c r="D288" s="3" t="s">
        <v>171</v>
      </c>
      <c r="E288" s="24" t="s">
        <v>165</v>
      </c>
      <c r="F288" s="22" t="s">
        <v>322</v>
      </c>
      <c r="G288" s="222" t="s">
        <v>485</v>
      </c>
      <c r="H288" s="33" t="s">
        <v>488</v>
      </c>
      <c r="I288" s="24" t="s">
        <v>185</v>
      </c>
      <c r="J288" s="25" t="s">
        <v>537</v>
      </c>
      <c r="K288" s="5">
        <v>43243</v>
      </c>
      <c r="L288" s="7">
        <v>43731</v>
      </c>
      <c r="M288" s="4">
        <f t="shared" si="314"/>
        <v>82.304185789589326</v>
      </c>
      <c r="N288" s="3" t="s">
        <v>324</v>
      </c>
      <c r="O288" s="3" t="s">
        <v>486</v>
      </c>
      <c r="P288" s="3" t="s">
        <v>487</v>
      </c>
      <c r="Q288" s="8" t="s">
        <v>326</v>
      </c>
      <c r="R288" s="3" t="s">
        <v>36</v>
      </c>
      <c r="S288" s="2">
        <f t="shared" si="317"/>
        <v>763944.72</v>
      </c>
      <c r="T288" s="2">
        <v>616054.86</v>
      </c>
      <c r="U288" s="2">
        <v>147889.85999999999</v>
      </c>
      <c r="V288" s="2">
        <f t="shared" si="315"/>
        <v>145688.03</v>
      </c>
      <c r="W288" s="2">
        <v>108715.56</v>
      </c>
      <c r="X288" s="2">
        <v>36972.47</v>
      </c>
      <c r="Y288" s="2">
        <f t="shared" si="318"/>
        <v>0</v>
      </c>
      <c r="Z288" s="2"/>
      <c r="AA288" s="2"/>
      <c r="AB288" s="2">
        <f t="shared" si="328"/>
        <v>18563.93</v>
      </c>
      <c r="AC288" s="2">
        <v>14791.23</v>
      </c>
      <c r="AD288" s="2">
        <v>3772.7</v>
      </c>
      <c r="AE288" s="2">
        <f t="shared" si="327"/>
        <v>928196.68</v>
      </c>
      <c r="AF288" s="2">
        <v>0</v>
      </c>
      <c r="AG288" s="2">
        <f t="shared" si="313"/>
        <v>928196.68</v>
      </c>
      <c r="AH288" s="29" t="s">
        <v>586</v>
      </c>
      <c r="AI288" s="223" t="s">
        <v>185</v>
      </c>
      <c r="AJ288" s="31">
        <f>155523.41+47135.61-8611.45+92000+71209.41-4305.28</f>
        <v>352951.69999999995</v>
      </c>
      <c r="AK288" s="31">
        <f>11958.04+8988.99+16058.8+13579.97+16723.79</f>
        <v>67309.59</v>
      </c>
    </row>
    <row r="289" spans="1:37" ht="299.25" x14ac:dyDescent="0.25">
      <c r="A289" s="348" t="s">
        <v>1878</v>
      </c>
      <c r="B289" s="20">
        <v>112787</v>
      </c>
      <c r="C289" s="16">
        <v>276</v>
      </c>
      <c r="D289" s="3" t="s">
        <v>1073</v>
      </c>
      <c r="E289" s="24" t="s">
        <v>165</v>
      </c>
      <c r="F289" s="22" t="s">
        <v>322</v>
      </c>
      <c r="G289" s="224" t="s">
        <v>489</v>
      </c>
      <c r="H289" s="224" t="s">
        <v>490</v>
      </c>
      <c r="I289" s="24" t="s">
        <v>492</v>
      </c>
      <c r="J289" s="25" t="s">
        <v>493</v>
      </c>
      <c r="K289" s="5">
        <v>43243</v>
      </c>
      <c r="L289" s="7">
        <v>43731</v>
      </c>
      <c r="M289" s="4">
        <f t="shared" si="314"/>
        <v>82.304187377441963</v>
      </c>
      <c r="N289" s="3" t="s">
        <v>324</v>
      </c>
      <c r="O289" s="3" t="s">
        <v>491</v>
      </c>
      <c r="P289" s="3" t="s">
        <v>491</v>
      </c>
      <c r="Q289" s="8" t="s">
        <v>326</v>
      </c>
      <c r="R289" s="3" t="s">
        <v>36</v>
      </c>
      <c r="S289" s="2">
        <f t="shared" si="317"/>
        <v>813947.08000000007</v>
      </c>
      <c r="T289" s="2">
        <v>656377.4</v>
      </c>
      <c r="U289" s="2">
        <v>157569.68</v>
      </c>
      <c r="V289" s="2">
        <f t="shared" si="315"/>
        <v>155223.71000000002</v>
      </c>
      <c r="W289" s="2">
        <v>115831.3</v>
      </c>
      <c r="X289" s="2">
        <v>39392.410000000003</v>
      </c>
      <c r="Y289" s="2">
        <f t="shared" si="318"/>
        <v>0</v>
      </c>
      <c r="Z289" s="2"/>
      <c r="AA289" s="2"/>
      <c r="AB289" s="2">
        <f t="shared" si="328"/>
        <v>19778.990000000002</v>
      </c>
      <c r="AC289" s="2">
        <v>15759.36</v>
      </c>
      <c r="AD289" s="2">
        <v>4019.63</v>
      </c>
      <c r="AE289" s="2">
        <f t="shared" si="327"/>
        <v>988949.78</v>
      </c>
      <c r="AF289" s="2">
        <v>0</v>
      </c>
      <c r="AG289" s="2">
        <f t="shared" si="313"/>
        <v>988949.78</v>
      </c>
      <c r="AH289" s="29" t="s">
        <v>586</v>
      </c>
      <c r="AI289" s="30" t="s">
        <v>185</v>
      </c>
      <c r="AJ289" s="31">
        <f>188133.51-12724.93+92979.94+80602.08+76904.04</f>
        <v>425894.64</v>
      </c>
      <c r="AK289" s="31">
        <f>20686.62+12745.2+880.06+15371.21+4436.91+9586.41</f>
        <v>63706.41</v>
      </c>
    </row>
    <row r="290" spans="1:37" ht="189" x14ac:dyDescent="0.25">
      <c r="A290" s="348" t="s">
        <v>1879</v>
      </c>
      <c r="B290" s="20">
        <v>110998</v>
      </c>
      <c r="C290" s="16">
        <v>333</v>
      </c>
      <c r="D290" s="3" t="s">
        <v>170</v>
      </c>
      <c r="E290" s="24" t="s">
        <v>165</v>
      </c>
      <c r="F290" s="22" t="s">
        <v>322</v>
      </c>
      <c r="G290" s="224" t="s">
        <v>494</v>
      </c>
      <c r="H290" s="224" t="s">
        <v>495</v>
      </c>
      <c r="I290" s="24" t="s">
        <v>185</v>
      </c>
      <c r="J290" s="25" t="s">
        <v>538</v>
      </c>
      <c r="K290" s="5">
        <v>43244</v>
      </c>
      <c r="L290" s="7">
        <v>43732</v>
      </c>
      <c r="M290" s="4">
        <f t="shared" si="314"/>
        <v>82.304186800362686</v>
      </c>
      <c r="N290" s="3" t="s">
        <v>324</v>
      </c>
      <c r="O290" s="3" t="s">
        <v>156</v>
      </c>
      <c r="P290" s="3" t="s">
        <v>156</v>
      </c>
      <c r="Q290" s="8" t="s">
        <v>326</v>
      </c>
      <c r="R290" s="3" t="s">
        <v>36</v>
      </c>
      <c r="S290" s="2">
        <f t="shared" si="317"/>
        <v>802303.17999999993</v>
      </c>
      <c r="T290" s="2">
        <v>646987.61</v>
      </c>
      <c r="U290" s="2">
        <v>155315.57</v>
      </c>
      <c r="V290" s="2">
        <f t="shared" si="315"/>
        <v>153003.18</v>
      </c>
      <c r="W290" s="2">
        <v>114174.29</v>
      </c>
      <c r="X290" s="2">
        <v>38828.89</v>
      </c>
      <c r="Y290" s="2">
        <f t="shared" si="318"/>
        <v>0</v>
      </c>
      <c r="Z290" s="225"/>
      <c r="AA290" s="225"/>
      <c r="AB290" s="2">
        <f t="shared" si="328"/>
        <v>19496.03</v>
      </c>
      <c r="AC290" s="2">
        <v>15533.9</v>
      </c>
      <c r="AD290" s="2">
        <v>3962.13</v>
      </c>
      <c r="AE290" s="2">
        <f t="shared" si="327"/>
        <v>974802.3899999999</v>
      </c>
      <c r="AF290" s="2">
        <v>0</v>
      </c>
      <c r="AG290" s="2">
        <f t="shared" si="313"/>
        <v>974802.3899999999</v>
      </c>
      <c r="AH290" s="29" t="s">
        <v>586</v>
      </c>
      <c r="AI290" s="30" t="s">
        <v>422</v>
      </c>
      <c r="AJ290" s="31">
        <f>140575.46+6566.7+79837.6+71604.41+17465.12+79837.6</f>
        <v>395886.89</v>
      </c>
      <c r="AK290" s="31">
        <f>11583.01+16477.73+13655.31+18556.11</f>
        <v>60272.159999999996</v>
      </c>
    </row>
    <row r="291" spans="1:37" ht="189" x14ac:dyDescent="0.25">
      <c r="A291" s="348" t="s">
        <v>1880</v>
      </c>
      <c r="B291" s="20">
        <v>115539</v>
      </c>
      <c r="C291" s="16">
        <v>396</v>
      </c>
      <c r="D291" s="3" t="s">
        <v>170</v>
      </c>
      <c r="E291" s="24" t="s">
        <v>165</v>
      </c>
      <c r="F291" s="22" t="s">
        <v>446</v>
      </c>
      <c r="G291" s="23" t="s">
        <v>501</v>
      </c>
      <c r="H291" s="23" t="s">
        <v>502</v>
      </c>
      <c r="I291" s="24" t="s">
        <v>503</v>
      </c>
      <c r="J291" s="25" t="s">
        <v>539</v>
      </c>
      <c r="K291" s="5">
        <v>43249</v>
      </c>
      <c r="L291" s="7">
        <v>44041</v>
      </c>
      <c r="M291" s="4">
        <f t="shared" si="314"/>
        <v>83.983861240799271</v>
      </c>
      <c r="N291" s="3" t="s">
        <v>324</v>
      </c>
      <c r="O291" s="3" t="s">
        <v>156</v>
      </c>
      <c r="P291" s="3" t="s">
        <v>156</v>
      </c>
      <c r="Q291" s="8" t="s">
        <v>157</v>
      </c>
      <c r="R291" s="3" t="s">
        <v>36</v>
      </c>
      <c r="S291" s="2">
        <f t="shared" si="317"/>
        <v>2264152.09</v>
      </c>
      <c r="T291" s="2">
        <v>1825841.4</v>
      </c>
      <c r="U291" s="2">
        <v>438310.69</v>
      </c>
      <c r="V291" s="2">
        <f t="shared" si="315"/>
        <v>159763.60999999999</v>
      </c>
      <c r="W291" s="2">
        <v>118066.66</v>
      </c>
      <c r="X291" s="2">
        <v>41696.949999999997</v>
      </c>
      <c r="Y291" s="2">
        <f t="shared" si="318"/>
        <v>272021.42</v>
      </c>
      <c r="Z291" s="2">
        <v>204140.68</v>
      </c>
      <c r="AA291" s="2">
        <v>67880.740000000005</v>
      </c>
      <c r="AB291" s="2">
        <f t="shared" si="328"/>
        <v>0</v>
      </c>
      <c r="AC291" s="2">
        <v>0</v>
      </c>
      <c r="AD291" s="2">
        <v>0</v>
      </c>
      <c r="AE291" s="2">
        <f t="shared" si="327"/>
        <v>2695937.1199999996</v>
      </c>
      <c r="AF291" s="2">
        <v>0</v>
      </c>
      <c r="AG291" s="2">
        <f t="shared" si="313"/>
        <v>2695937.1199999996</v>
      </c>
      <c r="AH291" s="29" t="s">
        <v>586</v>
      </c>
      <c r="AI291" s="30"/>
      <c r="AJ291" s="31">
        <f>96923.08+40161.87+113985.46</f>
        <v>251070.41000000003</v>
      </c>
      <c r="AK291" s="31">
        <v>0</v>
      </c>
    </row>
    <row r="292" spans="1:37" ht="284.25" thickBot="1" x14ac:dyDescent="0.3">
      <c r="A292" s="348" t="s">
        <v>1881</v>
      </c>
      <c r="B292" s="20">
        <v>118716</v>
      </c>
      <c r="C292" s="16">
        <v>455</v>
      </c>
      <c r="D292" s="3" t="s">
        <v>171</v>
      </c>
      <c r="E292" s="24" t="s">
        <v>1041</v>
      </c>
      <c r="F292" s="22" t="s">
        <v>506</v>
      </c>
      <c r="G292" s="23" t="s">
        <v>504</v>
      </c>
      <c r="H292" s="224" t="s">
        <v>505</v>
      </c>
      <c r="I292" s="24" t="s">
        <v>185</v>
      </c>
      <c r="J292" s="25" t="s">
        <v>540</v>
      </c>
      <c r="K292" s="5">
        <v>43249</v>
      </c>
      <c r="L292" s="7">
        <v>43980</v>
      </c>
      <c r="M292" s="4">
        <f t="shared" si="314"/>
        <v>83.98386320030896</v>
      </c>
      <c r="N292" s="3" t="s">
        <v>324</v>
      </c>
      <c r="O292" s="3" t="s">
        <v>156</v>
      </c>
      <c r="P292" s="3" t="s">
        <v>156</v>
      </c>
      <c r="Q292" s="8" t="s">
        <v>157</v>
      </c>
      <c r="R292" s="3" t="s">
        <v>36</v>
      </c>
      <c r="S292" s="2">
        <f t="shared" si="317"/>
        <v>2343689.4299999997</v>
      </c>
      <c r="T292" s="2">
        <v>1889981.38</v>
      </c>
      <c r="U292" s="2">
        <v>453708.05</v>
      </c>
      <c r="V292" s="2">
        <f t="shared" si="315"/>
        <v>0</v>
      </c>
      <c r="W292" s="2"/>
      <c r="X292" s="2"/>
      <c r="Y292" s="2">
        <f t="shared" si="318"/>
        <v>446953.13</v>
      </c>
      <c r="Z292" s="2">
        <v>333526.06</v>
      </c>
      <c r="AA292" s="2">
        <v>113427.07</v>
      </c>
      <c r="AB292" s="2">
        <f t="shared" si="328"/>
        <v>0</v>
      </c>
      <c r="AC292" s="2"/>
      <c r="AD292" s="2"/>
      <c r="AE292" s="2">
        <f t="shared" si="327"/>
        <v>2790642.5599999996</v>
      </c>
      <c r="AF292" s="2">
        <v>0</v>
      </c>
      <c r="AG292" s="2">
        <f t="shared" si="313"/>
        <v>2790642.5599999996</v>
      </c>
      <c r="AH292" s="29" t="s">
        <v>586</v>
      </c>
      <c r="AI292" s="30" t="s">
        <v>1525</v>
      </c>
      <c r="AJ292" s="31">
        <f>145011.94+359253.32+95755.51</f>
        <v>600020.77</v>
      </c>
      <c r="AK292" s="31">
        <v>0</v>
      </c>
    </row>
    <row r="293" spans="1:37" ht="409.5" x14ac:dyDescent="0.25">
      <c r="A293" s="348" t="s">
        <v>1882</v>
      </c>
      <c r="B293" s="20">
        <v>109777</v>
      </c>
      <c r="C293" s="16">
        <v>363</v>
      </c>
      <c r="D293" s="3" t="s">
        <v>1318</v>
      </c>
      <c r="E293" s="24" t="s">
        <v>165</v>
      </c>
      <c r="F293" s="84" t="s">
        <v>322</v>
      </c>
      <c r="G293" s="77" t="s">
        <v>508</v>
      </c>
      <c r="H293" s="78" t="s">
        <v>507</v>
      </c>
      <c r="I293" s="78" t="s">
        <v>185</v>
      </c>
      <c r="J293" s="226" t="s">
        <v>509</v>
      </c>
      <c r="K293" s="7">
        <v>43251</v>
      </c>
      <c r="L293" s="7">
        <v>43708</v>
      </c>
      <c r="M293" s="4">
        <f t="shared" si="314"/>
        <v>82.304185429325983</v>
      </c>
      <c r="N293" s="3" t="s">
        <v>324</v>
      </c>
      <c r="O293" s="3" t="s">
        <v>263</v>
      </c>
      <c r="P293" s="3" t="s">
        <v>421</v>
      </c>
      <c r="Q293" s="8" t="s">
        <v>326</v>
      </c>
      <c r="R293" s="3" t="s">
        <v>36</v>
      </c>
      <c r="S293" s="2">
        <f t="shared" si="317"/>
        <v>809738</v>
      </c>
      <c r="T293" s="2">
        <v>652983.16</v>
      </c>
      <c r="U293" s="2">
        <v>156754.84</v>
      </c>
      <c r="V293" s="2">
        <f t="shared" si="315"/>
        <v>154421.03</v>
      </c>
      <c r="W293" s="2">
        <v>115232.31</v>
      </c>
      <c r="X293" s="2">
        <v>39188.720000000001</v>
      </c>
      <c r="Y293" s="2">
        <f>Z293+AA293</f>
        <v>0</v>
      </c>
      <c r="Z293" s="2">
        <v>0</v>
      </c>
      <c r="AA293" s="2">
        <v>0</v>
      </c>
      <c r="AB293" s="2">
        <f>AC293+AD293</f>
        <v>19676.72</v>
      </c>
      <c r="AC293" s="2">
        <v>15677.86</v>
      </c>
      <c r="AD293" s="2">
        <v>3998.86</v>
      </c>
      <c r="AE293" s="2">
        <f t="shared" si="327"/>
        <v>983835.75</v>
      </c>
      <c r="AF293" s="11">
        <v>0</v>
      </c>
      <c r="AG293" s="2">
        <f t="shared" si="313"/>
        <v>983835.75</v>
      </c>
      <c r="AH293" s="29" t="s">
        <v>586</v>
      </c>
      <c r="AI293" s="30"/>
      <c r="AJ293" s="227">
        <f>98383.57+67957.2+131759+61030.49+98383.57-15548.08+97077.59+100688.53</f>
        <v>639731.87</v>
      </c>
      <c r="AK293" s="31">
        <f>12959.77+25127.1+30401.05+15548.08+19201.81</f>
        <v>103237.81</v>
      </c>
    </row>
    <row r="294" spans="1:37" ht="330.75" x14ac:dyDescent="0.25">
      <c r="A294" s="348" t="s">
        <v>1883</v>
      </c>
      <c r="B294" s="20">
        <v>112263</v>
      </c>
      <c r="C294" s="16">
        <v>212</v>
      </c>
      <c r="D294" s="3" t="s">
        <v>172</v>
      </c>
      <c r="E294" s="24" t="s">
        <v>165</v>
      </c>
      <c r="F294" s="22" t="s">
        <v>322</v>
      </c>
      <c r="G294" s="224" t="s">
        <v>512</v>
      </c>
      <c r="H294" s="224" t="s">
        <v>513</v>
      </c>
      <c r="I294" s="24" t="s">
        <v>185</v>
      </c>
      <c r="J294" s="25" t="s">
        <v>541</v>
      </c>
      <c r="K294" s="5">
        <v>43257</v>
      </c>
      <c r="L294" s="7">
        <v>43744</v>
      </c>
      <c r="M294" s="4">
        <f t="shared" si="314"/>
        <v>82.304186636665435</v>
      </c>
      <c r="N294" s="3" t="s">
        <v>324</v>
      </c>
      <c r="O294" s="3" t="s">
        <v>312</v>
      </c>
      <c r="P294" s="3" t="s">
        <v>542</v>
      </c>
      <c r="Q294" s="8" t="s">
        <v>326</v>
      </c>
      <c r="R294" s="3" t="s">
        <v>36</v>
      </c>
      <c r="S294" s="2">
        <f>T294+U294</f>
        <v>804068.05999999994</v>
      </c>
      <c r="T294" s="2">
        <v>648410.84</v>
      </c>
      <c r="U294" s="2">
        <v>155657.22</v>
      </c>
      <c r="V294" s="2">
        <f>W294+X294</f>
        <v>153339.75</v>
      </c>
      <c r="W294" s="2">
        <v>114425.45</v>
      </c>
      <c r="X294" s="2">
        <v>38914.300000000003</v>
      </c>
      <c r="Y294" s="228">
        <f>Z294+AA294</f>
        <v>0</v>
      </c>
      <c r="Z294" s="2">
        <v>0</v>
      </c>
      <c r="AA294" s="2">
        <v>0</v>
      </c>
      <c r="AB294" s="2">
        <f>AC294+AD294</f>
        <v>19538.919999999998</v>
      </c>
      <c r="AC294" s="2">
        <v>15568.08</v>
      </c>
      <c r="AD294" s="2">
        <v>3970.84</v>
      </c>
      <c r="AE294" s="2">
        <f>S294+V294+Y294+AB294</f>
        <v>976946.73</v>
      </c>
      <c r="AF294" s="2">
        <v>0</v>
      </c>
      <c r="AG294" s="2">
        <f t="shared" si="313"/>
        <v>976946.73</v>
      </c>
      <c r="AH294" s="29" t="s">
        <v>586</v>
      </c>
      <c r="AI294" s="30"/>
      <c r="AJ294" s="31">
        <f>84638.59+81518.25+15437.85+121639.28+42099.38+37504.88</f>
        <v>382838.23</v>
      </c>
      <c r="AK294" s="31">
        <f>13056.08+21574.93+4566.35+8028.56+23258.8</f>
        <v>70484.72</v>
      </c>
    </row>
    <row r="295" spans="1:37" ht="173.25" x14ac:dyDescent="0.25">
      <c r="A295" s="348" t="s">
        <v>1884</v>
      </c>
      <c r="B295" s="20">
        <v>118978</v>
      </c>
      <c r="C295" s="16">
        <v>453</v>
      </c>
      <c r="D295" s="3" t="s">
        <v>171</v>
      </c>
      <c r="E295" s="24" t="s">
        <v>1041</v>
      </c>
      <c r="F295" s="22" t="s">
        <v>506</v>
      </c>
      <c r="G295" s="224" t="s">
        <v>511</v>
      </c>
      <c r="H295" s="224" t="s">
        <v>510</v>
      </c>
      <c r="I295" s="24" t="s">
        <v>185</v>
      </c>
      <c r="J295" s="25" t="s">
        <v>548</v>
      </c>
      <c r="K295" s="5">
        <v>43257</v>
      </c>
      <c r="L295" s="7">
        <v>44536</v>
      </c>
      <c r="M295" s="4">
        <f t="shared" si="314"/>
        <v>83.983863009633808</v>
      </c>
      <c r="N295" s="3" t="s">
        <v>324</v>
      </c>
      <c r="O295" s="3" t="s">
        <v>156</v>
      </c>
      <c r="P295" s="3" t="s">
        <v>156</v>
      </c>
      <c r="Q295" s="8" t="s">
        <v>157</v>
      </c>
      <c r="R295" s="3" t="s">
        <v>36</v>
      </c>
      <c r="S295" s="2">
        <f t="shared" si="317"/>
        <v>10919953.010000002</v>
      </c>
      <c r="T295" s="2">
        <v>8805990.7100000009</v>
      </c>
      <c r="U295" s="2">
        <v>2113962.2999999998</v>
      </c>
      <c r="V295" s="2">
        <f t="shared" si="315"/>
        <v>0</v>
      </c>
      <c r="W295" s="2">
        <v>0</v>
      </c>
      <c r="X295" s="2">
        <v>0</v>
      </c>
      <c r="Y295" s="2">
        <f t="shared" si="318"/>
        <v>2082488.9100000001</v>
      </c>
      <c r="Z295" s="2">
        <v>1553998.33</v>
      </c>
      <c r="AA295" s="2">
        <v>528490.57999999996</v>
      </c>
      <c r="AB295" s="2">
        <f t="shared" si="328"/>
        <v>0</v>
      </c>
      <c r="AC295" s="2">
        <v>0</v>
      </c>
      <c r="AD295" s="2">
        <v>0</v>
      </c>
      <c r="AE295" s="2">
        <f t="shared" si="327"/>
        <v>13002441.920000002</v>
      </c>
      <c r="AF295" s="2">
        <v>1503920</v>
      </c>
      <c r="AG295" s="2">
        <f t="shared" si="313"/>
        <v>14506361.920000002</v>
      </c>
      <c r="AH295" s="29" t="s">
        <v>586</v>
      </c>
      <c r="AI295" s="30" t="s">
        <v>1247</v>
      </c>
      <c r="AJ295" s="31">
        <f>104375.19+162416.48+52075.09+194641.75</f>
        <v>513508.51</v>
      </c>
      <c r="AK295" s="31">
        <v>0</v>
      </c>
    </row>
    <row r="296" spans="1:37" ht="141.75" x14ac:dyDescent="0.25">
      <c r="A296" s="348" t="s">
        <v>1885</v>
      </c>
      <c r="B296" s="20">
        <v>119317</v>
      </c>
      <c r="C296" s="16">
        <v>456</v>
      </c>
      <c r="D296" s="3" t="s">
        <v>171</v>
      </c>
      <c r="E296" s="24" t="s">
        <v>1041</v>
      </c>
      <c r="F296" s="22" t="s">
        <v>506</v>
      </c>
      <c r="G296" s="224" t="s">
        <v>549</v>
      </c>
      <c r="H296" s="224" t="s">
        <v>624</v>
      </c>
      <c r="I296" s="24" t="s">
        <v>185</v>
      </c>
      <c r="J296" s="25" t="s">
        <v>550</v>
      </c>
      <c r="K296" s="5">
        <v>43257</v>
      </c>
      <c r="L296" s="7">
        <v>43988</v>
      </c>
      <c r="M296" s="4">
        <f t="shared" si="314"/>
        <v>83.983862821417162</v>
      </c>
      <c r="N296" s="3" t="s">
        <v>324</v>
      </c>
      <c r="O296" s="3" t="s">
        <v>156</v>
      </c>
      <c r="P296" s="3" t="s">
        <v>156</v>
      </c>
      <c r="Q296" s="8" t="s">
        <v>157</v>
      </c>
      <c r="R296" s="3" t="s">
        <v>36</v>
      </c>
      <c r="S296" s="2">
        <f t="shared" si="317"/>
        <v>26702638.32</v>
      </c>
      <c r="T296" s="2">
        <v>21533351.34</v>
      </c>
      <c r="U296" s="2">
        <v>5169286.9800000004</v>
      </c>
      <c r="V296" s="2">
        <f t="shared" si="315"/>
        <v>0</v>
      </c>
      <c r="W296" s="2"/>
      <c r="X296" s="2"/>
      <c r="Y296" s="2">
        <f t="shared" si="318"/>
        <v>5092324.93</v>
      </c>
      <c r="Z296" s="2">
        <v>3800003.18</v>
      </c>
      <c r="AA296" s="2">
        <v>1292321.75</v>
      </c>
      <c r="AB296" s="2">
        <f t="shared" si="328"/>
        <v>0</v>
      </c>
      <c r="AC296" s="2">
        <v>0</v>
      </c>
      <c r="AD296" s="2">
        <v>0</v>
      </c>
      <c r="AE296" s="2">
        <f t="shared" si="327"/>
        <v>31794963.25</v>
      </c>
      <c r="AF296" s="2">
        <v>0</v>
      </c>
      <c r="AG296" s="2">
        <f t="shared" si="313"/>
        <v>31794963.25</v>
      </c>
      <c r="AH296" s="29" t="s">
        <v>586</v>
      </c>
      <c r="AI296" s="30"/>
      <c r="AJ296" s="31">
        <f>155213.76+241470.09+76680.76+1501.26</f>
        <v>474865.87</v>
      </c>
      <c r="AK296" s="31">
        <v>0</v>
      </c>
    </row>
    <row r="297" spans="1:37" ht="409.5" x14ac:dyDescent="0.25">
      <c r="A297" s="348" t="s">
        <v>1886</v>
      </c>
      <c r="B297" s="20">
        <v>111319</v>
      </c>
      <c r="C297" s="16">
        <v>359</v>
      </c>
      <c r="D297" s="3" t="s">
        <v>1318</v>
      </c>
      <c r="E297" s="24" t="s">
        <v>165</v>
      </c>
      <c r="F297" s="22" t="s">
        <v>322</v>
      </c>
      <c r="G297" s="224" t="s">
        <v>554</v>
      </c>
      <c r="H297" s="224" t="s">
        <v>552</v>
      </c>
      <c r="I297" s="3" t="s">
        <v>555</v>
      </c>
      <c r="J297" s="25" t="s">
        <v>556</v>
      </c>
      <c r="K297" s="5">
        <v>43256</v>
      </c>
      <c r="L297" s="7">
        <v>43743</v>
      </c>
      <c r="M297" s="4">
        <f t="shared" si="314"/>
        <v>82.304189744785745</v>
      </c>
      <c r="N297" s="3" t="s">
        <v>324</v>
      </c>
      <c r="O297" s="3" t="s">
        <v>817</v>
      </c>
      <c r="P297" s="3" t="s">
        <v>817</v>
      </c>
      <c r="Q297" s="8" t="s">
        <v>326</v>
      </c>
      <c r="R297" s="3" t="s">
        <v>36</v>
      </c>
      <c r="S297" s="2">
        <f t="shared" si="317"/>
        <v>822860.82000000007</v>
      </c>
      <c r="T297" s="2">
        <v>663565.56000000006</v>
      </c>
      <c r="U297" s="2">
        <v>159295.26</v>
      </c>
      <c r="V297" s="2">
        <f t="shared" si="315"/>
        <v>156923.62</v>
      </c>
      <c r="W297" s="2">
        <v>117099.8</v>
      </c>
      <c r="X297" s="2">
        <v>39823.82</v>
      </c>
      <c r="Y297" s="2">
        <f t="shared" si="318"/>
        <v>0</v>
      </c>
      <c r="Z297" s="2"/>
      <c r="AA297" s="2"/>
      <c r="AB297" s="2">
        <f t="shared" si="328"/>
        <v>19995.55</v>
      </c>
      <c r="AC297" s="2">
        <v>15931.91</v>
      </c>
      <c r="AD297" s="2">
        <v>4063.64</v>
      </c>
      <c r="AE297" s="2">
        <f t="shared" si="327"/>
        <v>999779.99000000011</v>
      </c>
      <c r="AF297" s="2">
        <v>0</v>
      </c>
      <c r="AG297" s="2">
        <f t="shared" si="313"/>
        <v>999779.99000000011</v>
      </c>
      <c r="AH297" s="29" t="s">
        <v>586</v>
      </c>
      <c r="AI297" s="30" t="s">
        <v>1064</v>
      </c>
      <c r="AJ297" s="31">
        <f>115253.85+83737.14+92702.34+29518.18+84169.97</f>
        <v>405381.48</v>
      </c>
      <c r="AK297" s="31">
        <f>18935.29+25587.45+13802.72+159.94</f>
        <v>58485.400000000009</v>
      </c>
    </row>
    <row r="298" spans="1:37" ht="409.5" x14ac:dyDescent="0.25">
      <c r="A298" s="348" t="s">
        <v>1887</v>
      </c>
      <c r="B298" s="20">
        <v>111320</v>
      </c>
      <c r="C298" s="16">
        <v>132</v>
      </c>
      <c r="D298" s="3" t="s">
        <v>1073</v>
      </c>
      <c r="E298" s="24" t="s">
        <v>165</v>
      </c>
      <c r="F298" s="22" t="s">
        <v>322</v>
      </c>
      <c r="G298" s="224" t="s">
        <v>557</v>
      </c>
      <c r="H298" s="224" t="s">
        <v>558</v>
      </c>
      <c r="I298" s="24" t="s">
        <v>422</v>
      </c>
      <c r="J298" s="25" t="s">
        <v>559</v>
      </c>
      <c r="K298" s="5">
        <v>43258</v>
      </c>
      <c r="L298" s="7">
        <v>43745</v>
      </c>
      <c r="M298" s="4">
        <f t="shared" si="314"/>
        <v>82.304187096462158</v>
      </c>
      <c r="N298" s="3" t="s">
        <v>324</v>
      </c>
      <c r="O298" s="3" t="s">
        <v>312</v>
      </c>
      <c r="P298" s="3" t="s">
        <v>542</v>
      </c>
      <c r="Q298" s="8" t="s">
        <v>326</v>
      </c>
      <c r="R298" s="3" t="s">
        <v>36</v>
      </c>
      <c r="S298" s="2">
        <f t="shared" si="317"/>
        <v>745773.49</v>
      </c>
      <c r="T298" s="2">
        <v>601401.34</v>
      </c>
      <c r="U298" s="2">
        <v>144372.15</v>
      </c>
      <c r="V298" s="2">
        <f t="shared" si="315"/>
        <v>142222.68</v>
      </c>
      <c r="W298" s="2">
        <v>106129.65</v>
      </c>
      <c r="X298" s="2">
        <v>36093.03</v>
      </c>
      <c r="Y298" s="2">
        <f t="shared" si="318"/>
        <v>0</v>
      </c>
      <c r="Z298" s="2"/>
      <c r="AA298" s="2"/>
      <c r="AB298" s="2">
        <f t="shared" si="328"/>
        <v>18122.359700000001</v>
      </c>
      <c r="AC298" s="2">
        <v>14439.398999999999</v>
      </c>
      <c r="AD298" s="2">
        <v>3682.9607000000001</v>
      </c>
      <c r="AE298" s="2">
        <f t="shared" si="327"/>
        <v>906118.52969999996</v>
      </c>
      <c r="AF298" s="2"/>
      <c r="AG298" s="2">
        <f t="shared" si="313"/>
        <v>906118.52969999996</v>
      </c>
      <c r="AH298" s="29" t="s">
        <v>586</v>
      </c>
      <c r="AI298" s="30"/>
      <c r="AJ298" s="31">
        <f>218312.37+90611.85+214.38+90611.85+7774.08+90611.85</f>
        <v>498136.38</v>
      </c>
      <c r="AK298" s="31">
        <f>23379.78+18253.47+17321.01+18762.68</f>
        <v>77716.94</v>
      </c>
    </row>
    <row r="299" spans="1:37" ht="220.5" x14ac:dyDescent="0.25">
      <c r="A299" s="348" t="s">
        <v>1888</v>
      </c>
      <c r="B299" s="20">
        <v>110527</v>
      </c>
      <c r="C299" s="16">
        <v>353</v>
      </c>
      <c r="D299" s="3" t="s">
        <v>1318</v>
      </c>
      <c r="E299" s="24" t="s">
        <v>165</v>
      </c>
      <c r="F299" s="22" t="s">
        <v>322</v>
      </c>
      <c r="G299" s="224" t="s">
        <v>560</v>
      </c>
      <c r="H299" s="224" t="s">
        <v>561</v>
      </c>
      <c r="I299" s="24" t="s">
        <v>562</v>
      </c>
      <c r="J299" s="25" t="s">
        <v>563</v>
      </c>
      <c r="K299" s="5">
        <v>43258</v>
      </c>
      <c r="L299" s="7">
        <v>43745</v>
      </c>
      <c r="M299" s="4">
        <f t="shared" si="314"/>
        <v>82.304183804307399</v>
      </c>
      <c r="N299" s="3" t="s">
        <v>324</v>
      </c>
      <c r="O299" s="3" t="s">
        <v>312</v>
      </c>
      <c r="P299" s="3" t="s">
        <v>312</v>
      </c>
      <c r="Q299" s="8" t="s">
        <v>326</v>
      </c>
      <c r="R299" s="3" t="s">
        <v>36</v>
      </c>
      <c r="S299" s="2">
        <f t="shared" si="317"/>
        <v>797101.36999999988</v>
      </c>
      <c r="T299" s="2">
        <v>642792.81999999995</v>
      </c>
      <c r="U299" s="2">
        <v>154308.54999999999</v>
      </c>
      <c r="V299" s="2">
        <f t="shared" si="315"/>
        <v>152011.18</v>
      </c>
      <c r="W299" s="2">
        <v>113434.03</v>
      </c>
      <c r="X299" s="2">
        <v>38577.15</v>
      </c>
      <c r="Y299" s="2">
        <f t="shared" si="318"/>
        <v>0</v>
      </c>
      <c r="Z299" s="2"/>
      <c r="AA299" s="2"/>
      <c r="AB299" s="2">
        <f t="shared" si="328"/>
        <v>19369.649999999998</v>
      </c>
      <c r="AC299" s="2">
        <v>15433.21</v>
      </c>
      <c r="AD299" s="2">
        <v>3936.44</v>
      </c>
      <c r="AE299" s="2">
        <f t="shared" si="327"/>
        <v>968482.19999999984</v>
      </c>
      <c r="AF299" s="2"/>
      <c r="AG299" s="2">
        <f t="shared" si="313"/>
        <v>968482.19999999984</v>
      </c>
      <c r="AH299" s="29" t="s">
        <v>586</v>
      </c>
      <c r="AI299" s="30"/>
      <c r="AJ299" s="31">
        <f>151069.39+15306.08+96848.21+24994.02+61062.29+191670.85</f>
        <v>540950.84</v>
      </c>
      <c r="AK299" s="31">
        <f>10340.24+21388.37+4766.48+30114.35+18083.14</f>
        <v>84692.58</v>
      </c>
    </row>
    <row r="300" spans="1:37" ht="283.5" x14ac:dyDescent="0.25">
      <c r="A300" s="348" t="s">
        <v>1889</v>
      </c>
      <c r="B300" s="20">
        <v>112412</v>
      </c>
      <c r="C300" s="16">
        <v>269</v>
      </c>
      <c r="D300" s="3" t="s">
        <v>175</v>
      </c>
      <c r="E300" s="24" t="s">
        <v>165</v>
      </c>
      <c r="F300" s="22" t="s">
        <v>322</v>
      </c>
      <c r="G300" s="224" t="s">
        <v>564</v>
      </c>
      <c r="H300" s="224" t="s">
        <v>565</v>
      </c>
      <c r="I300" s="3" t="s">
        <v>566</v>
      </c>
      <c r="J300" s="25" t="s">
        <v>567</v>
      </c>
      <c r="K300" s="5">
        <v>43259</v>
      </c>
      <c r="L300" s="7">
        <v>43746</v>
      </c>
      <c r="M300" s="4">
        <f t="shared" si="314"/>
        <v>82.304183541065214</v>
      </c>
      <c r="N300" s="3" t="s">
        <v>324</v>
      </c>
      <c r="O300" s="3" t="s">
        <v>312</v>
      </c>
      <c r="P300" s="3" t="s">
        <v>312</v>
      </c>
      <c r="Q300" s="8" t="s">
        <v>326</v>
      </c>
      <c r="R300" s="3" t="s">
        <v>36</v>
      </c>
      <c r="S300" s="2">
        <f t="shared" si="317"/>
        <v>789670.74</v>
      </c>
      <c r="T300" s="2">
        <v>636800.65</v>
      </c>
      <c r="U300" s="2">
        <v>152870.09</v>
      </c>
      <c r="V300" s="2">
        <f t="shared" si="315"/>
        <v>150594.14000000001</v>
      </c>
      <c r="W300" s="2">
        <v>112376.61</v>
      </c>
      <c r="X300" s="2">
        <v>38217.53</v>
      </c>
      <c r="Y300" s="2">
        <f t="shared" si="318"/>
        <v>0</v>
      </c>
      <c r="Z300" s="2"/>
      <c r="AA300" s="2"/>
      <c r="AB300" s="2">
        <f t="shared" si="328"/>
        <v>19189.07</v>
      </c>
      <c r="AC300" s="2">
        <v>15289.33</v>
      </c>
      <c r="AD300" s="2">
        <v>3899.74</v>
      </c>
      <c r="AE300" s="2">
        <f t="shared" si="327"/>
        <v>959453.95</v>
      </c>
      <c r="AF300" s="2"/>
      <c r="AG300" s="2">
        <f t="shared" si="313"/>
        <v>959453.95</v>
      </c>
      <c r="AH300" s="29" t="s">
        <v>586</v>
      </c>
      <c r="AI300" s="30" t="s">
        <v>422</v>
      </c>
      <c r="AJ300" s="31">
        <f>95945.38+5019.44+25010.26+9763.75+114260.12+16124.2+16125.04</f>
        <v>282248.19</v>
      </c>
      <c r="AK300" s="31">
        <f>7941.36+4769.59+16667.83+3074.99+3075.12</f>
        <v>35528.890000000007</v>
      </c>
    </row>
    <row r="301" spans="1:37" ht="409.5" x14ac:dyDescent="0.25">
      <c r="A301" s="348" t="s">
        <v>1890</v>
      </c>
      <c r="B301" s="20">
        <v>113035</v>
      </c>
      <c r="C301" s="16">
        <v>332</v>
      </c>
      <c r="D301" s="3" t="s">
        <v>170</v>
      </c>
      <c r="E301" s="24" t="s">
        <v>165</v>
      </c>
      <c r="F301" s="22" t="s">
        <v>322</v>
      </c>
      <c r="G301" s="79" t="s">
        <v>568</v>
      </c>
      <c r="H301" s="33" t="s">
        <v>569</v>
      </c>
      <c r="I301" s="24" t="s">
        <v>422</v>
      </c>
      <c r="J301" s="25" t="s">
        <v>570</v>
      </c>
      <c r="K301" s="5">
        <v>43258</v>
      </c>
      <c r="L301" s="7">
        <v>43745</v>
      </c>
      <c r="M301" s="4">
        <f t="shared" si="314"/>
        <v>82.304188758643321</v>
      </c>
      <c r="N301" s="3" t="s">
        <v>324</v>
      </c>
      <c r="O301" s="3" t="s">
        <v>312</v>
      </c>
      <c r="P301" s="3" t="s">
        <v>312</v>
      </c>
      <c r="Q301" s="8" t="s">
        <v>326</v>
      </c>
      <c r="R301" s="3" t="s">
        <v>36</v>
      </c>
      <c r="S301" s="2">
        <f t="shared" si="317"/>
        <v>813615.63</v>
      </c>
      <c r="T301" s="2">
        <v>656110.09</v>
      </c>
      <c r="U301" s="2">
        <v>157505.54</v>
      </c>
      <c r="V301" s="2">
        <f t="shared" si="315"/>
        <v>155160.46</v>
      </c>
      <c r="W301" s="2">
        <v>115784.14</v>
      </c>
      <c r="X301" s="2">
        <v>39376.32</v>
      </c>
      <c r="Y301" s="2">
        <f t="shared" si="318"/>
        <v>0</v>
      </c>
      <c r="Z301" s="2">
        <v>0</v>
      </c>
      <c r="AA301" s="2">
        <v>0</v>
      </c>
      <c r="AB301" s="2">
        <f t="shared" si="328"/>
        <v>19770.96</v>
      </c>
      <c r="AC301" s="2">
        <v>15752.94</v>
      </c>
      <c r="AD301" s="2">
        <v>4018.02</v>
      </c>
      <c r="AE301" s="2">
        <f t="shared" si="327"/>
        <v>988547.04999999993</v>
      </c>
      <c r="AF301" s="2">
        <v>0</v>
      </c>
      <c r="AG301" s="2">
        <f t="shared" si="313"/>
        <v>988547.04999999993</v>
      </c>
      <c r="AH301" s="29" t="s">
        <v>586</v>
      </c>
      <c r="AI301" s="30" t="s">
        <v>1209</v>
      </c>
      <c r="AJ301" s="31">
        <f>239002.19+7716.3+76236.18+77866.17-9062.7+110648.92+47012.15</f>
        <v>549419.21</v>
      </c>
      <c r="AK301" s="31">
        <f>26726.95+18388.45+12471.15+9062.7+10310.26+8965.45</f>
        <v>85924.959999999992</v>
      </c>
    </row>
    <row r="302" spans="1:37" ht="393.75" x14ac:dyDescent="0.25">
      <c r="A302" s="348" t="s">
        <v>1891</v>
      </c>
      <c r="B302" s="20">
        <v>112992</v>
      </c>
      <c r="C302" s="75">
        <v>233</v>
      </c>
      <c r="D302" s="20" t="s">
        <v>170</v>
      </c>
      <c r="E302" s="24" t="s">
        <v>165</v>
      </c>
      <c r="F302" s="22" t="s">
        <v>322</v>
      </c>
      <c r="G302" s="229" t="s">
        <v>571</v>
      </c>
      <c r="H302" s="33" t="s">
        <v>572</v>
      </c>
      <c r="I302" s="24" t="s">
        <v>422</v>
      </c>
      <c r="J302" s="116" t="s">
        <v>573</v>
      </c>
      <c r="K302" s="5">
        <v>43259</v>
      </c>
      <c r="L302" s="7">
        <v>43746</v>
      </c>
      <c r="M302" s="4">
        <f t="shared" si="314"/>
        <v>82.304185804634827</v>
      </c>
      <c r="N302" s="3" t="s">
        <v>324</v>
      </c>
      <c r="O302" s="3" t="s">
        <v>312</v>
      </c>
      <c r="P302" s="3" t="s">
        <v>312</v>
      </c>
      <c r="Q302" s="8" t="s">
        <v>326</v>
      </c>
      <c r="R302" s="3" t="s">
        <v>36</v>
      </c>
      <c r="S302" s="2">
        <f t="shared" si="317"/>
        <v>413202.42000000004</v>
      </c>
      <c r="T302" s="2">
        <v>333211.76</v>
      </c>
      <c r="U302" s="2">
        <v>79990.66</v>
      </c>
      <c r="V302" s="2">
        <f t="shared" si="315"/>
        <v>78799.740000000005</v>
      </c>
      <c r="W302" s="2">
        <v>58802.080000000002</v>
      </c>
      <c r="X302" s="2">
        <v>19997.66</v>
      </c>
      <c r="Y302" s="2">
        <f t="shared" si="318"/>
        <v>0</v>
      </c>
      <c r="Z302" s="2"/>
      <c r="AA302" s="2"/>
      <c r="AB302" s="2">
        <f t="shared" si="328"/>
        <v>10040.86</v>
      </c>
      <c r="AC302" s="2">
        <v>8000.27</v>
      </c>
      <c r="AD302" s="2">
        <v>2040.59</v>
      </c>
      <c r="AE302" s="2">
        <f t="shared" si="327"/>
        <v>502043.02</v>
      </c>
      <c r="AF302" s="2">
        <v>96.29</v>
      </c>
      <c r="AG302" s="2">
        <f t="shared" si="313"/>
        <v>502139.31</v>
      </c>
      <c r="AH302" s="29" t="s">
        <v>586</v>
      </c>
      <c r="AI302" s="30" t="s">
        <v>422</v>
      </c>
      <c r="AJ302" s="31">
        <f>86645.8-7709.4+41322.63-2793.73+353.36+111180.69</f>
        <v>228999.35</v>
      </c>
      <c r="AK302" s="31">
        <f>6949.62+7709.4+2793.73+5015.84+11628.57</f>
        <v>34097.160000000003</v>
      </c>
    </row>
    <row r="303" spans="1:37" ht="315" x14ac:dyDescent="0.25">
      <c r="A303" s="348" t="s">
        <v>1892</v>
      </c>
      <c r="B303" s="20">
        <v>109834</v>
      </c>
      <c r="C303" s="75">
        <v>202</v>
      </c>
      <c r="D303" s="20" t="s">
        <v>172</v>
      </c>
      <c r="E303" s="24" t="s">
        <v>165</v>
      </c>
      <c r="F303" s="22" t="s">
        <v>322</v>
      </c>
      <c r="G303" s="229" t="s">
        <v>578</v>
      </c>
      <c r="H303" s="33" t="s">
        <v>579</v>
      </c>
      <c r="I303" s="24" t="s">
        <v>422</v>
      </c>
      <c r="J303" s="116" t="s">
        <v>580</v>
      </c>
      <c r="K303" s="5">
        <v>43264</v>
      </c>
      <c r="L303" s="7">
        <v>43751</v>
      </c>
      <c r="M303" s="4">
        <f>S303/AE303*100</f>
        <v>82.304184351416225</v>
      </c>
      <c r="N303" s="3" t="s">
        <v>324</v>
      </c>
      <c r="O303" s="3" t="s">
        <v>312</v>
      </c>
      <c r="P303" s="3" t="s">
        <v>312</v>
      </c>
      <c r="Q303" s="8" t="s">
        <v>326</v>
      </c>
      <c r="R303" s="3" t="s">
        <v>36</v>
      </c>
      <c r="S303" s="2">
        <f>T303+U303</f>
        <v>757659.49</v>
      </c>
      <c r="T303" s="2">
        <v>610986.4</v>
      </c>
      <c r="U303" s="2">
        <v>146673.09</v>
      </c>
      <c r="V303" s="2">
        <f>W303+X303</f>
        <v>144489.43</v>
      </c>
      <c r="W303" s="2">
        <v>107821.13</v>
      </c>
      <c r="X303" s="2">
        <v>36668.300000000003</v>
      </c>
      <c r="Y303" s="2">
        <f>Z303+AA303</f>
        <v>0</v>
      </c>
      <c r="Z303" s="2"/>
      <c r="AA303" s="2"/>
      <c r="AB303" s="2">
        <f>AC303+AD303</f>
        <v>18411.190000000002</v>
      </c>
      <c r="AC303" s="2">
        <v>14669.52</v>
      </c>
      <c r="AD303" s="2">
        <v>3741.67</v>
      </c>
      <c r="AE303" s="2">
        <f>S303+V303+Y303+AB303</f>
        <v>920560.10999999987</v>
      </c>
      <c r="AF303" s="2">
        <v>0</v>
      </c>
      <c r="AG303" s="2">
        <f>AE303+AF303</f>
        <v>920560.10999999987</v>
      </c>
      <c r="AH303" s="29" t="s">
        <v>586</v>
      </c>
      <c r="AI303" s="30" t="s">
        <v>1391</v>
      </c>
      <c r="AJ303" s="31">
        <f>213672.38+10844.44+40106.9-4967.47+69008.21+10185.97-7830.59+48891.76</f>
        <v>379911.6</v>
      </c>
      <c r="AK303" s="31">
        <f>23567.39+2068.09+7666.13+12212.88+1942.51+7830.59</f>
        <v>55287.59</v>
      </c>
    </row>
    <row r="304" spans="1:37" ht="409.5" x14ac:dyDescent="0.25">
      <c r="A304" s="348" t="s">
        <v>1893</v>
      </c>
      <c r="B304" s="20">
        <v>111613</v>
      </c>
      <c r="C304" s="75">
        <v>289</v>
      </c>
      <c r="D304" s="20" t="s">
        <v>1318</v>
      </c>
      <c r="E304" s="24" t="s">
        <v>165</v>
      </c>
      <c r="F304" s="22" t="s">
        <v>322</v>
      </c>
      <c r="G304" s="229" t="s">
        <v>581</v>
      </c>
      <c r="H304" s="33" t="s">
        <v>582</v>
      </c>
      <c r="I304" s="24" t="s">
        <v>583</v>
      </c>
      <c r="J304" s="116" t="s">
        <v>584</v>
      </c>
      <c r="K304" s="5">
        <v>43264</v>
      </c>
      <c r="L304" s="7">
        <v>43751</v>
      </c>
      <c r="M304" s="4">
        <f t="shared" ref="M304:M306" si="329">S304/AE304*100</f>
        <v>82.304185024184278</v>
      </c>
      <c r="N304" s="3" t="s">
        <v>324</v>
      </c>
      <c r="O304" s="3" t="s">
        <v>585</v>
      </c>
      <c r="P304" s="3" t="s">
        <v>585</v>
      </c>
      <c r="Q304" s="8" t="s">
        <v>326</v>
      </c>
      <c r="R304" s="3" t="s">
        <v>36</v>
      </c>
      <c r="S304" s="2">
        <f>T304+U304</f>
        <v>790560.66</v>
      </c>
      <c r="T304" s="2">
        <v>637518.30000000005</v>
      </c>
      <c r="U304" s="2">
        <v>153042.35999999999</v>
      </c>
      <c r="V304" s="2">
        <f>W304+X304</f>
        <v>150763.83000000002</v>
      </c>
      <c r="W304" s="2">
        <v>112503.22</v>
      </c>
      <c r="X304" s="2">
        <v>38260.61</v>
      </c>
      <c r="Y304" s="2">
        <v>0</v>
      </c>
      <c r="Z304" s="2"/>
      <c r="AA304" s="2"/>
      <c r="AB304" s="2">
        <f>AC304+AD304</f>
        <v>19210.7</v>
      </c>
      <c r="AC304" s="2">
        <v>15306.57</v>
      </c>
      <c r="AD304" s="2">
        <v>3904.13</v>
      </c>
      <c r="AE304" s="2">
        <f>S304+V304+Y304+AB304</f>
        <v>960535.19</v>
      </c>
      <c r="AF304" s="2">
        <v>67830</v>
      </c>
      <c r="AG304" s="2">
        <f>AE304+AF304</f>
        <v>1028365.19</v>
      </c>
      <c r="AH304" s="29" t="s">
        <v>586</v>
      </c>
      <c r="AI304" s="30" t="s">
        <v>422</v>
      </c>
      <c r="AJ304" s="31">
        <f>151237.06+59857.57+64477.1+31001.93+68841.22+91071.02</f>
        <v>466485.9</v>
      </c>
      <c r="AK304" s="31">
        <f>10523.78+11415.13+12296.1+5912.22+30496.07</f>
        <v>70643.3</v>
      </c>
    </row>
    <row r="305" spans="1:37" ht="299.25" x14ac:dyDescent="0.25">
      <c r="A305" s="348" t="s">
        <v>1894</v>
      </c>
      <c r="B305" s="20">
        <v>112219</v>
      </c>
      <c r="C305" s="75">
        <v>274</v>
      </c>
      <c r="D305" s="20" t="s">
        <v>175</v>
      </c>
      <c r="E305" s="24" t="s">
        <v>165</v>
      </c>
      <c r="F305" s="22" t="s">
        <v>322</v>
      </c>
      <c r="G305" s="224" t="s">
        <v>591</v>
      </c>
      <c r="H305" s="33" t="s">
        <v>592</v>
      </c>
      <c r="I305" s="24" t="s">
        <v>593</v>
      </c>
      <c r="J305" s="116" t="s">
        <v>596</v>
      </c>
      <c r="K305" s="5">
        <v>43262</v>
      </c>
      <c r="L305" s="7">
        <v>43749</v>
      </c>
      <c r="M305" s="4">
        <f t="shared" si="329"/>
        <v>82.304178634774601</v>
      </c>
      <c r="N305" s="3" t="s">
        <v>324</v>
      </c>
      <c r="O305" s="3" t="s">
        <v>594</v>
      </c>
      <c r="P305" s="3" t="s">
        <v>595</v>
      </c>
      <c r="Q305" s="8" t="s">
        <v>326</v>
      </c>
      <c r="R305" s="3" t="s">
        <v>36</v>
      </c>
      <c r="S305" s="2">
        <f t="shared" ref="S305:S371" si="330">T305+U305</f>
        <v>796959.23</v>
      </c>
      <c r="T305" s="2">
        <v>642678.19999999995</v>
      </c>
      <c r="U305" s="2">
        <v>154281.03</v>
      </c>
      <c r="V305" s="2">
        <f t="shared" ref="V305:V371" si="331">W305+X305</f>
        <v>151984.13</v>
      </c>
      <c r="W305" s="2">
        <v>113413.84</v>
      </c>
      <c r="X305" s="2">
        <v>38570.29</v>
      </c>
      <c r="Y305" s="2">
        <f t="shared" ref="Y305" si="332">Z305+AA305</f>
        <v>0</v>
      </c>
      <c r="Z305" s="2"/>
      <c r="AA305" s="2"/>
      <c r="AB305" s="2">
        <f t="shared" ref="AB305:AB306" si="333">AC305+AD305</f>
        <v>19366.2</v>
      </c>
      <c r="AC305" s="2">
        <v>15430.45</v>
      </c>
      <c r="AD305" s="2">
        <v>3935.75</v>
      </c>
      <c r="AE305" s="2">
        <f t="shared" ref="AE305:AE371" si="334">S305+V305+Y305+AB305</f>
        <v>968309.55999999994</v>
      </c>
      <c r="AF305" s="2"/>
      <c r="AG305" s="2">
        <f t="shared" ref="AG305:AG371" si="335">AE305+AF305</f>
        <v>968309.55999999994</v>
      </c>
      <c r="AH305" s="29" t="s">
        <v>586</v>
      </c>
      <c r="AI305" s="30" t="s">
        <v>422</v>
      </c>
      <c r="AJ305" s="31">
        <f>191558.95+82810.85-11941.24+189135.5</f>
        <v>451564.06000000006</v>
      </c>
      <c r="AK305" s="31">
        <f>18065.03+15792.44+11941.24+3307.22+18543.36</f>
        <v>67649.290000000008</v>
      </c>
    </row>
    <row r="306" spans="1:37" ht="173.25" x14ac:dyDescent="0.25">
      <c r="A306" s="348" t="s">
        <v>1895</v>
      </c>
      <c r="B306" s="20">
        <v>111981</v>
      </c>
      <c r="C306" s="75">
        <v>264</v>
      </c>
      <c r="D306" s="20" t="s">
        <v>175</v>
      </c>
      <c r="E306" s="24" t="s">
        <v>165</v>
      </c>
      <c r="F306" s="22" t="s">
        <v>322</v>
      </c>
      <c r="G306" s="224" t="s">
        <v>597</v>
      </c>
      <c r="H306" s="33" t="s">
        <v>598</v>
      </c>
      <c r="I306" s="24" t="s">
        <v>599</v>
      </c>
      <c r="J306" s="116" t="s">
        <v>601</v>
      </c>
      <c r="K306" s="5">
        <v>43264</v>
      </c>
      <c r="L306" s="7">
        <v>43751</v>
      </c>
      <c r="M306" s="4">
        <f t="shared" si="329"/>
        <v>82.304187524210803</v>
      </c>
      <c r="N306" s="3" t="s">
        <v>324</v>
      </c>
      <c r="O306" s="3" t="s">
        <v>600</v>
      </c>
      <c r="P306" s="3" t="s">
        <v>421</v>
      </c>
      <c r="Q306" s="8" t="s">
        <v>326</v>
      </c>
      <c r="R306" s="3" t="s">
        <v>36</v>
      </c>
      <c r="S306" s="2">
        <f t="shared" si="330"/>
        <v>771066.18</v>
      </c>
      <c r="T306" s="2">
        <v>621797.65</v>
      </c>
      <c r="U306" s="2">
        <v>149268.53</v>
      </c>
      <c r="V306" s="2">
        <f t="shared" si="331"/>
        <v>147046.1</v>
      </c>
      <c r="W306" s="2">
        <v>109729</v>
      </c>
      <c r="X306" s="2">
        <v>37317.1</v>
      </c>
      <c r="Y306" s="2">
        <f t="shared" ref="Y306:Y371" si="336">Z306+AA306</f>
        <v>0</v>
      </c>
      <c r="Z306" s="2"/>
      <c r="AA306" s="2"/>
      <c r="AB306" s="2">
        <f t="shared" si="333"/>
        <v>18736.989999999998</v>
      </c>
      <c r="AC306" s="2">
        <v>14929.14</v>
      </c>
      <c r="AD306" s="2">
        <v>3807.85</v>
      </c>
      <c r="AE306" s="2">
        <f t="shared" si="334"/>
        <v>936849.27</v>
      </c>
      <c r="AF306" s="2"/>
      <c r="AG306" s="2">
        <f t="shared" si="335"/>
        <v>936849.27</v>
      </c>
      <c r="AH306" s="29" t="s">
        <v>586</v>
      </c>
      <c r="AI306" s="30" t="s">
        <v>422</v>
      </c>
      <c r="AJ306" s="31">
        <f>90931+53329.56+57210.46+106559.17+87755.66-53.91+41459.09+61861.47</f>
        <v>499052.5</v>
      </c>
      <c r="AK306" s="31">
        <f>10170.21+10910.32+23029.37+14027.44+53.91+7906.45+11797.29</f>
        <v>77894.989999999991</v>
      </c>
    </row>
    <row r="307" spans="1:37" ht="409.5" x14ac:dyDescent="0.25">
      <c r="A307" s="348" t="s">
        <v>1896</v>
      </c>
      <c r="B307" s="20">
        <v>113037</v>
      </c>
      <c r="C307" s="75">
        <v>280</v>
      </c>
      <c r="D307" s="20" t="s">
        <v>1073</v>
      </c>
      <c r="E307" s="24" t="s">
        <v>165</v>
      </c>
      <c r="F307" s="22" t="s">
        <v>322</v>
      </c>
      <c r="G307" s="224" t="s">
        <v>615</v>
      </c>
      <c r="H307" s="33" t="s">
        <v>613</v>
      </c>
      <c r="I307" s="24" t="s">
        <v>614</v>
      </c>
      <c r="J307" s="116" t="s">
        <v>616</v>
      </c>
      <c r="K307" s="5">
        <v>43269</v>
      </c>
      <c r="L307" s="7">
        <v>43756</v>
      </c>
      <c r="M307" s="4">
        <f t="shared" ref="M307:M371" si="337">S307/AE307*100</f>
        <v>82.304185659324261</v>
      </c>
      <c r="N307" s="3" t="s">
        <v>324</v>
      </c>
      <c r="O307" s="3" t="s">
        <v>156</v>
      </c>
      <c r="P307" s="3" t="s">
        <v>156</v>
      </c>
      <c r="Q307" s="8" t="s">
        <v>326</v>
      </c>
      <c r="R307" s="3" t="s">
        <v>36</v>
      </c>
      <c r="S307" s="2">
        <f t="shared" si="330"/>
        <v>812766.5</v>
      </c>
      <c r="T307" s="2">
        <v>655425.36</v>
      </c>
      <c r="U307" s="2">
        <v>157341.14000000001</v>
      </c>
      <c r="V307" s="2">
        <f t="shared" si="331"/>
        <v>154998.59</v>
      </c>
      <c r="W307" s="2">
        <v>115663.31</v>
      </c>
      <c r="X307" s="2">
        <v>39335.279999999999</v>
      </c>
      <c r="Y307" s="2">
        <f t="shared" si="336"/>
        <v>0</v>
      </c>
      <c r="Z307" s="2"/>
      <c r="AA307" s="2"/>
      <c r="AB307" s="2">
        <f t="shared" ref="AB307:AB371" si="338">AC307+AD307</f>
        <v>19750.3</v>
      </c>
      <c r="AC307" s="2">
        <v>15736.51</v>
      </c>
      <c r="AD307" s="2">
        <v>4013.79</v>
      </c>
      <c r="AE307" s="2">
        <f t="shared" si="334"/>
        <v>987515.39</v>
      </c>
      <c r="AF307" s="2"/>
      <c r="AG307" s="2">
        <f t="shared" si="335"/>
        <v>987515.39</v>
      </c>
      <c r="AH307" s="29" t="s">
        <v>586</v>
      </c>
      <c r="AI307" s="30" t="s">
        <v>422</v>
      </c>
      <c r="AJ307" s="31">
        <f>98751.53+76285.17-2339.65+174517.47</f>
        <v>347214.52</v>
      </c>
      <c r="AK307" s="31">
        <f>14547.96+18386.23+14448.94</f>
        <v>47383.130000000005</v>
      </c>
    </row>
    <row r="308" spans="1:37" ht="141.75" x14ac:dyDescent="0.25">
      <c r="A308" s="348" t="s">
        <v>1897</v>
      </c>
      <c r="B308" s="20">
        <v>111983</v>
      </c>
      <c r="C308" s="75">
        <v>238</v>
      </c>
      <c r="D308" s="20" t="s">
        <v>170</v>
      </c>
      <c r="E308" s="24" t="s">
        <v>165</v>
      </c>
      <c r="F308" s="22" t="s">
        <v>322</v>
      </c>
      <c r="G308" s="224" t="s">
        <v>617</v>
      </c>
      <c r="H308" s="33" t="s">
        <v>618</v>
      </c>
      <c r="I308" s="24" t="s">
        <v>422</v>
      </c>
      <c r="J308" s="116" t="s">
        <v>619</v>
      </c>
      <c r="K308" s="5">
        <v>43270</v>
      </c>
      <c r="L308" s="7">
        <v>43757</v>
      </c>
      <c r="M308" s="4">
        <f t="shared" si="337"/>
        <v>82.304184684756876</v>
      </c>
      <c r="N308" s="3" t="s">
        <v>324</v>
      </c>
      <c r="O308" s="3" t="s">
        <v>156</v>
      </c>
      <c r="P308" s="3" t="s">
        <v>156</v>
      </c>
      <c r="Q308" s="8" t="s">
        <v>326</v>
      </c>
      <c r="R308" s="3" t="s">
        <v>36</v>
      </c>
      <c r="S308" s="2">
        <f t="shared" si="330"/>
        <v>768299.49</v>
      </c>
      <c r="T308" s="2">
        <v>619566.6</v>
      </c>
      <c r="U308" s="2">
        <v>148732.89000000001</v>
      </c>
      <c r="V308" s="2">
        <f t="shared" si="331"/>
        <v>146518.51</v>
      </c>
      <c r="W308" s="2">
        <v>109335.29</v>
      </c>
      <c r="X308" s="2">
        <v>37183.22</v>
      </c>
      <c r="Y308" s="2">
        <f t="shared" si="336"/>
        <v>0</v>
      </c>
      <c r="Z308" s="2"/>
      <c r="AA308" s="2"/>
      <c r="AB308" s="2">
        <f t="shared" si="338"/>
        <v>18669.759999999998</v>
      </c>
      <c r="AC308" s="2">
        <v>14875.55</v>
      </c>
      <c r="AD308" s="2">
        <v>3794.21</v>
      </c>
      <c r="AE308" s="2">
        <f t="shared" si="334"/>
        <v>933487.76</v>
      </c>
      <c r="AF308" s="2">
        <v>0</v>
      </c>
      <c r="AG308" s="2">
        <f t="shared" si="335"/>
        <v>933487.76</v>
      </c>
      <c r="AH308" s="29" t="s">
        <v>586</v>
      </c>
      <c r="AI308" s="30" t="s">
        <v>422</v>
      </c>
      <c r="AJ308" s="31">
        <f>81982.44+68790.33-12682.51+93000-3589.63+93000</f>
        <v>320500.63</v>
      </c>
      <c r="AK308" s="31">
        <f>11017.56+15316.94+17051</f>
        <v>43385.5</v>
      </c>
    </row>
    <row r="309" spans="1:37" ht="393.75" x14ac:dyDescent="0.25">
      <c r="A309" s="348" t="s">
        <v>1898</v>
      </c>
      <c r="B309" s="230">
        <v>115759</v>
      </c>
      <c r="C309" s="231">
        <v>400</v>
      </c>
      <c r="D309" s="230" t="s">
        <v>170</v>
      </c>
      <c r="E309" s="232" t="s">
        <v>165</v>
      </c>
      <c r="F309" s="233" t="s">
        <v>446</v>
      </c>
      <c r="G309" s="234" t="s">
        <v>620</v>
      </c>
      <c r="H309" s="235" t="s">
        <v>621</v>
      </c>
      <c r="I309" s="232" t="s">
        <v>622</v>
      </c>
      <c r="J309" s="236" t="s">
        <v>623</v>
      </c>
      <c r="K309" s="237">
        <v>43270</v>
      </c>
      <c r="L309" s="7">
        <v>44062</v>
      </c>
      <c r="M309" s="238">
        <f t="shared" si="337"/>
        <v>83.983862848432537</v>
      </c>
      <c r="N309" s="239" t="s">
        <v>324</v>
      </c>
      <c r="O309" s="239" t="s">
        <v>156</v>
      </c>
      <c r="P309" s="239" t="s">
        <v>156</v>
      </c>
      <c r="Q309" s="240" t="s">
        <v>157</v>
      </c>
      <c r="R309" s="239" t="s">
        <v>36</v>
      </c>
      <c r="S309" s="2">
        <f t="shared" si="330"/>
        <v>11840890.029999999</v>
      </c>
      <c r="T309" s="2">
        <v>9548646.1699999999</v>
      </c>
      <c r="U309" s="2">
        <v>2292243.86</v>
      </c>
      <c r="V309" s="2">
        <f t="shared" si="331"/>
        <v>0</v>
      </c>
      <c r="W309" s="2"/>
      <c r="X309" s="2"/>
      <c r="Y309" s="2">
        <f t="shared" si="336"/>
        <v>2258116.17</v>
      </c>
      <c r="Z309" s="2">
        <v>1685055.21</v>
      </c>
      <c r="AA309" s="2">
        <v>573060.96</v>
      </c>
      <c r="AB309" s="2">
        <f t="shared" si="338"/>
        <v>0</v>
      </c>
      <c r="AC309" s="2"/>
      <c r="AD309" s="2"/>
      <c r="AE309" s="2">
        <f t="shared" si="334"/>
        <v>14099006.199999999</v>
      </c>
      <c r="AF309" s="2"/>
      <c r="AG309" s="2">
        <f t="shared" si="335"/>
        <v>14099006.199999999</v>
      </c>
      <c r="AH309" s="29" t="s">
        <v>586</v>
      </c>
      <c r="AI309" s="30" t="s">
        <v>185</v>
      </c>
      <c r="AJ309" s="31">
        <f>821485.68+1164341.89+225959.67+840790.22+382.88+832032.46</f>
        <v>3884992.8</v>
      </c>
      <c r="AK309" s="31">
        <v>0</v>
      </c>
    </row>
    <row r="310" spans="1:37" ht="220.5" x14ac:dyDescent="0.25">
      <c r="A310" s="348" t="s">
        <v>1899</v>
      </c>
      <c r="B310" s="20">
        <v>111409</v>
      </c>
      <c r="C310" s="75">
        <v>193</v>
      </c>
      <c r="D310" s="20" t="s">
        <v>171</v>
      </c>
      <c r="E310" s="24" t="s">
        <v>165</v>
      </c>
      <c r="F310" s="22" t="s">
        <v>322</v>
      </c>
      <c r="G310" s="241" t="s">
        <v>629</v>
      </c>
      <c r="H310" s="242" t="s">
        <v>628</v>
      </c>
      <c r="I310" s="24" t="s">
        <v>422</v>
      </c>
      <c r="J310" s="116" t="s">
        <v>630</v>
      </c>
      <c r="K310" s="5">
        <v>43271</v>
      </c>
      <c r="L310" s="7">
        <v>43758</v>
      </c>
      <c r="M310" s="4">
        <f t="shared" si="337"/>
        <v>82.304194845785176</v>
      </c>
      <c r="N310" s="3" t="s">
        <v>324</v>
      </c>
      <c r="O310" s="78" t="s">
        <v>156</v>
      </c>
      <c r="P310" s="78" t="s">
        <v>156</v>
      </c>
      <c r="Q310" s="8" t="s">
        <v>326</v>
      </c>
      <c r="R310" s="3" t="s">
        <v>36</v>
      </c>
      <c r="S310" s="243">
        <f>T310+U310</f>
        <v>813056.82000000007</v>
      </c>
      <c r="T310" s="2">
        <v>655659.42000000004</v>
      </c>
      <c r="U310" s="2">
        <v>157397.4</v>
      </c>
      <c r="V310" s="2">
        <f t="shared" si="331"/>
        <v>155053.85</v>
      </c>
      <c r="W310" s="2">
        <v>115704.6</v>
      </c>
      <c r="X310" s="2">
        <v>39349.25</v>
      </c>
      <c r="Y310" s="2">
        <f t="shared" si="336"/>
        <v>0</v>
      </c>
      <c r="Z310" s="2"/>
      <c r="AA310" s="2"/>
      <c r="AB310" s="2">
        <f t="shared" si="338"/>
        <v>19757.350000000002</v>
      </c>
      <c r="AC310" s="2">
        <v>15742.12</v>
      </c>
      <c r="AD310" s="2">
        <v>4015.23</v>
      </c>
      <c r="AE310" s="2">
        <f>S310+V310+Y310+AB310</f>
        <v>987868.02</v>
      </c>
      <c r="AF310" s="2">
        <v>0</v>
      </c>
      <c r="AG310" s="2">
        <f t="shared" si="335"/>
        <v>987868.02</v>
      </c>
      <c r="AH310" s="29" t="s">
        <v>586</v>
      </c>
      <c r="AI310" s="30" t="s">
        <v>1390</v>
      </c>
      <c r="AJ310" s="31">
        <f>104036.05+83299.38+40723.7+153044.06+23273.36+53101.78+28583.42</f>
        <v>486061.74999999994</v>
      </c>
      <c r="AK310" s="31">
        <f>16886.65+26605.33+10347.13+4438.35+10126.8+5451</f>
        <v>73855.259999999995</v>
      </c>
    </row>
    <row r="311" spans="1:37" ht="141.75" x14ac:dyDescent="0.25">
      <c r="A311" s="348" t="s">
        <v>1900</v>
      </c>
      <c r="B311" s="20">
        <v>118676</v>
      </c>
      <c r="C311" s="75">
        <v>432</v>
      </c>
      <c r="D311" s="20" t="s">
        <v>171</v>
      </c>
      <c r="E311" s="24" t="s">
        <v>1082</v>
      </c>
      <c r="F311" s="22" t="s">
        <v>631</v>
      </c>
      <c r="G311" s="229" t="s">
        <v>632</v>
      </c>
      <c r="H311" s="33" t="s">
        <v>633</v>
      </c>
      <c r="I311" s="24" t="s">
        <v>634</v>
      </c>
      <c r="J311" s="116" t="s">
        <v>635</v>
      </c>
      <c r="K311" s="5">
        <v>43270</v>
      </c>
      <c r="L311" s="7" t="s">
        <v>1583</v>
      </c>
      <c r="M311" s="4">
        <f t="shared" si="337"/>
        <v>83.983863365706441</v>
      </c>
      <c r="N311" s="3" t="s">
        <v>324</v>
      </c>
      <c r="O311" s="78" t="s">
        <v>156</v>
      </c>
      <c r="P311" s="78" t="s">
        <v>156</v>
      </c>
      <c r="Q311" s="8" t="s">
        <v>157</v>
      </c>
      <c r="R311" s="3" t="s">
        <v>36</v>
      </c>
      <c r="S311" s="2">
        <f t="shared" si="330"/>
        <v>3030823.93</v>
      </c>
      <c r="T311" s="2">
        <v>2444095.41</v>
      </c>
      <c r="U311" s="2">
        <v>586728.52</v>
      </c>
      <c r="V311" s="2">
        <f t="shared" si="331"/>
        <v>0</v>
      </c>
      <c r="W311" s="2"/>
      <c r="X311" s="2"/>
      <c r="Y311" s="2">
        <f t="shared" si="336"/>
        <v>577993.05999999994</v>
      </c>
      <c r="Z311" s="2">
        <v>431310.97</v>
      </c>
      <c r="AA311" s="2">
        <v>146682.09</v>
      </c>
      <c r="AB311" s="2">
        <f t="shared" si="338"/>
        <v>0</v>
      </c>
      <c r="AC311" s="2"/>
      <c r="AD311" s="2"/>
      <c r="AE311" s="2">
        <f t="shared" si="334"/>
        <v>3608816.99</v>
      </c>
      <c r="AF311" s="2">
        <v>0</v>
      </c>
      <c r="AG311" s="2">
        <f t="shared" si="335"/>
        <v>3608816.99</v>
      </c>
      <c r="AH311" s="29" t="s">
        <v>586</v>
      </c>
      <c r="AI311" s="30" t="s">
        <v>1593</v>
      </c>
      <c r="AJ311" s="31">
        <f>43102.2+366371.99+199.89+120510.92</f>
        <v>530185</v>
      </c>
      <c r="AK311" s="31">
        <v>0</v>
      </c>
    </row>
    <row r="312" spans="1:37" ht="409.5" x14ac:dyDescent="0.25">
      <c r="A312" s="348" t="s">
        <v>1901</v>
      </c>
      <c r="B312" s="20">
        <v>111610</v>
      </c>
      <c r="C312" s="75">
        <v>374</v>
      </c>
      <c r="D312" s="20" t="s">
        <v>168</v>
      </c>
      <c r="E312" s="24" t="s">
        <v>1083</v>
      </c>
      <c r="F312" s="22" t="s">
        <v>636</v>
      </c>
      <c r="G312" s="229" t="s">
        <v>638</v>
      </c>
      <c r="H312" s="33" t="s">
        <v>637</v>
      </c>
      <c r="I312" s="24" t="s">
        <v>639</v>
      </c>
      <c r="J312" s="116" t="s">
        <v>643</v>
      </c>
      <c r="K312" s="5">
        <v>43272</v>
      </c>
      <c r="L312" s="7">
        <v>43637</v>
      </c>
      <c r="M312" s="4">
        <f t="shared" si="337"/>
        <v>82.30418774976819</v>
      </c>
      <c r="N312" s="3" t="s">
        <v>324</v>
      </c>
      <c r="O312" s="78" t="s">
        <v>156</v>
      </c>
      <c r="P312" s="78" t="s">
        <v>156</v>
      </c>
      <c r="Q312" s="8" t="s">
        <v>326</v>
      </c>
      <c r="R312" s="3" t="s">
        <v>36</v>
      </c>
      <c r="S312" s="2">
        <f t="shared" si="330"/>
        <v>3413208.46</v>
      </c>
      <c r="T312" s="2">
        <v>2752455.25</v>
      </c>
      <c r="U312" s="2">
        <v>660753.21</v>
      </c>
      <c r="V312" s="2">
        <f t="shared" si="331"/>
        <v>650915.6</v>
      </c>
      <c r="W312" s="2">
        <v>485727.33</v>
      </c>
      <c r="X312" s="2">
        <v>165188.26999999999</v>
      </c>
      <c r="Y312" s="2">
        <f t="shared" si="336"/>
        <v>0</v>
      </c>
      <c r="Z312" s="2">
        <v>0</v>
      </c>
      <c r="AA312" s="2">
        <v>0</v>
      </c>
      <c r="AB312" s="2">
        <f t="shared" si="338"/>
        <v>82941.300000000017</v>
      </c>
      <c r="AC312" s="2">
        <v>66085.326136337957</v>
      </c>
      <c r="AD312" s="2">
        <v>16855.97386366206</v>
      </c>
      <c r="AE312" s="2">
        <f>S312+V312+Y312+AB312</f>
        <v>4147065.36</v>
      </c>
      <c r="AF312" s="2">
        <v>0</v>
      </c>
      <c r="AG312" s="2">
        <f t="shared" si="335"/>
        <v>4147065.36</v>
      </c>
      <c r="AH312" s="29" t="s">
        <v>586</v>
      </c>
      <c r="AI312" s="30" t="s">
        <v>1129</v>
      </c>
      <c r="AJ312" s="31">
        <f>413506.52+39634.08+203862.73+22675.21+238112.3-5677.61+315671.54+256839.5+48499.95</f>
        <v>1533124.22</v>
      </c>
      <c r="AK312" s="31">
        <f>51329.52+25659.99+79433+5677.61+44422.4+12020.11</f>
        <v>218542.63</v>
      </c>
    </row>
    <row r="313" spans="1:37" ht="141.75" x14ac:dyDescent="0.25">
      <c r="A313" s="348" t="s">
        <v>1902</v>
      </c>
      <c r="B313" s="20">
        <v>110423</v>
      </c>
      <c r="C313" s="75">
        <v>207</v>
      </c>
      <c r="D313" s="20" t="s">
        <v>172</v>
      </c>
      <c r="E313" s="24" t="s">
        <v>165</v>
      </c>
      <c r="F313" s="22" t="s">
        <v>322</v>
      </c>
      <c r="G313" s="229" t="s">
        <v>640</v>
      </c>
      <c r="H313" s="244" t="s">
        <v>641</v>
      </c>
      <c r="I313" s="24" t="s">
        <v>422</v>
      </c>
      <c r="J313" s="116" t="s">
        <v>642</v>
      </c>
      <c r="K313" s="5">
        <v>43272</v>
      </c>
      <c r="L313" s="7">
        <v>43758</v>
      </c>
      <c r="M313" s="4">
        <f t="shared" si="337"/>
        <v>82.304186780774501</v>
      </c>
      <c r="N313" s="3" t="s">
        <v>324</v>
      </c>
      <c r="O313" s="3" t="s">
        <v>312</v>
      </c>
      <c r="P313" s="3" t="s">
        <v>312</v>
      </c>
      <c r="Q313" s="8" t="s">
        <v>326</v>
      </c>
      <c r="R313" s="3" t="s">
        <v>36</v>
      </c>
      <c r="S313" s="2">
        <f t="shared" si="330"/>
        <v>823039.16</v>
      </c>
      <c r="T313" s="2">
        <v>663709.38</v>
      </c>
      <c r="U313" s="2">
        <v>159329.78</v>
      </c>
      <c r="V313" s="2">
        <f>W313+X313</f>
        <v>156957.62</v>
      </c>
      <c r="W313" s="2">
        <v>117125.17</v>
      </c>
      <c r="X313" s="2">
        <v>39832.449999999997</v>
      </c>
      <c r="Y313" s="2">
        <f>Z313+AA313</f>
        <v>0</v>
      </c>
      <c r="Z313" s="2"/>
      <c r="AA313" s="2"/>
      <c r="AB313" s="2">
        <f t="shared" si="338"/>
        <v>19999.93</v>
      </c>
      <c r="AC313" s="2">
        <v>15935.4</v>
      </c>
      <c r="AD313" s="2">
        <v>4064.53</v>
      </c>
      <c r="AE313" s="2">
        <f t="shared" si="334"/>
        <v>999996.71000000008</v>
      </c>
      <c r="AF313" s="2">
        <v>0</v>
      </c>
      <c r="AG313" s="2">
        <f t="shared" si="335"/>
        <v>999996.71000000008</v>
      </c>
      <c r="AH313" s="29" t="s">
        <v>586</v>
      </c>
      <c r="AI313" s="30" t="s">
        <v>1401</v>
      </c>
      <c r="AJ313" s="31">
        <f>55440+153663.31-12607.53+78717.62+110523.84</f>
        <v>385737.24</v>
      </c>
      <c r="AK313" s="31">
        <f>20806.72+12607.53+21077.43</f>
        <v>54491.68</v>
      </c>
    </row>
    <row r="314" spans="1:37" ht="220.5" x14ac:dyDescent="0.25">
      <c r="A314" s="348" t="s">
        <v>1903</v>
      </c>
      <c r="B314" s="20">
        <v>111199</v>
      </c>
      <c r="C314" s="75">
        <v>147</v>
      </c>
      <c r="D314" s="20" t="s">
        <v>1318</v>
      </c>
      <c r="E314" s="24" t="s">
        <v>165</v>
      </c>
      <c r="F314" s="22" t="s">
        <v>322</v>
      </c>
      <c r="G314" s="229" t="s">
        <v>686</v>
      </c>
      <c r="H314" s="33" t="s">
        <v>687</v>
      </c>
      <c r="I314" s="24" t="s">
        <v>688</v>
      </c>
      <c r="J314" s="116" t="s">
        <v>689</v>
      </c>
      <c r="K314" s="5">
        <v>43277</v>
      </c>
      <c r="L314" s="7">
        <v>44190</v>
      </c>
      <c r="M314" s="4">
        <f t="shared" si="337"/>
        <v>82.524995224288418</v>
      </c>
      <c r="N314" s="3" t="s">
        <v>324</v>
      </c>
      <c r="O314" s="3" t="s">
        <v>312</v>
      </c>
      <c r="P314" s="3" t="s">
        <v>312</v>
      </c>
      <c r="Q314" s="8" t="s">
        <v>326</v>
      </c>
      <c r="R314" s="3" t="s">
        <v>36</v>
      </c>
      <c r="S314" s="2">
        <f>T314+U314</f>
        <v>825126.99</v>
      </c>
      <c r="T314" s="2">
        <v>665393.03</v>
      </c>
      <c r="U314" s="2">
        <v>159733.96</v>
      </c>
      <c r="V314" s="2">
        <f t="shared" si="331"/>
        <v>154726.99</v>
      </c>
      <c r="W314" s="2">
        <v>115327.75</v>
      </c>
      <c r="X314" s="2">
        <v>39399.24</v>
      </c>
      <c r="Y314" s="2">
        <f>Z314+AA314</f>
        <v>0</v>
      </c>
      <c r="Z314" s="2">
        <v>0</v>
      </c>
      <c r="AA314" s="2">
        <v>0</v>
      </c>
      <c r="AB314" s="2">
        <f>AC314+AD314</f>
        <v>19997.02</v>
      </c>
      <c r="AC314" s="2">
        <v>15933.08</v>
      </c>
      <c r="AD314" s="2">
        <v>4063.94</v>
      </c>
      <c r="AE314" s="2">
        <f t="shared" si="334"/>
        <v>999851</v>
      </c>
      <c r="AF314" s="2">
        <v>0</v>
      </c>
      <c r="AG314" s="2">
        <f t="shared" si="335"/>
        <v>999851</v>
      </c>
      <c r="AH314" s="29" t="s">
        <v>586</v>
      </c>
      <c r="AI314" s="30" t="s">
        <v>185</v>
      </c>
      <c r="AJ314" s="31">
        <f>99985.1+89695.95+1370.47+76616.64+5407.01+89703.31</f>
        <v>362778.48</v>
      </c>
      <c r="AK314" s="31">
        <f>17105.45+14284.79+17404.21</f>
        <v>48794.45</v>
      </c>
    </row>
    <row r="315" spans="1:37" ht="409.5" x14ac:dyDescent="0.25">
      <c r="A315" s="348" t="s">
        <v>1904</v>
      </c>
      <c r="B315" s="20">
        <v>111846</v>
      </c>
      <c r="C315" s="75">
        <v>165</v>
      </c>
      <c r="D315" s="20" t="s">
        <v>1073</v>
      </c>
      <c r="E315" s="24" t="s">
        <v>165</v>
      </c>
      <c r="F315" s="22" t="s">
        <v>322</v>
      </c>
      <c r="G315" s="23" t="s">
        <v>661</v>
      </c>
      <c r="H315" s="33" t="s">
        <v>662</v>
      </c>
      <c r="I315" s="24" t="s">
        <v>422</v>
      </c>
      <c r="J315" s="116" t="s">
        <v>663</v>
      </c>
      <c r="K315" s="5">
        <v>43278</v>
      </c>
      <c r="L315" s="7">
        <v>43643</v>
      </c>
      <c r="M315" s="4">
        <f t="shared" si="337"/>
        <v>82.304186166768261</v>
      </c>
      <c r="N315" s="3" t="s">
        <v>324</v>
      </c>
      <c r="O315" s="3" t="s">
        <v>312</v>
      </c>
      <c r="P315" s="3" t="s">
        <v>312</v>
      </c>
      <c r="Q315" s="8" t="s">
        <v>326</v>
      </c>
      <c r="R315" s="3" t="s">
        <v>36</v>
      </c>
      <c r="S315" s="2">
        <f t="shared" si="330"/>
        <v>693954.33</v>
      </c>
      <c r="T315" s="2">
        <v>559613.69999999995</v>
      </c>
      <c r="U315" s="2">
        <v>134340.63</v>
      </c>
      <c r="V315" s="2">
        <f t="shared" si="331"/>
        <v>132340.51</v>
      </c>
      <c r="W315" s="2">
        <v>98755.36</v>
      </c>
      <c r="X315" s="2">
        <v>33585.15</v>
      </c>
      <c r="Y315" s="2">
        <f>Z315+AA315</f>
        <v>0</v>
      </c>
      <c r="Z315" s="2">
        <v>0</v>
      </c>
      <c r="AA315" s="2">
        <v>0</v>
      </c>
      <c r="AB315" s="2">
        <f>AC315+AD315</f>
        <v>16863.16</v>
      </c>
      <c r="AC315" s="2">
        <v>13436.1</v>
      </c>
      <c r="AD315" s="2">
        <v>3427.06</v>
      </c>
      <c r="AE315" s="2">
        <f t="shared" si="334"/>
        <v>843158</v>
      </c>
      <c r="AF315" s="2">
        <v>0</v>
      </c>
      <c r="AG315" s="2">
        <f t="shared" si="335"/>
        <v>843158</v>
      </c>
      <c r="AH315" s="29" t="s">
        <v>1526</v>
      </c>
      <c r="AI315" s="30" t="s">
        <v>185</v>
      </c>
      <c r="AJ315" s="31">
        <f>137170.68-7903.65+194328.98+89918.19+31054.2+67873.86+26987.16</f>
        <v>539429.42000000004</v>
      </c>
      <c r="AK315" s="31">
        <f>10079.83+14572.02+20980.21+17147.84+5922.18+12943.9+5146.58</f>
        <v>86792.559999999983</v>
      </c>
    </row>
    <row r="316" spans="1:37" ht="409.5" x14ac:dyDescent="0.25">
      <c r="A316" s="348" t="s">
        <v>1905</v>
      </c>
      <c r="B316" s="20">
        <v>110795</v>
      </c>
      <c r="C316" s="75">
        <v>127</v>
      </c>
      <c r="D316" s="20" t="s">
        <v>1318</v>
      </c>
      <c r="E316" s="24" t="s">
        <v>165</v>
      </c>
      <c r="F316" s="22" t="s">
        <v>322</v>
      </c>
      <c r="G316" s="23" t="s">
        <v>664</v>
      </c>
      <c r="H316" s="33" t="s">
        <v>669</v>
      </c>
      <c r="I316" s="24" t="s">
        <v>670</v>
      </c>
      <c r="J316" s="6" t="s">
        <v>671</v>
      </c>
      <c r="K316" s="5">
        <v>43278</v>
      </c>
      <c r="L316" s="7">
        <v>43765</v>
      </c>
      <c r="M316" s="4">
        <f t="shared" si="337"/>
        <v>82.304181171723172</v>
      </c>
      <c r="N316" s="3" t="s">
        <v>324</v>
      </c>
      <c r="O316" s="3" t="s">
        <v>312</v>
      </c>
      <c r="P316" s="3" t="s">
        <v>312</v>
      </c>
      <c r="Q316" s="8" t="s">
        <v>326</v>
      </c>
      <c r="R316" s="3" t="s">
        <v>36</v>
      </c>
      <c r="S316" s="2">
        <f t="shared" si="330"/>
        <v>818511.09</v>
      </c>
      <c r="T316" s="2">
        <v>660057.88</v>
      </c>
      <c r="U316" s="2">
        <v>158453.21</v>
      </c>
      <c r="V316" s="2">
        <f t="shared" si="331"/>
        <v>156094.12</v>
      </c>
      <c r="W316" s="2">
        <v>116480.81</v>
      </c>
      <c r="X316" s="2">
        <v>39613.31</v>
      </c>
      <c r="Y316" s="2">
        <f t="shared" si="336"/>
        <v>0</v>
      </c>
      <c r="Z316" s="2"/>
      <c r="AA316" s="2"/>
      <c r="AB316" s="2">
        <f t="shared" si="338"/>
        <v>19889.939999999999</v>
      </c>
      <c r="AC316" s="2">
        <v>15847.76</v>
      </c>
      <c r="AD316" s="2">
        <v>4042.18</v>
      </c>
      <c r="AE316" s="2">
        <f t="shared" si="334"/>
        <v>994495.14999999991</v>
      </c>
      <c r="AF316" s="2"/>
      <c r="AG316" s="2">
        <f t="shared" si="335"/>
        <v>994495.14999999991</v>
      </c>
      <c r="AH316" s="29" t="s">
        <v>586</v>
      </c>
      <c r="AI316" s="30"/>
      <c r="AJ316" s="31">
        <f>157838.38+70218+75120.05-9400.61+77188.42+38669.17-7483.51+148856.55+42278.62</f>
        <v>593285.06999999995</v>
      </c>
      <c r="AK316" s="31">
        <f>11135.04+27716.68+9400.61+3526.85+11840.91+7483.51+15010.54+8062.74</f>
        <v>94176.87999999999</v>
      </c>
    </row>
    <row r="317" spans="1:37" ht="267.75" x14ac:dyDescent="0.25">
      <c r="A317" s="348" t="s">
        <v>1906</v>
      </c>
      <c r="B317" s="20">
        <v>110651</v>
      </c>
      <c r="C317" s="75">
        <v>226</v>
      </c>
      <c r="D317" s="20" t="s">
        <v>172</v>
      </c>
      <c r="E317" s="24" t="s">
        <v>165</v>
      </c>
      <c r="F317" s="22" t="s">
        <v>322</v>
      </c>
      <c r="G317" s="229" t="s">
        <v>665</v>
      </c>
      <c r="H317" s="33" t="s">
        <v>666</v>
      </c>
      <c r="I317" s="24" t="s">
        <v>667</v>
      </c>
      <c r="J317" s="6" t="s">
        <v>668</v>
      </c>
      <c r="K317" s="5">
        <v>43278</v>
      </c>
      <c r="L317" s="7">
        <v>43765</v>
      </c>
      <c r="M317" s="4">
        <f t="shared" si="337"/>
        <v>82.795862537238648</v>
      </c>
      <c r="N317" s="3" t="s">
        <v>324</v>
      </c>
      <c r="O317" s="3" t="s">
        <v>312</v>
      </c>
      <c r="P317" s="3" t="s">
        <v>312</v>
      </c>
      <c r="Q317" s="8" t="s">
        <v>326</v>
      </c>
      <c r="R317" s="3" t="s">
        <v>36</v>
      </c>
      <c r="S317" s="2">
        <f t="shared" si="330"/>
        <v>774090.95</v>
      </c>
      <c r="T317" s="2">
        <v>624236.9</v>
      </c>
      <c r="U317" s="2">
        <v>149854.04999999999</v>
      </c>
      <c r="V317" s="2">
        <f t="shared" si="331"/>
        <v>142149.4</v>
      </c>
      <c r="W317" s="2">
        <v>105798.25</v>
      </c>
      <c r="X317" s="2">
        <v>36351.15</v>
      </c>
      <c r="Y317" s="2">
        <f t="shared" si="336"/>
        <v>0</v>
      </c>
      <c r="Z317" s="2"/>
      <c r="AA317" s="2"/>
      <c r="AB317" s="2">
        <f t="shared" si="338"/>
        <v>18698.82</v>
      </c>
      <c r="AC317" s="2">
        <v>14898.73</v>
      </c>
      <c r="AD317" s="2">
        <v>3800.09</v>
      </c>
      <c r="AE317" s="2">
        <f t="shared" si="334"/>
        <v>934939.16999999993</v>
      </c>
      <c r="AF317" s="2">
        <v>0</v>
      </c>
      <c r="AG317" s="2">
        <f t="shared" si="335"/>
        <v>934939.16999999993</v>
      </c>
      <c r="AH317" s="29" t="s">
        <v>586</v>
      </c>
      <c r="AI317" s="30" t="s">
        <v>185</v>
      </c>
      <c r="AJ317" s="31">
        <f>93127.69-32382.23+82358.09+30059.24-7220.89+50009.03</f>
        <v>215950.92999999996</v>
      </c>
      <c r="AK317" s="31">
        <f>9460.82+5699.03+7815.58</f>
        <v>22975.43</v>
      </c>
    </row>
    <row r="318" spans="1:37" ht="409.5" x14ac:dyDescent="0.25">
      <c r="A318" s="348" t="s">
        <v>1907</v>
      </c>
      <c r="B318" s="20">
        <v>111787</v>
      </c>
      <c r="C318" s="75">
        <v>169</v>
      </c>
      <c r="D318" s="20" t="s">
        <v>1073</v>
      </c>
      <c r="E318" s="24" t="s">
        <v>165</v>
      </c>
      <c r="F318" s="22" t="s">
        <v>322</v>
      </c>
      <c r="G318" s="23" t="s">
        <v>672</v>
      </c>
      <c r="H318" s="33" t="s">
        <v>673</v>
      </c>
      <c r="I318" s="24" t="s">
        <v>422</v>
      </c>
      <c r="J318" s="6" t="s">
        <v>674</v>
      </c>
      <c r="K318" s="5">
        <v>43278</v>
      </c>
      <c r="L318" s="7">
        <v>43765</v>
      </c>
      <c r="M318" s="4">
        <f t="shared" si="337"/>
        <v>82.304186085847633</v>
      </c>
      <c r="N318" s="3" t="s">
        <v>324</v>
      </c>
      <c r="O318" s="3" t="s">
        <v>312</v>
      </c>
      <c r="P318" s="3" t="s">
        <v>312</v>
      </c>
      <c r="Q318" s="8" t="s">
        <v>326</v>
      </c>
      <c r="R318" s="3" t="s">
        <v>36</v>
      </c>
      <c r="S318" s="2">
        <f t="shared" si="330"/>
        <v>822921.16999999993</v>
      </c>
      <c r="T318" s="2">
        <v>663614.22</v>
      </c>
      <c r="U318" s="2">
        <v>159306.95000000001</v>
      </c>
      <c r="V318" s="2">
        <f t="shared" si="331"/>
        <v>156935.12</v>
      </c>
      <c r="W318" s="2">
        <v>117108.4</v>
      </c>
      <c r="X318" s="2">
        <v>39826.720000000001</v>
      </c>
      <c r="Y318" s="2">
        <f t="shared" si="336"/>
        <v>0</v>
      </c>
      <c r="Z318" s="2"/>
      <c r="AA318" s="2"/>
      <c r="AB318" s="2">
        <f t="shared" si="338"/>
        <v>19997.07</v>
      </c>
      <c r="AC318" s="2">
        <v>15933.11</v>
      </c>
      <c r="AD318" s="2">
        <v>4063.96</v>
      </c>
      <c r="AE318" s="2">
        <f t="shared" si="334"/>
        <v>999853.35999999987</v>
      </c>
      <c r="AF318" s="2"/>
      <c r="AG318" s="2">
        <f t="shared" si="335"/>
        <v>999853.35999999987</v>
      </c>
      <c r="AH318" s="29" t="s">
        <v>586</v>
      </c>
      <c r="AI318" s="30"/>
      <c r="AJ318" s="31">
        <f>73296.53+95514.85+3270.71+99985.33+65010.91+99985.33-954</f>
        <v>436109.66</v>
      </c>
      <c r="AK318" s="31">
        <f>13125.47+19691.44+31465.6+954</f>
        <v>65236.509999999995</v>
      </c>
    </row>
    <row r="319" spans="1:37" ht="409.5" x14ac:dyDescent="0.25">
      <c r="A319" s="348" t="s">
        <v>1908</v>
      </c>
      <c r="B319" s="20">
        <v>113139</v>
      </c>
      <c r="C319" s="75">
        <v>387</v>
      </c>
      <c r="D319" s="20" t="s">
        <v>168</v>
      </c>
      <c r="E319" s="24" t="s">
        <v>1083</v>
      </c>
      <c r="F319" s="22" t="s">
        <v>636</v>
      </c>
      <c r="G319" s="23" t="s">
        <v>681</v>
      </c>
      <c r="H319" s="33" t="s">
        <v>680</v>
      </c>
      <c r="I319" s="24" t="s">
        <v>682</v>
      </c>
      <c r="J319" s="6" t="s">
        <v>683</v>
      </c>
      <c r="K319" s="5">
        <v>43273</v>
      </c>
      <c r="L319" s="7">
        <v>43760</v>
      </c>
      <c r="M319" s="4">
        <f t="shared" si="337"/>
        <v>82.304185106128585</v>
      </c>
      <c r="N319" s="3" t="s">
        <v>324</v>
      </c>
      <c r="O319" s="3" t="s">
        <v>312</v>
      </c>
      <c r="P319" s="3" t="s">
        <v>312</v>
      </c>
      <c r="Q319" s="8" t="s">
        <v>326</v>
      </c>
      <c r="R319" s="3" t="s">
        <v>36</v>
      </c>
      <c r="S319" s="2">
        <f t="shared" si="330"/>
        <v>3201407.46</v>
      </c>
      <c r="T319" s="2">
        <v>2581656.2000000002</v>
      </c>
      <c r="U319" s="2">
        <v>619751.26</v>
      </c>
      <c r="V319" s="2">
        <f t="shared" si="331"/>
        <v>610524.23</v>
      </c>
      <c r="W319" s="2">
        <v>455586.4</v>
      </c>
      <c r="X319" s="2">
        <v>154937.82999999999</v>
      </c>
      <c r="Y319" s="2">
        <f t="shared" si="336"/>
        <v>0</v>
      </c>
      <c r="Z319" s="2">
        <v>0</v>
      </c>
      <c r="AA319" s="2">
        <v>0</v>
      </c>
      <c r="AB319" s="2">
        <f t="shared" si="338"/>
        <v>77794.52</v>
      </c>
      <c r="AC319" s="2">
        <v>61984.53</v>
      </c>
      <c r="AD319" s="2">
        <v>15809.99</v>
      </c>
      <c r="AE319" s="2">
        <f t="shared" si="334"/>
        <v>3889726.21</v>
      </c>
      <c r="AF319" s="2">
        <v>0</v>
      </c>
      <c r="AG319" s="2">
        <f t="shared" si="335"/>
        <v>3889726.21</v>
      </c>
      <c r="AH319" s="29" t="s">
        <v>586</v>
      </c>
      <c r="AI319" s="30" t="s">
        <v>185</v>
      </c>
      <c r="AJ319" s="31">
        <f>388971+375144.58-54672.24+342821.17+4731.32+402737.67</f>
        <v>1459733.5</v>
      </c>
      <c r="AK319" s="31">
        <f>71541.92+54951.43+44725.39+32980.93</f>
        <v>204199.66999999998</v>
      </c>
    </row>
    <row r="320" spans="1:37" ht="409.5" x14ac:dyDescent="0.25">
      <c r="A320" s="348" t="s">
        <v>1909</v>
      </c>
      <c r="B320" s="20">
        <v>111603</v>
      </c>
      <c r="C320" s="75">
        <v>195</v>
      </c>
      <c r="D320" s="20" t="s">
        <v>171</v>
      </c>
      <c r="E320" s="24" t="s">
        <v>165</v>
      </c>
      <c r="F320" s="22" t="s">
        <v>322</v>
      </c>
      <c r="G320" s="245" t="s">
        <v>696</v>
      </c>
      <c r="H320" s="245" t="s">
        <v>694</v>
      </c>
      <c r="I320" s="3" t="s">
        <v>693</v>
      </c>
      <c r="J320" s="6" t="s">
        <v>695</v>
      </c>
      <c r="K320" s="5">
        <v>43283</v>
      </c>
      <c r="L320" s="7">
        <v>43832</v>
      </c>
      <c r="M320" s="4">
        <f t="shared" si="337"/>
        <v>82.586398931908917</v>
      </c>
      <c r="N320" s="3" t="s">
        <v>324</v>
      </c>
      <c r="O320" s="3" t="s">
        <v>312</v>
      </c>
      <c r="P320" s="3" t="s">
        <v>312</v>
      </c>
      <c r="Q320" s="8" t="s">
        <v>326</v>
      </c>
      <c r="R320" s="3" t="s">
        <v>36</v>
      </c>
      <c r="S320" s="2">
        <f t="shared" si="330"/>
        <v>822323.37</v>
      </c>
      <c r="T320" s="2">
        <v>663132.13</v>
      </c>
      <c r="U320" s="2">
        <v>159191.24</v>
      </c>
      <c r="V320" s="2">
        <f t="shared" si="331"/>
        <v>153475.07</v>
      </c>
      <c r="W320" s="2">
        <v>114357.34</v>
      </c>
      <c r="X320" s="2">
        <v>39117.730000000003</v>
      </c>
      <c r="Y320" s="2">
        <f t="shared" si="336"/>
        <v>0</v>
      </c>
      <c r="Z320" s="2">
        <v>0</v>
      </c>
      <c r="AA320" s="2">
        <v>0</v>
      </c>
      <c r="AB320" s="2">
        <f t="shared" si="338"/>
        <v>19914.39</v>
      </c>
      <c r="AC320" s="2">
        <v>15867.2</v>
      </c>
      <c r="AD320" s="2">
        <v>4047.19</v>
      </c>
      <c r="AE320" s="2">
        <f t="shared" si="334"/>
        <v>995712.83</v>
      </c>
      <c r="AF320" s="2">
        <v>0</v>
      </c>
      <c r="AG320" s="2">
        <f t="shared" si="335"/>
        <v>995712.83</v>
      </c>
      <c r="AH320" s="29" t="s">
        <v>586</v>
      </c>
      <c r="AI320" s="30" t="s">
        <v>1473</v>
      </c>
      <c r="AJ320" s="31">
        <f>99571.31-9242.96+89177.68+83254.45+30280.79+7839.21</f>
        <v>300880.48</v>
      </c>
      <c r="AK320" s="31">
        <f>15946.32+15174.65+5774.69+4031.4</f>
        <v>40927.060000000005</v>
      </c>
    </row>
    <row r="321" spans="1:37" ht="141.75" x14ac:dyDescent="0.25">
      <c r="A321" s="348" t="s">
        <v>1910</v>
      </c>
      <c r="B321" s="20">
        <v>113188</v>
      </c>
      <c r="C321" s="75">
        <v>246</v>
      </c>
      <c r="D321" s="20" t="s">
        <v>170</v>
      </c>
      <c r="E321" s="24" t="s">
        <v>165</v>
      </c>
      <c r="F321" s="22" t="s">
        <v>322</v>
      </c>
      <c r="G321" s="229" t="s">
        <v>701</v>
      </c>
      <c r="H321" s="33" t="s">
        <v>702</v>
      </c>
      <c r="I321" s="24" t="s">
        <v>422</v>
      </c>
      <c r="J321" s="6" t="s">
        <v>703</v>
      </c>
      <c r="K321" s="5">
        <v>43284</v>
      </c>
      <c r="L321" s="7">
        <v>43711</v>
      </c>
      <c r="M321" s="4">
        <f t="shared" si="337"/>
        <v>82.304188575115816</v>
      </c>
      <c r="N321" s="3" t="s">
        <v>324</v>
      </c>
      <c r="O321" s="3" t="s">
        <v>312</v>
      </c>
      <c r="P321" s="3" t="s">
        <v>312</v>
      </c>
      <c r="Q321" s="8" t="s">
        <v>326</v>
      </c>
      <c r="R321" s="3" t="s">
        <v>36</v>
      </c>
      <c r="S321" s="2">
        <f t="shared" si="330"/>
        <v>745468.83000000007</v>
      </c>
      <c r="T321" s="2">
        <v>601155.66</v>
      </c>
      <c r="U321" s="2">
        <v>144313.17000000001</v>
      </c>
      <c r="V321" s="2">
        <f t="shared" si="331"/>
        <v>142164.54</v>
      </c>
      <c r="W321" s="2">
        <v>106086.28</v>
      </c>
      <c r="X321" s="2">
        <v>36078.26</v>
      </c>
      <c r="Y321" s="2">
        <f t="shared" si="336"/>
        <v>0</v>
      </c>
      <c r="Z321" s="2">
        <v>0</v>
      </c>
      <c r="AA321" s="2">
        <v>0</v>
      </c>
      <c r="AB321" s="2">
        <f t="shared" si="338"/>
        <v>18114.98</v>
      </c>
      <c r="AC321" s="2">
        <v>14433.5</v>
      </c>
      <c r="AD321" s="2">
        <v>3681.48</v>
      </c>
      <c r="AE321" s="2">
        <f t="shared" si="334"/>
        <v>905748.35000000009</v>
      </c>
      <c r="AF321" s="2">
        <v>0</v>
      </c>
      <c r="AG321" s="2">
        <f t="shared" si="335"/>
        <v>905748.35000000009</v>
      </c>
      <c r="AH321" s="29" t="s">
        <v>586</v>
      </c>
      <c r="AI321" s="30" t="s">
        <v>185</v>
      </c>
      <c r="AJ321" s="31">
        <f>76816.8+130770.26-14027.52+87583.68+55112.77+22177.11+95479.67+15632.7+2054.36</f>
        <v>471599.82999999996</v>
      </c>
      <c r="AK321" s="31">
        <f>13758.03+8556.79+14027.52+10510.28+4229.28+10710.03+10479.69+17664.84</f>
        <v>89936.459999999992</v>
      </c>
    </row>
    <row r="322" spans="1:37" ht="315" x14ac:dyDescent="0.25">
      <c r="A322" s="348" t="s">
        <v>1911</v>
      </c>
      <c r="B322" s="20">
        <v>116097</v>
      </c>
      <c r="C322" s="75">
        <v>394</v>
      </c>
      <c r="D322" s="20" t="s">
        <v>170</v>
      </c>
      <c r="E322" s="232" t="s">
        <v>165</v>
      </c>
      <c r="F322" s="43" t="s">
        <v>446</v>
      </c>
      <c r="G322" s="6" t="s">
        <v>713</v>
      </c>
      <c r="H322" s="33" t="s">
        <v>712</v>
      </c>
      <c r="I322" s="24" t="s">
        <v>503</v>
      </c>
      <c r="J322" s="6" t="s">
        <v>714</v>
      </c>
      <c r="K322" s="5">
        <v>43284</v>
      </c>
      <c r="L322" s="7">
        <v>44077</v>
      </c>
      <c r="M322" s="4">
        <f t="shared" si="337"/>
        <v>83.983862774791262</v>
      </c>
      <c r="N322" s="3" t="s">
        <v>324</v>
      </c>
      <c r="O322" s="3" t="s">
        <v>312</v>
      </c>
      <c r="P322" s="3" t="s">
        <v>312</v>
      </c>
      <c r="Q322" s="8" t="s">
        <v>157</v>
      </c>
      <c r="R322" s="3" t="s">
        <v>36</v>
      </c>
      <c r="S322" s="2">
        <f t="shared" si="330"/>
        <v>6396515.5899999999</v>
      </c>
      <c r="T322" s="2">
        <v>5158232.53</v>
      </c>
      <c r="U322" s="2">
        <v>1238283.06</v>
      </c>
      <c r="V322" s="2">
        <f t="shared" si="331"/>
        <v>472527.32999999996</v>
      </c>
      <c r="W322" s="2">
        <v>349201.67</v>
      </c>
      <c r="X322" s="2">
        <v>123325.66</v>
      </c>
      <c r="Y322" s="2">
        <f t="shared" si="336"/>
        <v>747319.77</v>
      </c>
      <c r="Z322" s="2">
        <v>561074.66</v>
      </c>
      <c r="AA322" s="2">
        <v>186245.11</v>
      </c>
      <c r="AB322" s="2">
        <f t="shared" si="338"/>
        <v>0</v>
      </c>
      <c r="AC322" s="2">
        <v>0</v>
      </c>
      <c r="AD322" s="2">
        <v>0</v>
      </c>
      <c r="AE322" s="2">
        <f t="shared" si="334"/>
        <v>7616362.6899999995</v>
      </c>
      <c r="AF322" s="2">
        <v>0</v>
      </c>
      <c r="AG322" s="2">
        <f t="shared" si="335"/>
        <v>7616362.6899999995</v>
      </c>
      <c r="AH322" s="29" t="s">
        <v>586</v>
      </c>
      <c r="AI322" s="30" t="s">
        <v>185</v>
      </c>
      <c r="AJ322" s="31">
        <f>253980+93643.83</f>
        <v>347623.83</v>
      </c>
      <c r="AK322" s="31">
        <v>4416.62</v>
      </c>
    </row>
    <row r="323" spans="1:37" ht="409.5" x14ac:dyDescent="0.25">
      <c r="A323" s="348" t="s">
        <v>1912</v>
      </c>
      <c r="B323" s="20">
        <v>109966</v>
      </c>
      <c r="C323" s="75">
        <v>368</v>
      </c>
      <c r="D323" s="20" t="s">
        <v>1318</v>
      </c>
      <c r="E323" s="24" t="s">
        <v>165</v>
      </c>
      <c r="F323" s="22" t="s">
        <v>322</v>
      </c>
      <c r="G323" s="246" t="s">
        <v>709</v>
      </c>
      <c r="H323" s="246" t="s">
        <v>710</v>
      </c>
      <c r="I323" s="24" t="s">
        <v>422</v>
      </c>
      <c r="J323" s="6" t="s">
        <v>711</v>
      </c>
      <c r="K323" s="5">
        <v>43284</v>
      </c>
      <c r="L323" s="7">
        <v>43772</v>
      </c>
      <c r="M323" s="4">
        <f t="shared" si="337"/>
        <v>82.304190385931335</v>
      </c>
      <c r="N323" s="3" t="s">
        <v>324</v>
      </c>
      <c r="O323" s="3" t="s">
        <v>320</v>
      </c>
      <c r="P323" s="3" t="s">
        <v>996</v>
      </c>
      <c r="Q323" s="8" t="s">
        <v>326</v>
      </c>
      <c r="R323" s="3" t="s">
        <v>36</v>
      </c>
      <c r="S323" s="2">
        <f t="shared" si="330"/>
        <v>820713.65</v>
      </c>
      <c r="T323" s="2">
        <v>661834.04</v>
      </c>
      <c r="U323" s="2">
        <v>158879.60999999999</v>
      </c>
      <c r="V323" s="2">
        <f t="shared" si="331"/>
        <v>156514.07999999999</v>
      </c>
      <c r="W323" s="2">
        <v>116794.2</v>
      </c>
      <c r="X323" s="2">
        <v>39719.879999999997</v>
      </c>
      <c r="Y323" s="2">
        <f t="shared" si="336"/>
        <v>0</v>
      </c>
      <c r="Z323" s="2">
        <v>0</v>
      </c>
      <c r="AA323" s="2">
        <v>0</v>
      </c>
      <c r="AB323" s="2">
        <f t="shared" si="338"/>
        <v>19943.43</v>
      </c>
      <c r="AC323" s="2">
        <v>15890.39</v>
      </c>
      <c r="AD323" s="2">
        <v>4053.04</v>
      </c>
      <c r="AE323" s="2">
        <f t="shared" si="334"/>
        <v>997171.16</v>
      </c>
      <c r="AF323" s="2">
        <v>0</v>
      </c>
      <c r="AG323" s="2">
        <f t="shared" si="335"/>
        <v>997171.16</v>
      </c>
      <c r="AH323" s="29" t="s">
        <v>586</v>
      </c>
      <c r="AI323" s="30" t="s">
        <v>185</v>
      </c>
      <c r="AJ323" s="31">
        <f>97719.31+82606.17+3211.32+89251.39-12691.77+101574.57</f>
        <v>361670.99</v>
      </c>
      <c r="AK323" s="31">
        <f>16734.59+7125.74+9148.44+12691.77+4258.59</f>
        <v>49959.130000000005</v>
      </c>
    </row>
    <row r="324" spans="1:37" ht="141.75" x14ac:dyDescent="0.25">
      <c r="A324" s="348" t="s">
        <v>1913</v>
      </c>
      <c r="B324" s="20">
        <v>112133</v>
      </c>
      <c r="C324" s="75">
        <v>149</v>
      </c>
      <c r="D324" s="20" t="s">
        <v>1318</v>
      </c>
      <c r="E324" s="24" t="s">
        <v>165</v>
      </c>
      <c r="F324" s="22" t="s">
        <v>322</v>
      </c>
      <c r="G324" s="247" t="s">
        <v>716</v>
      </c>
      <c r="H324" s="33" t="s">
        <v>717</v>
      </c>
      <c r="I324" s="24" t="s">
        <v>718</v>
      </c>
      <c r="J324" s="248" t="s">
        <v>719</v>
      </c>
      <c r="K324" s="5">
        <v>43286</v>
      </c>
      <c r="L324" s="7">
        <v>43773</v>
      </c>
      <c r="M324" s="4">
        <f t="shared" si="337"/>
        <v>82.304192989201169</v>
      </c>
      <c r="N324" s="3" t="s">
        <v>324</v>
      </c>
      <c r="O324" s="3" t="s">
        <v>720</v>
      </c>
      <c r="P324" s="3" t="s">
        <v>708</v>
      </c>
      <c r="Q324" s="8" t="s">
        <v>326</v>
      </c>
      <c r="R324" s="3" t="s">
        <v>36</v>
      </c>
      <c r="S324" s="2">
        <v>615782.40000000002</v>
      </c>
      <c r="T324" s="2">
        <v>496574.82</v>
      </c>
      <c r="U324" s="2">
        <v>119207.58</v>
      </c>
      <c r="V324" s="2">
        <f t="shared" si="331"/>
        <v>117432.69</v>
      </c>
      <c r="W324" s="2">
        <v>87630.81</v>
      </c>
      <c r="X324" s="2">
        <v>29801.88</v>
      </c>
      <c r="Y324" s="2">
        <f>Z324+AA324</f>
        <v>0</v>
      </c>
      <c r="Z324" s="2"/>
      <c r="AA324" s="2"/>
      <c r="AB324" s="2">
        <f>AC324+AD324</f>
        <v>14963.56</v>
      </c>
      <c r="AC324" s="2">
        <v>11922.59</v>
      </c>
      <c r="AD324" s="2">
        <v>3040.97</v>
      </c>
      <c r="AE324" s="2">
        <f t="shared" si="334"/>
        <v>748178.65000000014</v>
      </c>
      <c r="AF324" s="2"/>
      <c r="AG324" s="2">
        <f t="shared" si="335"/>
        <v>748178.65000000014</v>
      </c>
      <c r="AH324" s="29" t="s">
        <v>586</v>
      </c>
      <c r="AI324" s="30" t="s">
        <v>185</v>
      </c>
      <c r="AJ324" s="31">
        <f>67020+7797+44875.55+3783.2+14368.2-5518.28+131016.07+9271.15+23657.27</f>
        <v>296270.16000000003</v>
      </c>
      <c r="AK324" s="31">
        <f>8557.98+2208.4+1253.17+10049.33+13883.73+1768.06+17631.4</f>
        <v>55352.07</v>
      </c>
    </row>
    <row r="325" spans="1:37" ht="195" x14ac:dyDescent="0.25">
      <c r="A325" s="348" t="s">
        <v>1914</v>
      </c>
      <c r="B325" s="20">
        <v>112698</v>
      </c>
      <c r="C325" s="75">
        <v>231</v>
      </c>
      <c r="D325" s="20" t="s">
        <v>170</v>
      </c>
      <c r="E325" s="24" t="s">
        <v>165</v>
      </c>
      <c r="F325" s="22" t="s">
        <v>322</v>
      </c>
      <c r="G325" s="247" t="s">
        <v>725</v>
      </c>
      <c r="H325" s="33" t="s">
        <v>726</v>
      </c>
      <c r="I325" s="24" t="s">
        <v>727</v>
      </c>
      <c r="J325" s="248" t="s">
        <v>728</v>
      </c>
      <c r="K325" s="5">
        <v>43273</v>
      </c>
      <c r="L325" s="7">
        <v>43730</v>
      </c>
      <c r="M325" s="4">
        <f t="shared" si="337"/>
        <v>82.525665803949437</v>
      </c>
      <c r="N325" s="3" t="s">
        <v>324</v>
      </c>
      <c r="O325" s="3" t="s">
        <v>312</v>
      </c>
      <c r="P325" s="3" t="s">
        <v>312</v>
      </c>
      <c r="Q325" s="8" t="s">
        <v>326</v>
      </c>
      <c r="R325" s="3" t="s">
        <v>36</v>
      </c>
      <c r="S325" s="2">
        <f t="shared" si="330"/>
        <v>814877.24</v>
      </c>
      <c r="T325" s="2">
        <v>657127.51</v>
      </c>
      <c r="U325" s="2">
        <v>157749.73000000001</v>
      </c>
      <c r="V325" s="2">
        <f t="shared" si="331"/>
        <v>134548.1</v>
      </c>
      <c r="W325" s="2">
        <v>100402.7</v>
      </c>
      <c r="X325" s="2">
        <v>34145.4</v>
      </c>
      <c r="Y325" s="2">
        <f t="shared" si="336"/>
        <v>20853.009999999998</v>
      </c>
      <c r="Z325" s="2">
        <v>15560.97</v>
      </c>
      <c r="AA325" s="2">
        <v>5292.04</v>
      </c>
      <c r="AB325" s="2">
        <f t="shared" si="338"/>
        <v>17144.45</v>
      </c>
      <c r="AC325" s="2">
        <v>13660.23</v>
      </c>
      <c r="AD325" s="2">
        <v>3484.22</v>
      </c>
      <c r="AE325" s="2">
        <f t="shared" si="334"/>
        <v>987422.79999999993</v>
      </c>
      <c r="AF325" s="2"/>
      <c r="AG325" s="2">
        <f t="shared" si="335"/>
        <v>987422.79999999993</v>
      </c>
      <c r="AH325" s="29" t="s">
        <v>586</v>
      </c>
      <c r="AI325" s="30" t="s">
        <v>1506</v>
      </c>
      <c r="AJ325" s="31">
        <f>85822.98+78186.5</f>
        <v>164009.47999999998</v>
      </c>
      <c r="AK325" s="31">
        <v>14910.56</v>
      </c>
    </row>
    <row r="326" spans="1:37" ht="409.5" x14ac:dyDescent="0.25">
      <c r="A326" s="348" t="s">
        <v>1915</v>
      </c>
      <c r="B326" s="20">
        <v>112427</v>
      </c>
      <c r="C326" s="75">
        <v>367</v>
      </c>
      <c r="D326" s="20" t="s">
        <v>1318</v>
      </c>
      <c r="E326" s="24" t="s">
        <v>165</v>
      </c>
      <c r="F326" s="22" t="s">
        <v>322</v>
      </c>
      <c r="G326" s="247" t="s">
        <v>732</v>
      </c>
      <c r="H326" s="33" t="s">
        <v>733</v>
      </c>
      <c r="I326" s="24" t="s">
        <v>735</v>
      </c>
      <c r="J326" s="6" t="s">
        <v>734</v>
      </c>
      <c r="K326" s="5">
        <v>43290</v>
      </c>
      <c r="L326" s="7">
        <v>43778</v>
      </c>
      <c r="M326" s="4">
        <f t="shared" si="337"/>
        <v>82.304189883139372</v>
      </c>
      <c r="N326" s="3" t="s">
        <v>324</v>
      </c>
      <c r="O326" s="3" t="s">
        <v>312</v>
      </c>
      <c r="P326" s="3" t="s">
        <v>312</v>
      </c>
      <c r="Q326" s="8" t="s">
        <v>326</v>
      </c>
      <c r="R326" s="3" t="s">
        <v>36</v>
      </c>
      <c r="S326" s="2">
        <f t="shared" si="330"/>
        <v>785233.14</v>
      </c>
      <c r="T326" s="2">
        <v>633222.11</v>
      </c>
      <c r="U326" s="2">
        <v>152011.03</v>
      </c>
      <c r="V326" s="2">
        <f t="shared" si="331"/>
        <v>149747.75</v>
      </c>
      <c r="W326" s="2">
        <v>111745.03</v>
      </c>
      <c r="X326" s="2">
        <v>38002.720000000001</v>
      </c>
      <c r="Y326" s="2">
        <f t="shared" si="336"/>
        <v>0</v>
      </c>
      <c r="Z326" s="2">
        <v>0</v>
      </c>
      <c r="AA326" s="2">
        <v>0</v>
      </c>
      <c r="AB326" s="2">
        <f t="shared" si="338"/>
        <v>19081.28</v>
      </c>
      <c r="AC326" s="2">
        <v>15203.43</v>
      </c>
      <c r="AD326" s="2">
        <v>3877.85</v>
      </c>
      <c r="AE326" s="2">
        <f t="shared" si="334"/>
        <v>954062.17</v>
      </c>
      <c r="AF326" s="2">
        <v>0</v>
      </c>
      <c r="AG326" s="2">
        <f t="shared" si="335"/>
        <v>954062.17</v>
      </c>
      <c r="AH326" s="29" t="s">
        <v>586</v>
      </c>
      <c r="AI326" s="30" t="s">
        <v>185</v>
      </c>
      <c r="AJ326" s="31">
        <f>57915.69+124630.09-868.64+54803.2+81029.88</f>
        <v>317510.21999999997</v>
      </c>
      <c r="AK326" s="31">
        <f>16617.93+10285.59+15452.81</f>
        <v>42356.33</v>
      </c>
    </row>
    <row r="327" spans="1:37" ht="157.5" x14ac:dyDescent="0.25">
      <c r="A327" s="348" t="s">
        <v>1916</v>
      </c>
      <c r="B327" s="20">
        <v>112409</v>
      </c>
      <c r="C327" s="75">
        <v>150</v>
      </c>
      <c r="D327" s="20" t="s">
        <v>1318</v>
      </c>
      <c r="E327" s="24" t="s">
        <v>165</v>
      </c>
      <c r="F327" s="22" t="s">
        <v>322</v>
      </c>
      <c r="G327" s="247" t="s">
        <v>736</v>
      </c>
      <c r="H327" s="33" t="s">
        <v>737</v>
      </c>
      <c r="I327" s="24" t="s">
        <v>353</v>
      </c>
      <c r="J327" s="6" t="s">
        <v>738</v>
      </c>
      <c r="K327" s="5">
        <v>43291</v>
      </c>
      <c r="L327" s="7">
        <v>43778</v>
      </c>
      <c r="M327" s="4">
        <f t="shared" si="337"/>
        <v>82.304188969946821</v>
      </c>
      <c r="N327" s="3" t="s">
        <v>324</v>
      </c>
      <c r="O327" s="3" t="s">
        <v>429</v>
      </c>
      <c r="P327" s="3" t="s">
        <v>304</v>
      </c>
      <c r="Q327" s="8" t="s">
        <v>326</v>
      </c>
      <c r="R327" s="3" t="s">
        <v>36</v>
      </c>
      <c r="S327" s="2">
        <f t="shared" si="330"/>
        <v>780523.20000000007</v>
      </c>
      <c r="T327" s="2">
        <v>629423.91</v>
      </c>
      <c r="U327" s="2">
        <v>151099.29</v>
      </c>
      <c r="V327" s="2">
        <f t="shared" si="331"/>
        <v>148849.57</v>
      </c>
      <c r="W327" s="2">
        <v>111074.8</v>
      </c>
      <c r="X327" s="2">
        <v>37774.769999999997</v>
      </c>
      <c r="Y327" s="2">
        <f t="shared" si="336"/>
        <v>0</v>
      </c>
      <c r="Z327" s="2"/>
      <c r="AA327" s="2"/>
      <c r="AB327" s="2">
        <f t="shared" si="338"/>
        <v>18966.810000000001</v>
      </c>
      <c r="AC327" s="2">
        <v>15112.25</v>
      </c>
      <c r="AD327" s="2">
        <v>3854.56</v>
      </c>
      <c r="AE327" s="2">
        <f t="shared" si="334"/>
        <v>948339.58000000007</v>
      </c>
      <c r="AF327" s="2">
        <v>0</v>
      </c>
      <c r="AG327" s="2">
        <f t="shared" si="335"/>
        <v>948339.58000000007</v>
      </c>
      <c r="AH327" s="29" t="s">
        <v>586</v>
      </c>
      <c r="AI327" s="30" t="s">
        <v>185</v>
      </c>
      <c r="AJ327" s="31">
        <f>94833+71891.83-13619.36+85035.24+67213.99+63619.47</f>
        <v>368974.17000000004</v>
      </c>
      <c r="AK327" s="31">
        <f>13710.12+13619.36+12818.03+12132.54</f>
        <v>52280.05</v>
      </c>
    </row>
    <row r="328" spans="1:37" ht="173.25" x14ac:dyDescent="0.25">
      <c r="A328" s="348" t="s">
        <v>1917</v>
      </c>
      <c r="B328" s="20">
        <v>112861</v>
      </c>
      <c r="C328" s="75">
        <v>324</v>
      </c>
      <c r="D328" s="20" t="s">
        <v>168</v>
      </c>
      <c r="E328" s="24" t="s">
        <v>165</v>
      </c>
      <c r="F328" s="22" t="s">
        <v>322</v>
      </c>
      <c r="G328" s="229" t="s">
        <v>739</v>
      </c>
      <c r="H328" s="33" t="s">
        <v>740</v>
      </c>
      <c r="I328" s="24" t="s">
        <v>353</v>
      </c>
      <c r="J328" s="51" t="s">
        <v>741</v>
      </c>
      <c r="K328" s="5">
        <v>43290</v>
      </c>
      <c r="L328" s="7">
        <v>43777</v>
      </c>
      <c r="M328" s="4">
        <f t="shared" si="337"/>
        <v>82.304190691615503</v>
      </c>
      <c r="N328" s="3" t="s">
        <v>324</v>
      </c>
      <c r="O328" s="3" t="s">
        <v>156</v>
      </c>
      <c r="P328" s="3" t="s">
        <v>156</v>
      </c>
      <c r="Q328" s="8"/>
      <c r="R328" s="3" t="s">
        <v>36</v>
      </c>
      <c r="S328" s="2">
        <f t="shared" si="330"/>
        <v>649951.84000000008</v>
      </c>
      <c r="T328" s="2">
        <v>524129.52</v>
      </c>
      <c r="U328" s="2">
        <v>125822.32</v>
      </c>
      <c r="V328" s="2">
        <f t="shared" si="331"/>
        <v>123949</v>
      </c>
      <c r="W328" s="2">
        <v>92493.43</v>
      </c>
      <c r="X328" s="2">
        <v>31455.57</v>
      </c>
      <c r="Y328" s="2">
        <f t="shared" si="336"/>
        <v>0</v>
      </c>
      <c r="Z328" s="2"/>
      <c r="AA328" s="2"/>
      <c r="AB328" s="2">
        <f>AC328+AD328</f>
        <v>15793.869999999999</v>
      </c>
      <c r="AC328" s="2">
        <v>12584.14</v>
      </c>
      <c r="AD328" s="2">
        <v>3209.73</v>
      </c>
      <c r="AE328" s="2">
        <f t="shared" si="334"/>
        <v>789694.71000000008</v>
      </c>
      <c r="AF328" s="2">
        <v>0</v>
      </c>
      <c r="AG328" s="2">
        <f t="shared" si="335"/>
        <v>789694.71000000008</v>
      </c>
      <c r="AH328" s="29" t="s">
        <v>586</v>
      </c>
      <c r="AI328" s="30" t="s">
        <v>1152</v>
      </c>
      <c r="AJ328" s="31">
        <f>78969.47+33506.04+30781.72+5848.53+60387.9</f>
        <v>209493.66</v>
      </c>
      <c r="AK328" s="31">
        <f>6389.76+5870.23+1115.34+11516.25</f>
        <v>24891.58</v>
      </c>
    </row>
    <row r="329" spans="1:37" ht="315" x14ac:dyDescent="0.25">
      <c r="A329" s="348" t="s">
        <v>1918</v>
      </c>
      <c r="B329" s="20">
        <v>110709</v>
      </c>
      <c r="C329" s="75">
        <v>313</v>
      </c>
      <c r="D329" s="20" t="s">
        <v>168</v>
      </c>
      <c r="E329" s="24" t="s">
        <v>165</v>
      </c>
      <c r="F329" s="22" t="s">
        <v>322</v>
      </c>
      <c r="G329" s="229" t="s">
        <v>742</v>
      </c>
      <c r="H329" s="33" t="s">
        <v>743</v>
      </c>
      <c r="I329" s="24" t="s">
        <v>353</v>
      </c>
      <c r="J329" s="51" t="s">
        <v>744</v>
      </c>
      <c r="K329" s="5">
        <v>43291</v>
      </c>
      <c r="L329" s="7">
        <v>43779</v>
      </c>
      <c r="M329" s="4">
        <f t="shared" si="337"/>
        <v>82.304183081659716</v>
      </c>
      <c r="N329" s="3" t="s">
        <v>324</v>
      </c>
      <c r="O329" s="3" t="s">
        <v>156</v>
      </c>
      <c r="P329" s="3" t="s">
        <v>156</v>
      </c>
      <c r="Q329" s="8"/>
      <c r="R329" s="3" t="s">
        <v>36</v>
      </c>
      <c r="S329" s="2">
        <f t="shared" si="330"/>
        <v>821857.62999999989</v>
      </c>
      <c r="T329" s="2">
        <v>662756.56999999995</v>
      </c>
      <c r="U329" s="2">
        <v>159101.06</v>
      </c>
      <c r="V329" s="2">
        <f t="shared" si="331"/>
        <v>156732.34</v>
      </c>
      <c r="W329" s="2">
        <v>116957.1</v>
      </c>
      <c r="X329" s="2">
        <v>39775.24</v>
      </c>
      <c r="Y329" s="2">
        <f t="shared" si="336"/>
        <v>0</v>
      </c>
      <c r="Z329" s="2"/>
      <c r="AA329" s="2"/>
      <c r="AB329" s="2">
        <f t="shared" si="338"/>
        <v>19971.22</v>
      </c>
      <c r="AC329" s="2">
        <v>15912.5</v>
      </c>
      <c r="AD329" s="2">
        <v>4058.72</v>
      </c>
      <c r="AE329" s="2">
        <f t="shared" si="334"/>
        <v>998561.18999999983</v>
      </c>
      <c r="AF329" s="2">
        <v>576</v>
      </c>
      <c r="AG329" s="2">
        <f>AE329+AF329</f>
        <v>999137.18999999983</v>
      </c>
      <c r="AH329" s="29" t="s">
        <v>586</v>
      </c>
      <c r="AI329" s="30" t="s">
        <v>185</v>
      </c>
      <c r="AJ329" s="31">
        <f>99856.11-15338.74+81959.76+84034.35-9577.08+99856</f>
        <v>340790.4</v>
      </c>
      <c r="AK329" s="31">
        <f>15338.74+13810.74+2195.85+14602.08</f>
        <v>45947.409999999996</v>
      </c>
    </row>
    <row r="330" spans="1:37" ht="409.5" x14ac:dyDescent="0.25">
      <c r="A330" s="348" t="s">
        <v>1919</v>
      </c>
      <c r="B330" s="20">
        <v>113039</v>
      </c>
      <c r="C330" s="75">
        <v>200</v>
      </c>
      <c r="D330" s="20" t="s">
        <v>172</v>
      </c>
      <c r="E330" s="24" t="s">
        <v>165</v>
      </c>
      <c r="F330" s="22" t="s">
        <v>322</v>
      </c>
      <c r="G330" s="109" t="s">
        <v>751</v>
      </c>
      <c r="H330" s="249" t="s">
        <v>752</v>
      </c>
      <c r="I330" s="24" t="s">
        <v>353</v>
      </c>
      <c r="J330" s="6" t="s">
        <v>753</v>
      </c>
      <c r="K330" s="5">
        <v>43291</v>
      </c>
      <c r="L330" s="7">
        <v>43779</v>
      </c>
      <c r="M330" s="4">
        <f>S330/AE330*100</f>
        <v>82.30418382046426</v>
      </c>
      <c r="N330" s="3" t="s">
        <v>324</v>
      </c>
      <c r="O330" s="3" t="s">
        <v>275</v>
      </c>
      <c r="P330" s="3" t="s">
        <v>754</v>
      </c>
      <c r="Q330" s="8" t="s">
        <v>326</v>
      </c>
      <c r="R330" s="3" t="s">
        <v>36</v>
      </c>
      <c r="S330" s="2">
        <f t="shared" si="330"/>
        <v>812437.94000000006</v>
      </c>
      <c r="T330" s="2">
        <v>655160.41</v>
      </c>
      <c r="U330" s="2">
        <v>157277.53</v>
      </c>
      <c r="V330" s="2">
        <f t="shared" si="331"/>
        <v>154935.91999999998</v>
      </c>
      <c r="W330" s="2">
        <v>115616.54</v>
      </c>
      <c r="X330" s="2">
        <v>39319.379999999997</v>
      </c>
      <c r="Y330" s="2">
        <f t="shared" si="336"/>
        <v>0</v>
      </c>
      <c r="Z330" s="2">
        <v>0</v>
      </c>
      <c r="AA330" s="2">
        <v>0</v>
      </c>
      <c r="AB330" s="2">
        <f t="shared" si="338"/>
        <v>19742.349999999999</v>
      </c>
      <c r="AC330" s="2">
        <v>15730.16</v>
      </c>
      <c r="AD330" s="2">
        <v>4012.19</v>
      </c>
      <c r="AE330" s="2">
        <f t="shared" si="334"/>
        <v>987116.21000000008</v>
      </c>
      <c r="AF330" s="2">
        <v>0</v>
      </c>
      <c r="AG330" s="2">
        <f t="shared" si="335"/>
        <v>987116.21000000008</v>
      </c>
      <c r="AH330" s="29" t="s">
        <v>586</v>
      </c>
      <c r="AI330" s="30" t="s">
        <v>185</v>
      </c>
      <c r="AJ330" s="31">
        <f>98711.62+82894.54-376.83+73798.02</f>
        <v>255027.34999999998</v>
      </c>
      <c r="AK330" s="31">
        <f>15808.4+376.83+15333.49</f>
        <v>31518.720000000001</v>
      </c>
    </row>
    <row r="331" spans="1:37" ht="173.25" x14ac:dyDescent="0.25">
      <c r="A331" s="348" t="s">
        <v>1920</v>
      </c>
      <c r="B331" s="20">
        <v>113125</v>
      </c>
      <c r="C331" s="75">
        <v>230</v>
      </c>
      <c r="D331" s="20" t="s">
        <v>170</v>
      </c>
      <c r="E331" s="24" t="s">
        <v>165</v>
      </c>
      <c r="F331" s="22" t="s">
        <v>322</v>
      </c>
      <c r="G331" s="229" t="s">
        <v>761</v>
      </c>
      <c r="H331" s="33" t="s">
        <v>762</v>
      </c>
      <c r="I331" s="24" t="s">
        <v>353</v>
      </c>
      <c r="J331" s="3" t="s">
        <v>763</v>
      </c>
      <c r="K331" s="5">
        <v>43291</v>
      </c>
      <c r="L331" s="7">
        <v>43718</v>
      </c>
      <c r="M331" s="4">
        <f t="shared" si="337"/>
        <v>82.304188716846156</v>
      </c>
      <c r="N331" s="3" t="s">
        <v>324</v>
      </c>
      <c r="O331" s="3" t="s">
        <v>312</v>
      </c>
      <c r="P331" s="3" t="s">
        <v>312</v>
      </c>
      <c r="Q331" s="8" t="s">
        <v>326</v>
      </c>
      <c r="R331" s="3" t="s">
        <v>36</v>
      </c>
      <c r="S331" s="2">
        <f t="shared" si="330"/>
        <v>736342.77</v>
      </c>
      <c r="T331" s="2">
        <v>593796.28</v>
      </c>
      <c r="U331" s="2">
        <v>142546.49</v>
      </c>
      <c r="V331" s="2">
        <f t="shared" si="331"/>
        <v>140424.16999999998</v>
      </c>
      <c r="W331" s="2">
        <v>104787.58</v>
      </c>
      <c r="X331" s="2">
        <v>35636.589999999997</v>
      </c>
      <c r="Y331" s="2">
        <f t="shared" si="336"/>
        <v>0</v>
      </c>
      <c r="Z331" s="2"/>
      <c r="AA331" s="2"/>
      <c r="AB331" s="2">
        <f t="shared" si="338"/>
        <v>17893.2</v>
      </c>
      <c r="AC331" s="2">
        <v>14256.8</v>
      </c>
      <c r="AD331" s="2">
        <v>3636.4</v>
      </c>
      <c r="AE331" s="2">
        <f t="shared" si="334"/>
        <v>894660.1399999999</v>
      </c>
      <c r="AF331" s="2">
        <v>0</v>
      </c>
      <c r="AG331" s="2">
        <f t="shared" si="335"/>
        <v>894660.1399999999</v>
      </c>
      <c r="AH331" s="29" t="s">
        <v>586</v>
      </c>
      <c r="AI331" s="30" t="s">
        <v>422</v>
      </c>
      <c r="AJ331" s="31">
        <f>89466-9346.06+57163.11+27481.97+21414.56</f>
        <v>186179.58</v>
      </c>
      <c r="AK331" s="31">
        <f>9346.06+20716.82+4083.85</f>
        <v>34146.729999999996</v>
      </c>
    </row>
    <row r="332" spans="1:37" ht="315" x14ac:dyDescent="0.25">
      <c r="A332" s="348" t="s">
        <v>1921</v>
      </c>
      <c r="B332" s="20">
        <v>112435</v>
      </c>
      <c r="C332" s="75">
        <v>323</v>
      </c>
      <c r="D332" s="20" t="s">
        <v>168</v>
      </c>
      <c r="E332" s="24" t="s">
        <v>165</v>
      </c>
      <c r="F332" s="22" t="s">
        <v>322</v>
      </c>
      <c r="G332" s="229" t="s">
        <v>764</v>
      </c>
      <c r="H332" s="33" t="s">
        <v>765</v>
      </c>
      <c r="I332" s="24" t="s">
        <v>766</v>
      </c>
      <c r="J332" s="6" t="s">
        <v>767</v>
      </c>
      <c r="K332" s="5">
        <v>43292</v>
      </c>
      <c r="L332" s="7">
        <v>43779</v>
      </c>
      <c r="M332" s="4">
        <f t="shared" si="337"/>
        <v>82.304182891954625</v>
      </c>
      <c r="N332" s="3" t="s">
        <v>324</v>
      </c>
      <c r="O332" s="3" t="s">
        <v>334</v>
      </c>
      <c r="P332" s="3" t="s">
        <v>334</v>
      </c>
      <c r="Q332" s="8" t="s">
        <v>326</v>
      </c>
      <c r="R332" s="3" t="s">
        <v>36</v>
      </c>
      <c r="S332" s="2">
        <f t="shared" si="330"/>
        <v>815316.89</v>
      </c>
      <c r="T332" s="2">
        <v>657481.98</v>
      </c>
      <c r="U332" s="2">
        <v>157834.91</v>
      </c>
      <c r="V332" s="2">
        <f t="shared" si="331"/>
        <v>155484.97999999998</v>
      </c>
      <c r="W332" s="2">
        <v>116026.31</v>
      </c>
      <c r="X332" s="2">
        <v>39458.67</v>
      </c>
      <c r="Y332" s="2">
        <f t="shared" si="336"/>
        <v>0</v>
      </c>
      <c r="Z332" s="2"/>
      <c r="AA332" s="2"/>
      <c r="AB332" s="2">
        <f t="shared" si="338"/>
        <v>19812.29</v>
      </c>
      <c r="AC332" s="2">
        <v>15785.9</v>
      </c>
      <c r="AD332" s="2">
        <v>4026.39</v>
      </c>
      <c r="AE332" s="2">
        <f t="shared" si="334"/>
        <v>990614.16</v>
      </c>
      <c r="AF332" s="2"/>
      <c r="AG332" s="2">
        <f t="shared" si="335"/>
        <v>990614.16</v>
      </c>
      <c r="AH332" s="29" t="s">
        <v>586</v>
      </c>
      <c r="AI332" s="30" t="s">
        <v>1535</v>
      </c>
      <c r="AJ332" s="31">
        <f>181405.8+121986.95+126239.9+103787.17</f>
        <v>533419.82000000007</v>
      </c>
      <c r="AK332" s="31">
        <f>15703.63+42154.87+5183.15+19792.72</f>
        <v>82834.37</v>
      </c>
    </row>
    <row r="333" spans="1:37" ht="189" x14ac:dyDescent="0.25">
      <c r="A333" s="348" t="s">
        <v>1922</v>
      </c>
      <c r="B333" s="20">
        <v>110839</v>
      </c>
      <c r="C333" s="75">
        <v>306</v>
      </c>
      <c r="D333" s="20" t="s">
        <v>168</v>
      </c>
      <c r="E333" s="24" t="s">
        <v>165</v>
      </c>
      <c r="F333" s="22" t="s">
        <v>322</v>
      </c>
      <c r="G333" s="229" t="s">
        <v>768</v>
      </c>
      <c r="H333" s="33" t="s">
        <v>769</v>
      </c>
      <c r="I333" s="24" t="s">
        <v>771</v>
      </c>
      <c r="J333" s="23" t="s">
        <v>770</v>
      </c>
      <c r="K333" s="5">
        <v>43292</v>
      </c>
      <c r="L333" s="7">
        <v>43780</v>
      </c>
      <c r="M333" s="4">
        <f t="shared" si="337"/>
        <v>82.304186604752402</v>
      </c>
      <c r="N333" s="3" t="s">
        <v>324</v>
      </c>
      <c r="O333" s="3" t="s">
        <v>772</v>
      </c>
      <c r="P333" s="3" t="s">
        <v>772</v>
      </c>
      <c r="Q333" s="8" t="s">
        <v>326</v>
      </c>
      <c r="R333" s="3" t="s">
        <v>36</v>
      </c>
      <c r="S333" s="2">
        <f t="shared" si="330"/>
        <v>800537.35</v>
      </c>
      <c r="T333" s="2">
        <v>645563.62</v>
      </c>
      <c r="U333" s="2">
        <v>154973.73000000001</v>
      </c>
      <c r="V333" s="2">
        <f t="shared" si="331"/>
        <v>152666.38</v>
      </c>
      <c r="W333" s="2">
        <v>113922.98</v>
      </c>
      <c r="X333" s="2">
        <v>38743.4</v>
      </c>
      <c r="Y333" s="2">
        <f t="shared" si="336"/>
        <v>0</v>
      </c>
      <c r="Z333" s="2"/>
      <c r="AA333" s="2"/>
      <c r="AB333" s="2">
        <f t="shared" si="338"/>
        <v>19453.169999999998</v>
      </c>
      <c r="AC333" s="2">
        <v>15499.74</v>
      </c>
      <c r="AD333" s="2">
        <v>3953.43</v>
      </c>
      <c r="AE333" s="2">
        <f t="shared" si="334"/>
        <v>972656.9</v>
      </c>
      <c r="AF333" s="2"/>
      <c r="AG333" s="2">
        <f t="shared" si="335"/>
        <v>972656.9</v>
      </c>
      <c r="AH333" s="29" t="s">
        <v>586</v>
      </c>
      <c r="AI333" s="30" t="s">
        <v>1565</v>
      </c>
      <c r="AJ333" s="31">
        <f>97265.68-4932.42-9631.06+90930.16+45566.01+97265.68</f>
        <v>316464.05</v>
      </c>
      <c r="AK333" s="31">
        <f>4932.42+9631.06+27238.7</f>
        <v>41802.18</v>
      </c>
    </row>
    <row r="334" spans="1:37" ht="157.5" x14ac:dyDescent="0.25">
      <c r="A334" s="348" t="s">
        <v>1923</v>
      </c>
      <c r="B334" s="20">
        <v>115895</v>
      </c>
      <c r="C334" s="75">
        <v>389</v>
      </c>
      <c r="D334" s="20" t="s">
        <v>171</v>
      </c>
      <c r="E334" s="232" t="s">
        <v>165</v>
      </c>
      <c r="F334" s="233" t="s">
        <v>446</v>
      </c>
      <c r="G334" s="229" t="s">
        <v>777</v>
      </c>
      <c r="H334" s="33" t="s">
        <v>778</v>
      </c>
      <c r="I334" s="24" t="s">
        <v>779</v>
      </c>
      <c r="J334" s="6" t="s">
        <v>780</v>
      </c>
      <c r="K334" s="5">
        <v>43293</v>
      </c>
      <c r="L334" s="7">
        <v>44085</v>
      </c>
      <c r="M334" s="4">
        <f t="shared" si="337"/>
        <v>83.983862876254179</v>
      </c>
      <c r="N334" s="3" t="s">
        <v>324</v>
      </c>
      <c r="O334" s="3" t="s">
        <v>312</v>
      </c>
      <c r="P334" s="3" t="s">
        <v>312</v>
      </c>
      <c r="Q334" s="8" t="s">
        <v>157</v>
      </c>
      <c r="R334" s="3" t="s">
        <v>36</v>
      </c>
      <c r="S334" s="2">
        <f t="shared" si="330"/>
        <v>2511117.5</v>
      </c>
      <c r="T334" s="2">
        <v>2024997.5</v>
      </c>
      <c r="U334" s="2">
        <v>486120</v>
      </c>
      <c r="V334" s="2">
        <f t="shared" si="331"/>
        <v>0</v>
      </c>
      <c r="W334" s="2"/>
      <c r="X334" s="2"/>
      <c r="Y334" s="2">
        <f t="shared" si="336"/>
        <v>478882.5</v>
      </c>
      <c r="Z334" s="2">
        <v>357352.51</v>
      </c>
      <c r="AA334" s="2">
        <v>121529.99</v>
      </c>
      <c r="AB334" s="2">
        <f t="shared" si="338"/>
        <v>0</v>
      </c>
      <c r="AC334" s="2"/>
      <c r="AD334" s="2"/>
      <c r="AE334" s="2">
        <f t="shared" si="334"/>
        <v>2990000</v>
      </c>
      <c r="AF334" s="2">
        <v>0</v>
      </c>
      <c r="AG334" s="2">
        <f t="shared" si="335"/>
        <v>2990000</v>
      </c>
      <c r="AH334" s="29" t="s">
        <v>586</v>
      </c>
      <c r="AI334" s="30" t="s">
        <v>422</v>
      </c>
      <c r="AJ334" s="31">
        <f>22377.18+70503.9</f>
        <v>92881.079999999987</v>
      </c>
      <c r="AK334" s="31">
        <v>0</v>
      </c>
    </row>
    <row r="335" spans="1:37" ht="409.5" x14ac:dyDescent="0.25">
      <c r="A335" s="348" t="s">
        <v>1924</v>
      </c>
      <c r="B335" s="20">
        <v>111830</v>
      </c>
      <c r="C335" s="75">
        <v>377</v>
      </c>
      <c r="D335" s="20" t="s">
        <v>168</v>
      </c>
      <c r="E335" s="24" t="s">
        <v>1083</v>
      </c>
      <c r="F335" s="233" t="s">
        <v>636</v>
      </c>
      <c r="G335" s="229" t="s">
        <v>781</v>
      </c>
      <c r="H335" s="33" t="s">
        <v>782</v>
      </c>
      <c r="I335" s="24" t="s">
        <v>783</v>
      </c>
      <c r="J335" s="6" t="s">
        <v>784</v>
      </c>
      <c r="K335" s="5">
        <v>43297</v>
      </c>
      <c r="L335" s="7">
        <v>43785</v>
      </c>
      <c r="M335" s="4">
        <f t="shared" si="337"/>
        <v>83.143853391521404</v>
      </c>
      <c r="N335" s="3" t="s">
        <v>324</v>
      </c>
      <c r="O335" s="3" t="s">
        <v>312</v>
      </c>
      <c r="P335" s="3" t="s">
        <v>312</v>
      </c>
      <c r="Q335" s="8" t="s">
        <v>157</v>
      </c>
      <c r="R335" s="3" t="s">
        <v>36</v>
      </c>
      <c r="S335" s="2">
        <f t="shared" si="330"/>
        <v>5525318.4000000004</v>
      </c>
      <c r="T335" s="2">
        <v>4455687.92</v>
      </c>
      <c r="U335" s="2">
        <v>1069630.48</v>
      </c>
      <c r="V335" s="2">
        <f t="shared" si="331"/>
        <v>987264.15</v>
      </c>
      <c r="W335" s="2">
        <v>733359.16</v>
      </c>
      <c r="X335" s="2">
        <v>253904.99</v>
      </c>
      <c r="Y335" s="2">
        <f t="shared" si="336"/>
        <v>0</v>
      </c>
      <c r="Z335" s="2">
        <v>0</v>
      </c>
      <c r="AA335" s="2">
        <v>0</v>
      </c>
      <c r="AB335" s="2">
        <f t="shared" si="338"/>
        <v>132909.78</v>
      </c>
      <c r="AC335" s="2">
        <v>105898.92</v>
      </c>
      <c r="AD335" s="2">
        <v>27010.86</v>
      </c>
      <c r="AE335" s="2">
        <f t="shared" si="334"/>
        <v>6645492.330000001</v>
      </c>
      <c r="AF335" s="2">
        <v>0</v>
      </c>
      <c r="AG335" s="2">
        <f t="shared" si="335"/>
        <v>6645492.330000001</v>
      </c>
      <c r="AH335" s="29" t="s">
        <v>586</v>
      </c>
      <c r="AI335" s="30"/>
      <c r="AJ335" s="31">
        <f>548484.27-41743+295621.66+234985.63-55420.85+55420.85-13710.7+526395.38+34736.49+361108.85</f>
        <v>1945878.58</v>
      </c>
      <c r="AK335" s="31">
        <f>41743.03+36457.11+62913.45+29950.16+6624.41+62702.66</f>
        <v>240390.82</v>
      </c>
    </row>
    <row r="336" spans="1:37" ht="315" x14ac:dyDescent="0.25">
      <c r="A336" s="348" t="s">
        <v>1925</v>
      </c>
      <c r="B336" s="20">
        <v>115784</v>
      </c>
      <c r="C336" s="75">
        <v>388</v>
      </c>
      <c r="D336" s="20" t="s">
        <v>170</v>
      </c>
      <c r="E336" s="232" t="s">
        <v>165</v>
      </c>
      <c r="F336" s="233" t="s">
        <v>446</v>
      </c>
      <c r="G336" s="229" t="s">
        <v>785</v>
      </c>
      <c r="H336" s="33" t="s">
        <v>51</v>
      </c>
      <c r="I336" s="24" t="s">
        <v>349</v>
      </c>
      <c r="J336" s="6" t="s">
        <v>786</v>
      </c>
      <c r="K336" s="5">
        <v>43297</v>
      </c>
      <c r="L336" s="7">
        <v>44090</v>
      </c>
      <c r="M336" s="4">
        <f t="shared" si="337"/>
        <v>83.98386251542432</v>
      </c>
      <c r="N336" s="3" t="s">
        <v>324</v>
      </c>
      <c r="O336" s="3" t="s">
        <v>312</v>
      </c>
      <c r="P336" s="3" t="s">
        <v>312</v>
      </c>
      <c r="Q336" s="8" t="s">
        <v>157</v>
      </c>
      <c r="R336" s="3" t="s">
        <v>36</v>
      </c>
      <c r="S336" s="2">
        <f t="shared" ref="S336" si="339">T336+U336</f>
        <v>2474673.0699999998</v>
      </c>
      <c r="T336" s="2">
        <v>1995608.24</v>
      </c>
      <c r="U336" s="2">
        <v>479064.83</v>
      </c>
      <c r="V336" s="2">
        <f t="shared" ref="V336" si="340">W336+X336</f>
        <v>0</v>
      </c>
      <c r="W336" s="2"/>
      <c r="X336" s="2"/>
      <c r="Y336" s="2">
        <f t="shared" ref="Y336" si="341">Z336+AA336</f>
        <v>471932.38</v>
      </c>
      <c r="Z336" s="2">
        <v>352166.15</v>
      </c>
      <c r="AA336" s="2">
        <v>119766.23</v>
      </c>
      <c r="AB336" s="2">
        <f t="shared" ref="AB336" si="342">AC336+AD336</f>
        <v>0</v>
      </c>
      <c r="AC336" s="2"/>
      <c r="AD336" s="2"/>
      <c r="AE336" s="2">
        <f t="shared" ref="AE336" si="343">S336+V336+Y336+AB336</f>
        <v>2946605.4499999997</v>
      </c>
      <c r="AF336" s="2">
        <v>0</v>
      </c>
      <c r="AG336" s="2">
        <f t="shared" ref="AG336" si="344">AE336+AF336</f>
        <v>2946605.4499999997</v>
      </c>
      <c r="AH336" s="29" t="s">
        <v>586</v>
      </c>
      <c r="AI336" s="30" t="s">
        <v>422</v>
      </c>
      <c r="AJ336" s="31">
        <f>16075.53+34286.38+114041.85</f>
        <v>164403.76</v>
      </c>
      <c r="AK336" s="31">
        <v>0</v>
      </c>
    </row>
    <row r="337" spans="1:37" ht="173.25" x14ac:dyDescent="0.25">
      <c r="A337" s="348" t="s">
        <v>1926</v>
      </c>
      <c r="B337" s="20">
        <v>109927</v>
      </c>
      <c r="C337" s="75">
        <v>334</v>
      </c>
      <c r="D337" s="20" t="s">
        <v>170</v>
      </c>
      <c r="E337" s="24" t="s">
        <v>165</v>
      </c>
      <c r="F337" s="22" t="s">
        <v>322</v>
      </c>
      <c r="G337" s="229" t="s">
        <v>787</v>
      </c>
      <c r="H337" s="33" t="s">
        <v>788</v>
      </c>
      <c r="I337" s="24" t="s">
        <v>349</v>
      </c>
      <c r="J337" s="6" t="s">
        <v>789</v>
      </c>
      <c r="K337" s="5">
        <v>43297</v>
      </c>
      <c r="L337" s="7">
        <v>43785</v>
      </c>
      <c r="M337" s="4">
        <f t="shared" si="337"/>
        <v>82.304185890830638</v>
      </c>
      <c r="N337" s="3" t="s">
        <v>324</v>
      </c>
      <c r="O337" s="3" t="s">
        <v>312</v>
      </c>
      <c r="P337" s="3" t="s">
        <v>312</v>
      </c>
      <c r="Q337" s="8" t="s">
        <v>157</v>
      </c>
      <c r="R337" s="3" t="s">
        <v>36</v>
      </c>
      <c r="S337" s="2">
        <f t="shared" si="330"/>
        <v>793991.64999999991</v>
      </c>
      <c r="T337" s="2">
        <v>640285.07999999996</v>
      </c>
      <c r="U337" s="2">
        <v>153706.57</v>
      </c>
      <c r="V337" s="2">
        <f t="shared" si="331"/>
        <v>151418.12</v>
      </c>
      <c r="W337" s="2">
        <v>112991.49</v>
      </c>
      <c r="X337" s="2">
        <v>38426.629999999997</v>
      </c>
      <c r="Y337" s="2">
        <f t="shared" si="336"/>
        <v>0</v>
      </c>
      <c r="Z337" s="2"/>
      <c r="AA337" s="2"/>
      <c r="AB337" s="2">
        <f t="shared" si="338"/>
        <v>19294.080000000002</v>
      </c>
      <c r="AC337" s="2">
        <v>15373</v>
      </c>
      <c r="AD337" s="2">
        <v>3921.08</v>
      </c>
      <c r="AE337" s="2">
        <f t="shared" si="334"/>
        <v>964703.84999999986</v>
      </c>
      <c r="AF337" s="2">
        <v>0</v>
      </c>
      <c r="AG337" s="2">
        <f t="shared" si="335"/>
        <v>964703.84999999986</v>
      </c>
      <c r="AH337" s="29" t="s">
        <v>586</v>
      </c>
      <c r="AI337" s="30" t="s">
        <v>422</v>
      </c>
      <c r="AJ337" s="31">
        <f>96470.38-14469.9+90345.75-11972.92+74755.32</f>
        <v>235128.63</v>
      </c>
      <c r="AK337" s="31">
        <f>14469.9+11972.92</f>
        <v>26442.82</v>
      </c>
    </row>
    <row r="338" spans="1:37" ht="141.75" x14ac:dyDescent="0.25">
      <c r="A338" s="348" t="s">
        <v>1927</v>
      </c>
      <c r="B338" s="20">
        <v>111446</v>
      </c>
      <c r="C338" s="75">
        <v>161</v>
      </c>
      <c r="D338" s="20" t="s">
        <v>1318</v>
      </c>
      <c r="E338" s="24" t="s">
        <v>165</v>
      </c>
      <c r="F338" s="22" t="s">
        <v>322</v>
      </c>
      <c r="G338" s="229" t="s">
        <v>790</v>
      </c>
      <c r="H338" s="33" t="s">
        <v>791</v>
      </c>
      <c r="I338" s="24" t="s">
        <v>349</v>
      </c>
      <c r="J338" s="6" t="s">
        <v>792</v>
      </c>
      <c r="K338" s="5">
        <v>43297</v>
      </c>
      <c r="L338" s="7">
        <v>43785</v>
      </c>
      <c r="M338" s="4">
        <f t="shared" si="337"/>
        <v>82.304180439174772</v>
      </c>
      <c r="N338" s="3" t="s">
        <v>324</v>
      </c>
      <c r="O338" s="3" t="s">
        <v>312</v>
      </c>
      <c r="P338" s="3" t="s">
        <v>312</v>
      </c>
      <c r="Q338" s="8" t="s">
        <v>326</v>
      </c>
      <c r="R338" s="3" t="s">
        <v>36</v>
      </c>
      <c r="S338" s="2">
        <f t="shared" si="330"/>
        <v>820476.63</v>
      </c>
      <c r="T338" s="2">
        <v>661642.92000000004</v>
      </c>
      <c r="U338" s="2">
        <v>158833.71</v>
      </c>
      <c r="V338" s="2">
        <f t="shared" si="331"/>
        <v>156469</v>
      </c>
      <c r="W338" s="2">
        <v>116760.53</v>
      </c>
      <c r="X338" s="2">
        <v>39708.47</v>
      </c>
      <c r="Y338" s="2">
        <f t="shared" si="336"/>
        <v>0</v>
      </c>
      <c r="Z338" s="2"/>
      <c r="AA338" s="2"/>
      <c r="AB338" s="2">
        <f t="shared" si="338"/>
        <v>19937.669999999998</v>
      </c>
      <c r="AC338" s="2">
        <v>15885.81</v>
      </c>
      <c r="AD338" s="2">
        <v>4051.86</v>
      </c>
      <c r="AE338" s="2">
        <f t="shared" si="334"/>
        <v>996883.3</v>
      </c>
      <c r="AF338" s="2"/>
      <c r="AG338" s="2">
        <f t="shared" si="335"/>
        <v>996883.3</v>
      </c>
      <c r="AH338" s="29" t="s">
        <v>586</v>
      </c>
      <c r="AI338" s="30" t="s">
        <v>349</v>
      </c>
      <c r="AJ338" s="31">
        <f>172463.58+91295.09-2619.6+99688.33+6676.64</f>
        <v>367504.04</v>
      </c>
      <c r="AK338" s="31">
        <f>13878.6+17410.43+18511.49+20284.35</f>
        <v>70084.87</v>
      </c>
    </row>
    <row r="339" spans="1:37" ht="173.25" x14ac:dyDescent="0.25">
      <c r="A339" s="348" t="s">
        <v>1928</v>
      </c>
      <c r="B339" s="20">
        <v>111890</v>
      </c>
      <c r="C339" s="75">
        <v>249</v>
      </c>
      <c r="D339" s="20" t="s">
        <v>170</v>
      </c>
      <c r="E339" s="24" t="s">
        <v>165</v>
      </c>
      <c r="F339" s="22" t="s">
        <v>322</v>
      </c>
      <c r="G339" s="229" t="s">
        <v>813</v>
      </c>
      <c r="H339" s="33" t="s">
        <v>814</v>
      </c>
      <c r="I339" s="24" t="s">
        <v>815</v>
      </c>
      <c r="J339" s="250" t="s">
        <v>816</v>
      </c>
      <c r="K339" s="5">
        <v>43301</v>
      </c>
      <c r="L339" s="7">
        <v>43789</v>
      </c>
      <c r="M339" s="4">
        <f t="shared" si="337"/>
        <v>82.304182965305657</v>
      </c>
      <c r="N339" s="3" t="s">
        <v>324</v>
      </c>
      <c r="O339" s="3" t="s">
        <v>817</v>
      </c>
      <c r="P339" s="3" t="s">
        <v>817</v>
      </c>
      <c r="Q339" s="8" t="s">
        <v>326</v>
      </c>
      <c r="R339" s="3" t="s">
        <v>36</v>
      </c>
      <c r="S339" s="2">
        <f t="shared" si="330"/>
        <v>729698.45</v>
      </c>
      <c r="T339" s="2">
        <v>588438.22</v>
      </c>
      <c r="U339" s="2">
        <v>141260.23000000001</v>
      </c>
      <c r="V339" s="2">
        <f t="shared" si="331"/>
        <v>139157.12</v>
      </c>
      <c r="W339" s="2">
        <v>103842.06</v>
      </c>
      <c r="X339" s="2">
        <v>35315.06</v>
      </c>
      <c r="Y339" s="2">
        <f>Z339+AA339</f>
        <v>0</v>
      </c>
      <c r="Z339" s="2"/>
      <c r="AA339" s="2"/>
      <c r="AB339" s="2">
        <f>AC339+AD339</f>
        <v>17731.75</v>
      </c>
      <c r="AC339" s="2">
        <v>14128.18</v>
      </c>
      <c r="AD339" s="2">
        <v>3603.57</v>
      </c>
      <c r="AE339" s="2">
        <f t="shared" si="334"/>
        <v>886587.32</v>
      </c>
      <c r="AF339" s="2">
        <v>0</v>
      </c>
      <c r="AG339" s="2">
        <f t="shared" si="335"/>
        <v>886587.32</v>
      </c>
      <c r="AH339" s="29" t="s">
        <v>586</v>
      </c>
      <c r="AI339" s="30" t="s">
        <v>1406</v>
      </c>
      <c r="AJ339" s="31">
        <f>88658.73-1983.5-12014.52+85545.1-10611.49+136645.02</f>
        <v>286239.33999999997</v>
      </c>
      <c r="AK339" s="31">
        <f>14022.63+14374.66+9282.27</f>
        <v>37679.56</v>
      </c>
    </row>
    <row r="340" spans="1:37" ht="409.5" x14ac:dyDescent="0.25">
      <c r="A340" s="348" t="s">
        <v>1929</v>
      </c>
      <c r="B340" s="20">
        <v>116294</v>
      </c>
      <c r="C340" s="75">
        <v>395</v>
      </c>
      <c r="D340" s="20" t="s">
        <v>170</v>
      </c>
      <c r="E340" s="232" t="s">
        <v>165</v>
      </c>
      <c r="F340" s="22" t="s">
        <v>446</v>
      </c>
      <c r="G340" s="33" t="s">
        <v>838</v>
      </c>
      <c r="H340" s="33" t="s">
        <v>837</v>
      </c>
      <c r="I340" s="24" t="s">
        <v>840</v>
      </c>
      <c r="J340" s="6" t="s">
        <v>839</v>
      </c>
      <c r="K340" s="5">
        <v>43307</v>
      </c>
      <c r="L340" s="7">
        <v>44100</v>
      </c>
      <c r="M340" s="4">
        <f t="shared" si="337"/>
        <v>83.983862768208695</v>
      </c>
      <c r="N340" s="3" t="s">
        <v>324</v>
      </c>
      <c r="O340" s="3" t="s">
        <v>156</v>
      </c>
      <c r="P340" s="3" t="s">
        <v>156</v>
      </c>
      <c r="Q340" s="8" t="s">
        <v>157</v>
      </c>
      <c r="R340" s="3" t="s">
        <v>36</v>
      </c>
      <c r="S340" s="2">
        <f t="shared" si="330"/>
        <v>10337095.59</v>
      </c>
      <c r="T340" s="2">
        <v>8335966.9800000004</v>
      </c>
      <c r="U340" s="2">
        <v>2001128.61</v>
      </c>
      <c r="V340" s="2">
        <f t="shared" si="331"/>
        <v>861007.51</v>
      </c>
      <c r="W340" s="2">
        <v>636291.80000000005</v>
      </c>
      <c r="X340" s="2">
        <v>224715.71</v>
      </c>
      <c r="Y340" s="2">
        <f t="shared" si="336"/>
        <v>1110327.6499999999</v>
      </c>
      <c r="Z340" s="2">
        <v>834761.2</v>
      </c>
      <c r="AA340" s="2">
        <v>275566.45</v>
      </c>
      <c r="AB340" s="2">
        <f t="shared" si="338"/>
        <v>0</v>
      </c>
      <c r="AC340" s="2">
        <v>0</v>
      </c>
      <c r="AD340" s="2">
        <v>0</v>
      </c>
      <c r="AE340" s="2">
        <f t="shared" si="334"/>
        <v>12308430.75</v>
      </c>
      <c r="AF340" s="2"/>
      <c r="AG340" s="2">
        <f t="shared" si="335"/>
        <v>12308430.75</v>
      </c>
      <c r="AH340" s="29" t="s">
        <v>586</v>
      </c>
      <c r="AI340" s="30"/>
      <c r="AJ340" s="31">
        <f>310000+64383.69</f>
        <v>374383.69</v>
      </c>
      <c r="AK340" s="31">
        <v>10763.54</v>
      </c>
    </row>
    <row r="341" spans="1:37" ht="315" x14ac:dyDescent="0.25">
      <c r="A341" s="348" t="s">
        <v>1930</v>
      </c>
      <c r="B341" s="20">
        <v>113123</v>
      </c>
      <c r="C341" s="75">
        <v>217</v>
      </c>
      <c r="D341" s="20" t="s">
        <v>172</v>
      </c>
      <c r="E341" s="24" t="s">
        <v>165</v>
      </c>
      <c r="F341" s="22" t="s">
        <v>322</v>
      </c>
      <c r="G341" s="33" t="s">
        <v>847</v>
      </c>
      <c r="H341" s="33" t="s">
        <v>848</v>
      </c>
      <c r="I341" s="24" t="s">
        <v>422</v>
      </c>
      <c r="J341" s="6" t="s">
        <v>849</v>
      </c>
      <c r="K341" s="5">
        <v>43312</v>
      </c>
      <c r="L341" s="5">
        <v>43799</v>
      </c>
      <c r="M341" s="4">
        <f t="shared" si="337"/>
        <v>82.304190953691275</v>
      </c>
      <c r="N341" s="3" t="s">
        <v>324</v>
      </c>
      <c r="O341" s="3" t="s">
        <v>156</v>
      </c>
      <c r="P341" s="3" t="s">
        <v>156</v>
      </c>
      <c r="Q341" s="8" t="s">
        <v>326</v>
      </c>
      <c r="R341" s="3" t="s">
        <v>36</v>
      </c>
      <c r="S341" s="2">
        <f t="shared" si="330"/>
        <v>500543.25</v>
      </c>
      <c r="T341" s="2">
        <v>403644.51</v>
      </c>
      <c r="U341" s="2">
        <v>96898.74</v>
      </c>
      <c r="V341" s="2">
        <f t="shared" si="331"/>
        <v>95456.04</v>
      </c>
      <c r="W341" s="2">
        <v>71231.399999999994</v>
      </c>
      <c r="X341" s="2">
        <v>24224.639999999999</v>
      </c>
      <c r="Y341" s="2">
        <f t="shared" si="336"/>
        <v>0</v>
      </c>
      <c r="Z341" s="2">
        <v>0</v>
      </c>
      <c r="AA341" s="2">
        <v>0</v>
      </c>
      <c r="AB341" s="2">
        <f t="shared" si="338"/>
        <v>12163.24</v>
      </c>
      <c r="AC341" s="2">
        <v>9691.31</v>
      </c>
      <c r="AD341" s="2">
        <v>2471.9299999999998</v>
      </c>
      <c r="AE341" s="2">
        <f t="shared" si="334"/>
        <v>608162.53</v>
      </c>
      <c r="AF341" s="2"/>
      <c r="AG341" s="2">
        <f t="shared" si="335"/>
        <v>608162.53</v>
      </c>
      <c r="AH341" s="29" t="s">
        <v>586</v>
      </c>
      <c r="AI341" s="30" t="s">
        <v>1378</v>
      </c>
      <c r="AJ341" s="31">
        <f>61292.27-7748.65+48380.24+48897.57+0.12+53107.14</f>
        <v>203928.69</v>
      </c>
      <c r="AK341" s="31">
        <f>7748.65+9425.87-0.12+10127.9</f>
        <v>27302.300000000003</v>
      </c>
    </row>
    <row r="342" spans="1:37" ht="173.25" x14ac:dyDescent="0.25">
      <c r="A342" s="348" t="s">
        <v>1931</v>
      </c>
      <c r="B342" s="20">
        <v>112769</v>
      </c>
      <c r="C342" s="75">
        <v>154</v>
      </c>
      <c r="D342" s="20" t="s">
        <v>1318</v>
      </c>
      <c r="E342" s="24" t="s">
        <v>165</v>
      </c>
      <c r="F342" s="22" t="s">
        <v>322</v>
      </c>
      <c r="G342" s="33" t="s">
        <v>862</v>
      </c>
      <c r="H342" s="33" t="s">
        <v>863</v>
      </c>
      <c r="I342" s="24" t="s">
        <v>864</v>
      </c>
      <c r="J342" s="6" t="s">
        <v>865</v>
      </c>
      <c r="K342" s="5">
        <v>43312</v>
      </c>
      <c r="L342" s="7">
        <v>43738</v>
      </c>
      <c r="M342" s="4">
        <f t="shared" si="337"/>
        <v>82.304193908401487</v>
      </c>
      <c r="N342" s="3" t="s">
        <v>324</v>
      </c>
      <c r="O342" s="3" t="s">
        <v>156</v>
      </c>
      <c r="P342" s="3" t="s">
        <v>156</v>
      </c>
      <c r="Q342" s="8" t="s">
        <v>326</v>
      </c>
      <c r="R342" s="3" t="s">
        <v>36</v>
      </c>
      <c r="S342" s="2">
        <f t="shared" si="330"/>
        <v>810553.29</v>
      </c>
      <c r="T342" s="2">
        <v>653640.61</v>
      </c>
      <c r="U342" s="2">
        <v>156912.68</v>
      </c>
      <c r="V342" s="2">
        <f t="shared" si="331"/>
        <v>154576.41999999998</v>
      </c>
      <c r="W342" s="2">
        <v>115348.29</v>
      </c>
      <c r="X342" s="2">
        <v>39228.129999999997</v>
      </c>
      <c r="Y342" s="2">
        <f t="shared" si="336"/>
        <v>0</v>
      </c>
      <c r="Z342" s="2"/>
      <c r="AA342" s="2"/>
      <c r="AB342" s="2">
        <f t="shared" si="338"/>
        <v>19696.52</v>
      </c>
      <c r="AC342" s="2">
        <v>15693.62</v>
      </c>
      <c r="AD342" s="2">
        <v>4002.9</v>
      </c>
      <c r="AE342" s="2">
        <f t="shared" si="334"/>
        <v>984826.23</v>
      </c>
      <c r="AF342" s="2"/>
      <c r="AG342" s="2">
        <f t="shared" si="335"/>
        <v>984826.23</v>
      </c>
      <c r="AH342" s="29" t="s">
        <v>586</v>
      </c>
      <c r="AI342" s="30" t="s">
        <v>185</v>
      </c>
      <c r="AJ342" s="31">
        <f>98482.62-15061.09+94056.93+90069.4-1035.88</f>
        <v>266511.98</v>
      </c>
      <c r="AK342" s="31">
        <f>15061.09+3.81+17176.67+17183.59</f>
        <v>49425.16</v>
      </c>
    </row>
    <row r="343" spans="1:37" ht="204.75" x14ac:dyDescent="0.25">
      <c r="A343" s="348" t="s">
        <v>1932</v>
      </c>
      <c r="B343" s="20">
        <v>118824</v>
      </c>
      <c r="C343" s="75">
        <v>451</v>
      </c>
      <c r="D343" s="20" t="s">
        <v>168</v>
      </c>
      <c r="E343" s="24" t="s">
        <v>1082</v>
      </c>
      <c r="F343" s="84" t="s">
        <v>631</v>
      </c>
      <c r="G343" s="99" t="s">
        <v>868</v>
      </c>
      <c r="H343" s="100" t="s">
        <v>869</v>
      </c>
      <c r="I343" s="24" t="s">
        <v>870</v>
      </c>
      <c r="J343" s="23" t="s">
        <v>1034</v>
      </c>
      <c r="K343" s="5">
        <v>43311</v>
      </c>
      <c r="L343" s="7">
        <v>43860</v>
      </c>
      <c r="M343" s="4">
        <f t="shared" si="337"/>
        <v>83.245543779056959</v>
      </c>
      <c r="N343" s="3" t="s">
        <v>324</v>
      </c>
      <c r="O343" s="3" t="s">
        <v>156</v>
      </c>
      <c r="P343" s="3" t="s">
        <v>156</v>
      </c>
      <c r="Q343" s="8" t="s">
        <v>157</v>
      </c>
      <c r="R343" s="3" t="s">
        <v>36</v>
      </c>
      <c r="S343" s="2">
        <f t="shared" si="330"/>
        <v>3071406.9800000004</v>
      </c>
      <c r="T343" s="2">
        <v>2476821.9900000002</v>
      </c>
      <c r="U343" s="2">
        <v>594584.99</v>
      </c>
      <c r="V343" s="2">
        <f t="shared" si="331"/>
        <v>254554.22000000003</v>
      </c>
      <c r="W343" s="2">
        <v>189953.89</v>
      </c>
      <c r="X343" s="2">
        <v>64600.33</v>
      </c>
      <c r="Y343" s="2">
        <f t="shared" si="336"/>
        <v>331178.11</v>
      </c>
      <c r="Z343" s="2">
        <v>247132.37</v>
      </c>
      <c r="AA343" s="2">
        <v>84045.74</v>
      </c>
      <c r="AB343" s="2">
        <f t="shared" si="338"/>
        <v>32435.940000000002</v>
      </c>
      <c r="AC343" s="2">
        <v>25844.11</v>
      </c>
      <c r="AD343" s="2">
        <v>6591.83</v>
      </c>
      <c r="AE343" s="2">
        <f t="shared" si="334"/>
        <v>3689575.2500000005</v>
      </c>
      <c r="AF343" s="2"/>
      <c r="AG343" s="2">
        <f t="shared" si="335"/>
        <v>3689575.2500000005</v>
      </c>
      <c r="AH343" s="105" t="s">
        <v>871</v>
      </c>
      <c r="AI343" s="30"/>
      <c r="AJ343" s="31">
        <f>162179.72+66847.3+174727.59+128489.76+146998.55+115400.5</f>
        <v>794643.41999999993</v>
      </c>
      <c r="AK343" s="31">
        <f>12748.1+24503.64+22007.46</f>
        <v>59259.199999999997</v>
      </c>
    </row>
    <row r="344" spans="1:37" ht="189" x14ac:dyDescent="0.25">
      <c r="A344" s="348" t="s">
        <v>1933</v>
      </c>
      <c r="B344" s="20">
        <v>113009</v>
      </c>
      <c r="C344" s="75">
        <v>296</v>
      </c>
      <c r="D344" s="20" t="s">
        <v>1318</v>
      </c>
      <c r="E344" s="24" t="s">
        <v>165</v>
      </c>
      <c r="F344" s="22" t="s">
        <v>322</v>
      </c>
      <c r="G344" s="229" t="s">
        <v>878</v>
      </c>
      <c r="H344" s="33" t="s">
        <v>879</v>
      </c>
      <c r="I344" s="24" t="s">
        <v>880</v>
      </c>
      <c r="J344" s="6" t="s">
        <v>881</v>
      </c>
      <c r="K344" s="5">
        <v>43318</v>
      </c>
      <c r="L344" s="7">
        <v>43682</v>
      </c>
      <c r="M344" s="4">
        <f t="shared" si="337"/>
        <v>82.304184738955826</v>
      </c>
      <c r="N344" s="3" t="s">
        <v>324</v>
      </c>
      <c r="O344" s="3" t="s">
        <v>882</v>
      </c>
      <c r="P344" s="3" t="s">
        <v>883</v>
      </c>
      <c r="Q344" s="8" t="s">
        <v>326</v>
      </c>
      <c r="R344" s="3" t="s">
        <v>36</v>
      </c>
      <c r="S344" s="2">
        <f t="shared" si="330"/>
        <v>819749.67999999993</v>
      </c>
      <c r="T344" s="2">
        <v>661056.71</v>
      </c>
      <c r="U344" s="2">
        <v>158692.97</v>
      </c>
      <c r="V344" s="2">
        <f t="shared" si="331"/>
        <v>156330.31</v>
      </c>
      <c r="W344" s="2">
        <v>116657.06</v>
      </c>
      <c r="X344" s="2">
        <v>39673.25</v>
      </c>
      <c r="Y344" s="2">
        <f t="shared" si="336"/>
        <v>0</v>
      </c>
      <c r="Z344" s="2"/>
      <c r="AA344" s="2"/>
      <c r="AB344" s="2">
        <f t="shared" si="338"/>
        <v>19920.010000000002</v>
      </c>
      <c r="AC344" s="2">
        <v>15871.7</v>
      </c>
      <c r="AD344" s="2">
        <v>4048.31</v>
      </c>
      <c r="AE344" s="2">
        <f t="shared" si="334"/>
        <v>996000</v>
      </c>
      <c r="AF344" s="2"/>
      <c r="AG344" s="2">
        <f t="shared" si="335"/>
        <v>996000</v>
      </c>
      <c r="AH344" s="105" t="s">
        <v>871</v>
      </c>
      <c r="AI344" s="30"/>
      <c r="AJ344" s="31">
        <f>11711.89+112463.33+73006.84</f>
        <v>197182.06</v>
      </c>
      <c r="AK344" s="31">
        <f>2233.51+2453.09+13922.77</f>
        <v>18609.370000000003</v>
      </c>
    </row>
    <row r="345" spans="1:37" ht="141.75" x14ac:dyDescent="0.25">
      <c r="A345" s="348" t="s">
        <v>1934</v>
      </c>
      <c r="B345" s="20">
        <v>112982</v>
      </c>
      <c r="C345" s="75">
        <v>297</v>
      </c>
      <c r="D345" s="20" t="s">
        <v>1073</v>
      </c>
      <c r="E345" s="24" t="s">
        <v>165</v>
      </c>
      <c r="F345" s="22" t="s">
        <v>322</v>
      </c>
      <c r="G345" s="229" t="s">
        <v>884</v>
      </c>
      <c r="H345" s="33" t="s">
        <v>885</v>
      </c>
      <c r="I345" s="24" t="s">
        <v>886</v>
      </c>
      <c r="J345" s="6" t="s">
        <v>887</v>
      </c>
      <c r="K345" s="5">
        <v>43318</v>
      </c>
      <c r="L345" s="7">
        <v>43682</v>
      </c>
      <c r="M345" s="4">
        <f t="shared" si="337"/>
        <v>82.304142421748935</v>
      </c>
      <c r="N345" s="3" t="s">
        <v>324</v>
      </c>
      <c r="O345" s="3" t="s">
        <v>853</v>
      </c>
      <c r="P345" s="3" t="s">
        <v>888</v>
      </c>
      <c r="Q345" s="8" t="s">
        <v>326</v>
      </c>
      <c r="R345" s="3" t="s">
        <v>36</v>
      </c>
      <c r="S345" s="2">
        <f t="shared" si="330"/>
        <v>819220.94</v>
      </c>
      <c r="T345" s="2">
        <f>660630.63-0.29</f>
        <v>660630.34</v>
      </c>
      <c r="U345" s="2">
        <f>158590.68-0.08</f>
        <v>158590.6</v>
      </c>
      <c r="V345" s="2">
        <f t="shared" si="331"/>
        <v>156229.57</v>
      </c>
      <c r="W345" s="2">
        <f>116581.9-0.05</f>
        <v>116581.84999999999</v>
      </c>
      <c r="X345" s="2">
        <f>39647.73-0.01</f>
        <v>39647.72</v>
      </c>
      <c r="Y345" s="2">
        <f t="shared" si="336"/>
        <v>0</v>
      </c>
      <c r="Z345" s="2"/>
      <c r="AA345" s="2"/>
      <c r="AB345" s="2">
        <f t="shared" si="338"/>
        <v>19907.580000000002</v>
      </c>
      <c r="AC345" s="2">
        <f>15861.49+0.34</f>
        <v>15861.83</v>
      </c>
      <c r="AD345" s="2">
        <f>4045.66+0.09</f>
        <v>4045.75</v>
      </c>
      <c r="AE345" s="2">
        <f t="shared" si="334"/>
        <v>995358.09</v>
      </c>
      <c r="AF345" s="2"/>
      <c r="AG345" s="2">
        <f t="shared" si="335"/>
        <v>995358.09</v>
      </c>
      <c r="AH345" s="105" t="s">
        <v>871</v>
      </c>
      <c r="AI345" s="30"/>
      <c r="AJ345" s="31">
        <f>165765.11+56722.24+28008.96+69100.38-9760.15+61890.51+86983.18+50044.51+10153.07+68034.97</f>
        <v>586942.77999999991</v>
      </c>
      <c r="AK345" s="31">
        <f>14377.08+10817.21+22576.59+11316.48+16588.12+13157.91+10124.9+5883.58</f>
        <v>104841.87</v>
      </c>
    </row>
    <row r="346" spans="1:37" ht="267.75" x14ac:dyDescent="0.25">
      <c r="A346" s="348" t="s">
        <v>1935</v>
      </c>
      <c r="B346" s="20">
        <v>110476</v>
      </c>
      <c r="C346" s="75">
        <v>203</v>
      </c>
      <c r="D346" s="20" t="s">
        <v>172</v>
      </c>
      <c r="E346" s="24" t="s">
        <v>165</v>
      </c>
      <c r="F346" s="22" t="s">
        <v>322</v>
      </c>
      <c r="G346" s="229" t="s">
        <v>902</v>
      </c>
      <c r="H346" s="33" t="s">
        <v>901</v>
      </c>
      <c r="I346" s="24" t="s">
        <v>903</v>
      </c>
      <c r="J346" s="6" t="s">
        <v>904</v>
      </c>
      <c r="K346" s="5">
        <v>43321</v>
      </c>
      <c r="L346" s="7">
        <v>43808</v>
      </c>
      <c r="M346" s="4">
        <f t="shared" si="337"/>
        <v>82.304181989191633</v>
      </c>
      <c r="N346" s="3" t="s">
        <v>324</v>
      </c>
      <c r="O346" s="3" t="s">
        <v>345</v>
      </c>
      <c r="P346" s="3" t="s">
        <v>345</v>
      </c>
      <c r="Q346" s="8" t="s">
        <v>326</v>
      </c>
      <c r="R346" s="3" t="s">
        <v>36</v>
      </c>
      <c r="S346" s="2">
        <f t="shared" si="330"/>
        <v>792472.45</v>
      </c>
      <c r="T346" s="2">
        <v>639059.98</v>
      </c>
      <c r="U346" s="2">
        <v>153412.47</v>
      </c>
      <c r="V346" s="2">
        <f t="shared" si="331"/>
        <v>151128.43</v>
      </c>
      <c r="W346" s="2">
        <v>112775.29</v>
      </c>
      <c r="X346" s="2">
        <v>38353.14</v>
      </c>
      <c r="Y346" s="2">
        <f t="shared" si="336"/>
        <v>0</v>
      </c>
      <c r="Z346" s="2">
        <v>0</v>
      </c>
      <c r="AA346" s="2">
        <v>0</v>
      </c>
      <c r="AB346" s="2">
        <f t="shared" si="338"/>
        <v>19257.18</v>
      </c>
      <c r="AC346" s="2">
        <v>15343.62</v>
      </c>
      <c r="AD346" s="2">
        <v>3913.56</v>
      </c>
      <c r="AE346" s="2">
        <f t="shared" si="334"/>
        <v>962858.05999999994</v>
      </c>
      <c r="AF346" s="2"/>
      <c r="AG346" s="2">
        <f t="shared" si="335"/>
        <v>962858.05999999994</v>
      </c>
      <c r="AH346" s="105" t="s">
        <v>871</v>
      </c>
      <c r="AI346" s="30"/>
      <c r="AJ346" s="31">
        <f>96285.8+47700.86+109022.07+9510.48+92679.05</f>
        <v>355198.26</v>
      </c>
      <c r="AK346" s="31">
        <f>23108.4+6779.44+19488.05</f>
        <v>49375.89</v>
      </c>
    </row>
    <row r="347" spans="1:37" ht="141.75" x14ac:dyDescent="0.25">
      <c r="A347" s="348" t="s">
        <v>1936</v>
      </c>
      <c r="B347" s="20">
        <v>111413</v>
      </c>
      <c r="C347" s="75">
        <v>245</v>
      </c>
      <c r="D347" s="20" t="s">
        <v>170</v>
      </c>
      <c r="E347" s="24" t="s">
        <v>165</v>
      </c>
      <c r="F347" s="22" t="s">
        <v>322</v>
      </c>
      <c r="G347" s="229" t="s">
        <v>909</v>
      </c>
      <c r="H347" s="33" t="s">
        <v>910</v>
      </c>
      <c r="I347" s="24" t="s">
        <v>911</v>
      </c>
      <c r="J347" s="6" t="s">
        <v>912</v>
      </c>
      <c r="K347" s="5">
        <v>43325</v>
      </c>
      <c r="L347" s="7">
        <v>43812</v>
      </c>
      <c r="M347" s="4">
        <f t="shared" si="337"/>
        <v>82.510189524515496</v>
      </c>
      <c r="N347" s="3" t="s">
        <v>324</v>
      </c>
      <c r="O347" s="3" t="s">
        <v>312</v>
      </c>
      <c r="P347" s="3" t="s">
        <v>312</v>
      </c>
      <c r="Q347" s="8" t="s">
        <v>326</v>
      </c>
      <c r="R347" s="3" t="s">
        <v>36</v>
      </c>
      <c r="S347" s="2">
        <f t="shared" si="330"/>
        <v>805149.57</v>
      </c>
      <c r="T347" s="2">
        <v>649282.97</v>
      </c>
      <c r="U347" s="2">
        <v>155866.6</v>
      </c>
      <c r="V347" s="2">
        <f t="shared" si="331"/>
        <v>134378</v>
      </c>
      <c r="W347" s="2">
        <v>100275.78</v>
      </c>
      <c r="X347" s="2">
        <v>34102.22</v>
      </c>
      <c r="Y347" s="2">
        <f t="shared" si="336"/>
        <v>19168</v>
      </c>
      <c r="Z347" s="2">
        <v>14303.59</v>
      </c>
      <c r="AA347" s="2">
        <v>4864.41</v>
      </c>
      <c r="AB347" s="2">
        <f t="shared" si="338"/>
        <v>17122.78</v>
      </c>
      <c r="AC347" s="2">
        <v>13642.95</v>
      </c>
      <c r="AD347" s="2">
        <v>3479.83</v>
      </c>
      <c r="AE347" s="2">
        <f t="shared" si="334"/>
        <v>975818.35</v>
      </c>
      <c r="AF347" s="2">
        <v>0</v>
      </c>
      <c r="AG347" s="2">
        <f t="shared" si="335"/>
        <v>975818.35</v>
      </c>
      <c r="AH347" s="105" t="s">
        <v>871</v>
      </c>
      <c r="AI347" s="30" t="s">
        <v>349</v>
      </c>
      <c r="AJ347" s="31">
        <f>85600-10278.92+91440.93+64880.29+85600+67989.89</f>
        <v>385232.19000000006</v>
      </c>
      <c r="AK347" s="31">
        <f>10278.92+5199.07+27998.08+12966.01</f>
        <v>56442.080000000002</v>
      </c>
    </row>
    <row r="348" spans="1:37" ht="408" x14ac:dyDescent="0.25">
      <c r="A348" s="348" t="s">
        <v>1937</v>
      </c>
      <c r="B348" s="20">
        <v>112299</v>
      </c>
      <c r="C348" s="75">
        <v>370</v>
      </c>
      <c r="D348" s="20" t="s">
        <v>168</v>
      </c>
      <c r="E348" s="3" t="s">
        <v>1083</v>
      </c>
      <c r="F348" s="22" t="s">
        <v>636</v>
      </c>
      <c r="G348" s="229" t="s">
        <v>919</v>
      </c>
      <c r="H348" s="33" t="s">
        <v>920</v>
      </c>
      <c r="I348" s="24" t="s">
        <v>185</v>
      </c>
      <c r="J348" s="229" t="s">
        <v>921</v>
      </c>
      <c r="K348" s="5">
        <v>43322</v>
      </c>
      <c r="L348" s="7">
        <v>43809</v>
      </c>
      <c r="M348" s="4">
        <f t="shared" si="337"/>
        <v>82.304185282751305</v>
      </c>
      <c r="N348" s="3" t="s">
        <v>324</v>
      </c>
      <c r="O348" s="3" t="s">
        <v>312</v>
      </c>
      <c r="P348" s="3" t="s">
        <v>312</v>
      </c>
      <c r="Q348" s="8" t="s">
        <v>326</v>
      </c>
      <c r="R348" s="3" t="s">
        <v>36</v>
      </c>
      <c r="S348" s="2">
        <f t="shared" si="330"/>
        <v>5950616.5299999993</v>
      </c>
      <c r="T348" s="2">
        <v>4798653.8099999996</v>
      </c>
      <c r="U348" s="2">
        <v>1151962.72</v>
      </c>
      <c r="V348" s="2">
        <f t="shared" si="331"/>
        <v>1134811.99</v>
      </c>
      <c r="W348" s="2">
        <v>846821.28</v>
      </c>
      <c r="X348" s="2">
        <v>287990.71000000002</v>
      </c>
      <c r="Y348" s="2">
        <f t="shared" si="336"/>
        <v>0</v>
      </c>
      <c r="Z348" s="2">
        <v>0</v>
      </c>
      <c r="AA348" s="2">
        <v>0</v>
      </c>
      <c r="AB348" s="2">
        <f t="shared" si="338"/>
        <v>144600.56</v>
      </c>
      <c r="AC348" s="2">
        <v>115213.74</v>
      </c>
      <c r="AD348" s="2">
        <v>29386.82</v>
      </c>
      <c r="AE348" s="2">
        <f t="shared" si="334"/>
        <v>7230029.0799999991</v>
      </c>
      <c r="AF348" s="2">
        <v>138667.75</v>
      </c>
      <c r="AG348" s="2">
        <f t="shared" si="335"/>
        <v>7368696.8299999991</v>
      </c>
      <c r="AH348" s="105" t="s">
        <v>871</v>
      </c>
      <c r="AI348" s="30"/>
      <c r="AJ348" s="31">
        <f>282756.47-22704+3451.47+697697.8-66522.25</f>
        <v>894679.49</v>
      </c>
      <c r="AK348" s="31">
        <f>22703.99+27547.51+66522.25</f>
        <v>116773.75</v>
      </c>
    </row>
    <row r="349" spans="1:37" ht="120" x14ac:dyDescent="0.25">
      <c r="A349" s="348" t="s">
        <v>1938</v>
      </c>
      <c r="B349" s="20">
        <v>112241</v>
      </c>
      <c r="C349" s="75">
        <v>291</v>
      </c>
      <c r="D349" s="20" t="s">
        <v>1318</v>
      </c>
      <c r="E349" s="24" t="s">
        <v>165</v>
      </c>
      <c r="F349" s="22" t="s">
        <v>322</v>
      </c>
      <c r="G349" s="229" t="s">
        <v>933</v>
      </c>
      <c r="H349" s="33" t="s">
        <v>934</v>
      </c>
      <c r="I349" s="24" t="s">
        <v>935</v>
      </c>
      <c r="J349" s="6" t="s">
        <v>936</v>
      </c>
      <c r="K349" s="5">
        <v>43332</v>
      </c>
      <c r="L349" s="7">
        <v>43818</v>
      </c>
      <c r="M349" s="4">
        <f t="shared" si="337"/>
        <v>82.583882850083839</v>
      </c>
      <c r="N349" s="77" t="s">
        <v>155</v>
      </c>
      <c r="O349" s="3" t="s">
        <v>720</v>
      </c>
      <c r="P349" s="3" t="s">
        <v>708</v>
      </c>
      <c r="Q349" s="8" t="s">
        <v>326</v>
      </c>
      <c r="R349" s="9" t="s">
        <v>36</v>
      </c>
      <c r="S349" s="2">
        <f t="shared" si="330"/>
        <v>824427.28</v>
      </c>
      <c r="T349" s="2">
        <v>664828.78</v>
      </c>
      <c r="U349" s="2">
        <v>159598.5</v>
      </c>
      <c r="V349" s="2">
        <f t="shared" si="331"/>
        <v>130597.97</v>
      </c>
      <c r="W349" s="2">
        <v>97455.03</v>
      </c>
      <c r="X349" s="2">
        <v>33142.94</v>
      </c>
      <c r="Y349" s="2">
        <f t="shared" si="336"/>
        <v>26624.399999999998</v>
      </c>
      <c r="Z349" s="2">
        <v>19867.71</v>
      </c>
      <c r="AA349" s="2">
        <v>6756.69</v>
      </c>
      <c r="AB349" s="2">
        <f t="shared" si="338"/>
        <v>16641.12</v>
      </c>
      <c r="AC349" s="2">
        <v>13259.17</v>
      </c>
      <c r="AD349" s="2">
        <v>3381.95</v>
      </c>
      <c r="AE349" s="2">
        <f t="shared" si="334"/>
        <v>998290.77</v>
      </c>
      <c r="AF349" s="2"/>
      <c r="AG349" s="2">
        <f t="shared" si="335"/>
        <v>998290.77</v>
      </c>
      <c r="AH349" s="105" t="s">
        <v>871</v>
      </c>
      <c r="AI349" s="30"/>
      <c r="AJ349" s="31">
        <f>81541.49+87388.02+13666.61+117720.04+28127.79+78797.35</f>
        <v>407241.29999999993</v>
      </c>
      <c r="AK349" s="31">
        <f>16166.91+2606.29+16916.51+3786.15+14772.46</f>
        <v>54248.32</v>
      </c>
    </row>
    <row r="350" spans="1:37" ht="409.5" x14ac:dyDescent="0.25">
      <c r="A350" s="348" t="s">
        <v>1939</v>
      </c>
      <c r="B350" s="20">
        <v>111881</v>
      </c>
      <c r="C350" s="75">
        <v>222</v>
      </c>
      <c r="D350" s="20" t="s">
        <v>172</v>
      </c>
      <c r="E350" s="24" t="s">
        <v>165</v>
      </c>
      <c r="F350" s="22" t="s">
        <v>322</v>
      </c>
      <c r="G350" s="251" t="s">
        <v>937</v>
      </c>
      <c r="H350" s="252" t="s">
        <v>938</v>
      </c>
      <c r="I350" s="24" t="s">
        <v>939</v>
      </c>
      <c r="J350" s="25" t="s">
        <v>940</v>
      </c>
      <c r="K350" s="5">
        <v>43332</v>
      </c>
      <c r="L350" s="7">
        <v>43819</v>
      </c>
      <c r="M350" s="4">
        <f t="shared" si="337"/>
        <v>82.304193109047048</v>
      </c>
      <c r="N350" s="77" t="s">
        <v>155</v>
      </c>
      <c r="O350" s="3" t="s">
        <v>312</v>
      </c>
      <c r="P350" s="3" t="s">
        <v>312</v>
      </c>
      <c r="Q350" s="8" t="s">
        <v>326</v>
      </c>
      <c r="R350" s="3" t="s">
        <v>36</v>
      </c>
      <c r="S350" s="2">
        <f t="shared" si="330"/>
        <v>817219.92999999993</v>
      </c>
      <c r="T350" s="2">
        <v>659016.73</v>
      </c>
      <c r="U350" s="2">
        <v>158203.20000000001</v>
      </c>
      <c r="V350" s="2">
        <f t="shared" si="331"/>
        <v>155847.79</v>
      </c>
      <c r="W350" s="2">
        <v>116297.02</v>
      </c>
      <c r="X350" s="2">
        <v>39550.769999999997</v>
      </c>
      <c r="Y350" s="2">
        <f t="shared" si="336"/>
        <v>19858.52</v>
      </c>
      <c r="Z350" s="2">
        <v>15822.64</v>
      </c>
      <c r="AA350" s="2">
        <v>4035.88</v>
      </c>
      <c r="AB350" s="2">
        <f t="shared" si="338"/>
        <v>0</v>
      </c>
      <c r="AC350" s="2">
        <v>0</v>
      </c>
      <c r="AD350" s="2">
        <v>0</v>
      </c>
      <c r="AE350" s="2">
        <f t="shared" si="334"/>
        <v>992926.24</v>
      </c>
      <c r="AF350" s="2"/>
      <c r="AG350" s="2">
        <f t="shared" si="335"/>
        <v>992926.24</v>
      </c>
      <c r="AH350" s="105" t="s">
        <v>871</v>
      </c>
      <c r="AI350" s="30" t="s">
        <v>1225</v>
      </c>
      <c r="AJ350" s="31">
        <f>99292.62-14519.17+90653.42-15093.22+94237.53</f>
        <v>254571.18</v>
      </c>
      <c r="AK350" s="31">
        <f>14519.17+15093.22</f>
        <v>29612.39</v>
      </c>
    </row>
    <row r="351" spans="1:37" ht="409.5" x14ac:dyDescent="0.25">
      <c r="A351" s="348" t="s">
        <v>1940</v>
      </c>
      <c r="B351" s="20">
        <v>111434</v>
      </c>
      <c r="C351" s="75">
        <v>141</v>
      </c>
      <c r="D351" s="20" t="s">
        <v>1073</v>
      </c>
      <c r="E351" s="24" t="s">
        <v>165</v>
      </c>
      <c r="F351" s="22" t="s">
        <v>322</v>
      </c>
      <c r="G351" s="229" t="s">
        <v>945</v>
      </c>
      <c r="H351" s="33" t="s">
        <v>946</v>
      </c>
      <c r="I351" s="24" t="s">
        <v>947</v>
      </c>
      <c r="J351" s="6" t="s">
        <v>1014</v>
      </c>
      <c r="K351" s="5">
        <v>43332</v>
      </c>
      <c r="L351" s="7">
        <v>43819</v>
      </c>
      <c r="M351" s="4">
        <f t="shared" si="337"/>
        <v>82.30418537074344</v>
      </c>
      <c r="N351" s="3" t="s">
        <v>324</v>
      </c>
      <c r="O351" s="3" t="s">
        <v>156</v>
      </c>
      <c r="P351" s="3" t="s">
        <v>156</v>
      </c>
      <c r="Q351" s="8" t="s">
        <v>326</v>
      </c>
      <c r="R351" s="9" t="s">
        <v>36</v>
      </c>
      <c r="S351" s="2">
        <f t="shared" si="330"/>
        <v>822576.44</v>
      </c>
      <c r="T351" s="2">
        <v>663336.19999999995</v>
      </c>
      <c r="U351" s="2">
        <v>159240.24</v>
      </c>
      <c r="V351" s="2">
        <f t="shared" si="331"/>
        <v>156869.40000000002</v>
      </c>
      <c r="W351" s="2">
        <v>117059.35</v>
      </c>
      <c r="X351" s="2">
        <v>39810.050000000003</v>
      </c>
      <c r="Y351" s="2">
        <f t="shared" si="336"/>
        <v>19988.68</v>
      </c>
      <c r="Z351" s="2">
        <v>15926.46</v>
      </c>
      <c r="AA351" s="2">
        <v>4062.22</v>
      </c>
      <c r="AB351" s="2">
        <f t="shared" si="338"/>
        <v>0</v>
      </c>
      <c r="AC351" s="2"/>
      <c r="AD351" s="2"/>
      <c r="AE351" s="2">
        <f t="shared" si="334"/>
        <v>999434.52</v>
      </c>
      <c r="AF351" s="2"/>
      <c r="AG351" s="2">
        <f t="shared" si="335"/>
        <v>999434.52</v>
      </c>
      <c r="AH351" s="105" t="s">
        <v>871</v>
      </c>
      <c r="AI351" s="30" t="s">
        <v>939</v>
      </c>
      <c r="AJ351" s="31">
        <f>49971.72+83543.84+96913+21111.43+81377.76</f>
        <v>332917.75</v>
      </c>
      <c r="AK351" s="31">
        <f>24884.17+21127.4</f>
        <v>46011.57</v>
      </c>
    </row>
    <row r="352" spans="1:37" ht="142.5" thickBot="1" x14ac:dyDescent="0.3">
      <c r="A352" s="348" t="s">
        <v>1941</v>
      </c>
      <c r="B352" s="20">
        <v>112374</v>
      </c>
      <c r="C352" s="75">
        <v>142</v>
      </c>
      <c r="D352" s="20" t="s">
        <v>1318</v>
      </c>
      <c r="E352" s="24" t="s">
        <v>165</v>
      </c>
      <c r="F352" s="22" t="s">
        <v>322</v>
      </c>
      <c r="G352" s="229" t="s">
        <v>950</v>
      </c>
      <c r="H352" s="33" t="s">
        <v>951</v>
      </c>
      <c r="I352" s="24" t="s">
        <v>353</v>
      </c>
      <c r="J352" s="6" t="s">
        <v>952</v>
      </c>
      <c r="K352" s="5">
        <v>43333</v>
      </c>
      <c r="L352" s="7">
        <v>43819</v>
      </c>
      <c r="M352" s="4">
        <f t="shared" si="337"/>
        <v>82.304182898535288</v>
      </c>
      <c r="N352" s="3" t="s">
        <v>324</v>
      </c>
      <c r="O352" s="3" t="s">
        <v>156</v>
      </c>
      <c r="P352" s="3" t="s">
        <v>156</v>
      </c>
      <c r="Q352" s="8" t="s">
        <v>326</v>
      </c>
      <c r="R352" s="3" t="s">
        <v>36</v>
      </c>
      <c r="S352" s="2">
        <f t="shared" si="330"/>
        <v>776266.51</v>
      </c>
      <c r="T352" s="2">
        <v>625991.30000000005</v>
      </c>
      <c r="U352" s="2">
        <v>150275.21</v>
      </c>
      <c r="V352" s="2">
        <f t="shared" si="331"/>
        <v>148037.87</v>
      </c>
      <c r="W352" s="2">
        <v>110469.08</v>
      </c>
      <c r="X352" s="2">
        <v>37568.79</v>
      </c>
      <c r="Y352" s="2">
        <f t="shared" si="336"/>
        <v>0</v>
      </c>
      <c r="Z352" s="2"/>
      <c r="AA352" s="2"/>
      <c r="AB352" s="2">
        <f t="shared" si="338"/>
        <v>18863.37</v>
      </c>
      <c r="AC352" s="2">
        <v>15029.81</v>
      </c>
      <c r="AD352" s="2">
        <v>3833.56</v>
      </c>
      <c r="AE352" s="253">
        <f t="shared" si="334"/>
        <v>943167.75</v>
      </c>
      <c r="AF352" s="2"/>
      <c r="AG352" s="2">
        <f t="shared" si="335"/>
        <v>943167.75</v>
      </c>
      <c r="AH352" s="105" t="s">
        <v>871</v>
      </c>
      <c r="AI352" s="30"/>
      <c r="AJ352" s="31">
        <f>94316.78+88365.15+32352.46+93883.38</f>
        <v>308917.77</v>
      </c>
      <c r="AK352" s="31">
        <f>21755.69+19252.4+433.4</f>
        <v>41441.49</v>
      </c>
    </row>
    <row r="353" spans="1:37" ht="316.5" thickTop="1" x14ac:dyDescent="0.3">
      <c r="A353" s="348" t="s">
        <v>1942</v>
      </c>
      <c r="B353" s="20">
        <v>111379</v>
      </c>
      <c r="C353" s="75">
        <v>228</v>
      </c>
      <c r="D353" s="20" t="s">
        <v>172</v>
      </c>
      <c r="E353" s="24" t="s">
        <v>165</v>
      </c>
      <c r="F353" s="22" t="s">
        <v>322</v>
      </c>
      <c r="G353" s="254" t="s">
        <v>953</v>
      </c>
      <c r="H353" s="117" t="s">
        <v>954</v>
      </c>
      <c r="I353" s="24" t="s">
        <v>955</v>
      </c>
      <c r="J353" s="6" t="s">
        <v>956</v>
      </c>
      <c r="K353" s="5">
        <v>43333</v>
      </c>
      <c r="L353" s="7">
        <v>43820</v>
      </c>
      <c r="M353" s="4">
        <f t="shared" si="337"/>
        <v>82.452371972946708</v>
      </c>
      <c r="N353" s="3" t="s">
        <v>324</v>
      </c>
      <c r="O353" s="3" t="s">
        <v>156</v>
      </c>
      <c r="P353" s="3" t="s">
        <v>156</v>
      </c>
      <c r="Q353" s="8" t="s">
        <v>326</v>
      </c>
      <c r="R353" s="3" t="s">
        <v>36</v>
      </c>
      <c r="S353" s="2">
        <f t="shared" si="330"/>
        <v>823001.55</v>
      </c>
      <c r="T353" s="2">
        <v>663679.05000000005</v>
      </c>
      <c r="U353" s="2">
        <v>159322.5</v>
      </c>
      <c r="V353" s="2">
        <f t="shared" si="331"/>
        <v>142846.60999999999</v>
      </c>
      <c r="W353" s="2">
        <v>106595.2</v>
      </c>
      <c r="X353" s="2">
        <v>36251.410000000003</v>
      </c>
      <c r="Y353" s="2">
        <f t="shared" si="336"/>
        <v>32305.72</v>
      </c>
      <c r="Z353" s="2">
        <v>25027.37</v>
      </c>
      <c r="AA353" s="2">
        <v>7278.35</v>
      </c>
      <c r="AB353" s="2">
        <f t="shared" si="338"/>
        <v>0</v>
      </c>
      <c r="AC353" s="2"/>
      <c r="AD353" s="2"/>
      <c r="AE353" s="2">
        <f t="shared" si="334"/>
        <v>998153.88</v>
      </c>
      <c r="AF353" s="2"/>
      <c r="AG353" s="2">
        <f t="shared" si="335"/>
        <v>998153.88</v>
      </c>
      <c r="AH353" s="105" t="s">
        <v>871</v>
      </c>
      <c r="AI353" s="30" t="s">
        <v>939</v>
      </c>
      <c r="AJ353" s="31">
        <f>91009.38-9270.26+57880.76-12678.05+33855.88+91009.38</f>
        <v>251807.09</v>
      </c>
      <c r="AK353" s="31">
        <f>9270.26+12678.05+8716.65</f>
        <v>30664.959999999999</v>
      </c>
    </row>
    <row r="354" spans="1:37" ht="409.5" x14ac:dyDescent="0.25">
      <c r="A354" s="348" t="s">
        <v>1943</v>
      </c>
      <c r="B354" s="20">
        <v>112711</v>
      </c>
      <c r="C354" s="75">
        <v>209</v>
      </c>
      <c r="D354" s="20" t="s">
        <v>172</v>
      </c>
      <c r="E354" s="171" t="s">
        <v>165</v>
      </c>
      <c r="F354" s="22" t="s">
        <v>322</v>
      </c>
      <c r="G354" s="229" t="s">
        <v>962</v>
      </c>
      <c r="H354" s="33" t="s">
        <v>963</v>
      </c>
      <c r="I354" s="171" t="s">
        <v>964</v>
      </c>
      <c r="J354" s="25" t="s">
        <v>965</v>
      </c>
      <c r="K354" s="5">
        <v>43335</v>
      </c>
      <c r="L354" s="7">
        <v>43822</v>
      </c>
      <c r="M354" s="4">
        <f t="shared" si="337"/>
        <v>82.640124999999998</v>
      </c>
      <c r="N354" s="3" t="s">
        <v>324</v>
      </c>
      <c r="O354" s="3" t="s">
        <v>156</v>
      </c>
      <c r="P354" s="3" t="s">
        <v>156</v>
      </c>
      <c r="Q354" s="8" t="s">
        <v>326</v>
      </c>
      <c r="R354" s="3" t="s">
        <v>36</v>
      </c>
      <c r="S354" s="2">
        <f t="shared" si="330"/>
        <v>826401.25</v>
      </c>
      <c r="T354" s="2">
        <v>666420.59</v>
      </c>
      <c r="U354" s="2">
        <v>159980.66</v>
      </c>
      <c r="V354" s="2">
        <f t="shared" si="331"/>
        <v>153598.75</v>
      </c>
      <c r="W354" s="2">
        <v>114416.53</v>
      </c>
      <c r="X354" s="2">
        <v>39182.22</v>
      </c>
      <c r="Y354" s="2">
        <f t="shared" si="336"/>
        <v>20000</v>
      </c>
      <c r="Z354" s="2">
        <v>15935.46</v>
      </c>
      <c r="AA354" s="2">
        <v>4064.54</v>
      </c>
      <c r="AB354" s="2">
        <f t="shared" si="338"/>
        <v>0</v>
      </c>
      <c r="AC354" s="2"/>
      <c r="AD354" s="2"/>
      <c r="AE354" s="2">
        <f t="shared" si="334"/>
        <v>1000000</v>
      </c>
      <c r="AF354" s="2"/>
      <c r="AG354" s="2">
        <f t="shared" si="335"/>
        <v>1000000</v>
      </c>
      <c r="AH354" s="105" t="s">
        <v>871</v>
      </c>
      <c r="AI354" s="30" t="s">
        <v>939</v>
      </c>
      <c r="AJ354" s="31">
        <f>98952.8+38728.19+96005.78+68225.96+103165.27+4938.26</f>
        <v>410016.26</v>
      </c>
      <c r="AK354" s="31">
        <f>24992.94+30773.35+1365.53+941.74</f>
        <v>58073.55999999999</v>
      </c>
    </row>
    <row r="355" spans="1:37" ht="189" x14ac:dyDescent="0.25">
      <c r="A355" s="348" t="s">
        <v>1944</v>
      </c>
      <c r="B355" s="20">
        <v>112827</v>
      </c>
      <c r="C355" s="75">
        <v>305</v>
      </c>
      <c r="D355" s="20" t="s">
        <v>168</v>
      </c>
      <c r="E355" s="24" t="s">
        <v>165</v>
      </c>
      <c r="F355" s="22" t="s">
        <v>322</v>
      </c>
      <c r="G355" s="229" t="s">
        <v>972</v>
      </c>
      <c r="H355" s="229" t="s">
        <v>971</v>
      </c>
      <c r="I355" s="24" t="s">
        <v>973</v>
      </c>
      <c r="J355" s="6" t="s">
        <v>974</v>
      </c>
      <c r="K355" s="5">
        <v>43325</v>
      </c>
      <c r="L355" s="7">
        <v>43750</v>
      </c>
      <c r="M355" s="4">
        <f t="shared" si="337"/>
        <v>82.30418490460022</v>
      </c>
      <c r="N355" s="3" t="s">
        <v>324</v>
      </c>
      <c r="O355" s="3" t="s">
        <v>315</v>
      </c>
      <c r="P355" s="3" t="s">
        <v>975</v>
      </c>
      <c r="Q355" s="8" t="s">
        <v>326</v>
      </c>
      <c r="R355" s="3" t="s">
        <v>36</v>
      </c>
      <c r="S355" s="2">
        <f t="shared" si="330"/>
        <v>819344.35</v>
      </c>
      <c r="T355" s="2">
        <v>660729.84</v>
      </c>
      <c r="U355" s="2">
        <v>158614.51</v>
      </c>
      <c r="V355" s="2">
        <f t="shared" si="331"/>
        <v>156253.01</v>
      </c>
      <c r="W355" s="2">
        <v>116599.39</v>
      </c>
      <c r="X355" s="2">
        <v>39653.620000000003</v>
      </c>
      <c r="Y355" s="2">
        <f t="shared" si="336"/>
        <v>0</v>
      </c>
      <c r="Z355" s="2"/>
      <c r="AA355" s="2"/>
      <c r="AB355" s="2">
        <f t="shared" si="338"/>
        <v>19910.16</v>
      </c>
      <c r="AC355" s="2">
        <v>15863.85</v>
      </c>
      <c r="AD355" s="2">
        <v>4046.31</v>
      </c>
      <c r="AE355" s="2">
        <f t="shared" si="334"/>
        <v>995507.52</v>
      </c>
      <c r="AF355" s="2"/>
      <c r="AG355" s="2">
        <f t="shared" si="335"/>
        <v>995507.52</v>
      </c>
      <c r="AH355" s="105" t="s">
        <v>871</v>
      </c>
      <c r="AI355" s="30" t="s">
        <v>939</v>
      </c>
      <c r="AJ355" s="31">
        <f>99347-2141.53-5209.28+78190.23</f>
        <v>170186.41999999998</v>
      </c>
      <c r="AK355" s="31">
        <f>2141.53+5209.28+6119.81</f>
        <v>13470.619999999999</v>
      </c>
    </row>
    <row r="356" spans="1:37" ht="157.5" x14ac:dyDescent="0.25">
      <c r="A356" s="348" t="s">
        <v>1945</v>
      </c>
      <c r="B356" s="20">
        <v>112220</v>
      </c>
      <c r="C356" s="75">
        <v>239</v>
      </c>
      <c r="D356" s="20" t="s">
        <v>170</v>
      </c>
      <c r="E356" s="171" t="s">
        <v>165</v>
      </c>
      <c r="F356" s="22" t="s">
        <v>322</v>
      </c>
      <c r="G356" s="229" t="s">
        <v>985</v>
      </c>
      <c r="H356" s="33" t="s">
        <v>986</v>
      </c>
      <c r="I356" s="24" t="s">
        <v>987</v>
      </c>
      <c r="J356" s="6" t="s">
        <v>989</v>
      </c>
      <c r="K356" s="5">
        <v>43346</v>
      </c>
      <c r="L356" s="7">
        <v>43771</v>
      </c>
      <c r="M356" s="4">
        <f t="shared" si="337"/>
        <v>82.53761528755669</v>
      </c>
      <c r="N356" s="3" t="s">
        <v>324</v>
      </c>
      <c r="O356" s="3" t="s">
        <v>222</v>
      </c>
      <c r="P356" s="3" t="s">
        <v>988</v>
      </c>
      <c r="Q356" s="8" t="s">
        <v>326</v>
      </c>
      <c r="R356" s="3" t="s">
        <v>36</v>
      </c>
      <c r="S356" s="2">
        <f t="shared" si="330"/>
        <v>770988.47</v>
      </c>
      <c r="T356" s="2">
        <v>621735</v>
      </c>
      <c r="U356" s="2">
        <v>149253.47</v>
      </c>
      <c r="V356" s="2">
        <f t="shared" si="331"/>
        <v>126240.19</v>
      </c>
      <c r="W356" s="2">
        <v>94203.17</v>
      </c>
      <c r="X356" s="2">
        <v>32037.02</v>
      </c>
      <c r="Y356" s="2">
        <f t="shared" si="336"/>
        <v>20791.07</v>
      </c>
      <c r="Z356" s="2">
        <v>15514.77</v>
      </c>
      <c r="AA356" s="2">
        <v>5276.3</v>
      </c>
      <c r="AB356" s="2">
        <f t="shared" si="338"/>
        <v>16085.85</v>
      </c>
      <c r="AC356" s="2">
        <v>12816.75</v>
      </c>
      <c r="AD356" s="2">
        <v>3269.1</v>
      </c>
      <c r="AE356" s="2">
        <f t="shared" si="334"/>
        <v>934105.57999999984</v>
      </c>
      <c r="AF356" s="2"/>
      <c r="AG356" s="2">
        <f t="shared" si="335"/>
        <v>934105.57999999984</v>
      </c>
      <c r="AH356" s="105" t="s">
        <v>586</v>
      </c>
      <c r="AI356" s="30" t="s">
        <v>349</v>
      </c>
      <c r="AJ356" s="31">
        <f>80429.21-9330.69+58258.04-10837.66+67667.13+123564.67+61010.11</f>
        <v>370760.81</v>
      </c>
      <c r="AK356" s="31">
        <f>9330.69+10837.66+23564.38+11634.9</f>
        <v>55367.63</v>
      </c>
    </row>
    <row r="357" spans="1:37" ht="189.75" x14ac:dyDescent="0.3">
      <c r="A357" s="348" t="s">
        <v>1946</v>
      </c>
      <c r="B357" s="20">
        <v>111775</v>
      </c>
      <c r="C357" s="75">
        <v>364</v>
      </c>
      <c r="D357" s="20" t="s">
        <v>1318</v>
      </c>
      <c r="E357" s="171" t="s">
        <v>165</v>
      </c>
      <c r="F357" s="22" t="s">
        <v>322</v>
      </c>
      <c r="G357" s="255" t="s">
        <v>990</v>
      </c>
      <c r="H357" s="256" t="s">
        <v>991</v>
      </c>
      <c r="I357" s="24" t="s">
        <v>992</v>
      </c>
      <c r="J357" s="6" t="s">
        <v>993</v>
      </c>
      <c r="K357" s="5">
        <v>43346</v>
      </c>
      <c r="L357" s="7">
        <v>43832</v>
      </c>
      <c r="M357" s="4">
        <f t="shared" si="337"/>
        <v>82.30418188922819</v>
      </c>
      <c r="N357" s="3" t="s">
        <v>324</v>
      </c>
      <c r="O357" s="3" t="s">
        <v>222</v>
      </c>
      <c r="P357" s="3" t="s">
        <v>471</v>
      </c>
      <c r="Q357" s="8" t="s">
        <v>326</v>
      </c>
      <c r="R357" s="3" t="s">
        <v>36</v>
      </c>
      <c r="S357" s="2">
        <f t="shared" si="330"/>
        <v>779789.21</v>
      </c>
      <c r="T357" s="2">
        <v>628832.06999999995</v>
      </c>
      <c r="U357" s="2">
        <v>150957.14000000001</v>
      </c>
      <c r="V357" s="2">
        <f t="shared" si="331"/>
        <v>148709.68</v>
      </c>
      <c r="W357" s="2">
        <v>110970.39</v>
      </c>
      <c r="X357" s="2">
        <v>37739.29</v>
      </c>
      <c r="Y357" s="2">
        <f t="shared" si="336"/>
        <v>0</v>
      </c>
      <c r="Z357" s="2"/>
      <c r="AA357" s="2"/>
      <c r="AB357" s="2">
        <f t="shared" si="338"/>
        <v>18948.97</v>
      </c>
      <c r="AC357" s="2">
        <v>15098.01</v>
      </c>
      <c r="AD357" s="2">
        <v>3850.96</v>
      </c>
      <c r="AE357" s="2">
        <f t="shared" si="334"/>
        <v>947447.85999999987</v>
      </c>
      <c r="AF357" s="2">
        <v>0</v>
      </c>
      <c r="AG357" s="2">
        <f t="shared" si="335"/>
        <v>947447.85999999987</v>
      </c>
      <c r="AH357" s="105" t="s">
        <v>586</v>
      </c>
      <c r="AI357" s="30" t="s">
        <v>349</v>
      </c>
      <c r="AJ357" s="31">
        <f>94744.78+10125.98+94121.04-10122.56</f>
        <v>188869.24</v>
      </c>
      <c r="AK357" s="31">
        <f>7252.41+12628.02+15463.44</f>
        <v>35343.870000000003</v>
      </c>
    </row>
    <row r="358" spans="1:37" ht="141.75" x14ac:dyDescent="0.25">
      <c r="A358" s="348" t="s">
        <v>1947</v>
      </c>
      <c r="B358" s="20">
        <v>112027</v>
      </c>
      <c r="C358" s="75">
        <v>290</v>
      </c>
      <c r="D358" s="20" t="s">
        <v>1318</v>
      </c>
      <c r="E358" s="171" t="s">
        <v>165</v>
      </c>
      <c r="F358" s="22" t="s">
        <v>322</v>
      </c>
      <c r="G358" s="257" t="s">
        <v>997</v>
      </c>
      <c r="H358" s="258" t="s">
        <v>998</v>
      </c>
      <c r="I358" s="121" t="s">
        <v>353</v>
      </c>
      <c r="J358" s="6" t="s">
        <v>999</v>
      </c>
      <c r="K358" s="5">
        <v>43346</v>
      </c>
      <c r="L358" s="7">
        <v>43832</v>
      </c>
      <c r="M358" s="4">
        <f t="shared" si="337"/>
        <v>82.30418483269878</v>
      </c>
      <c r="N358" s="3" t="s">
        <v>324</v>
      </c>
      <c r="O358" s="3" t="s">
        <v>156</v>
      </c>
      <c r="P358" s="3" t="s">
        <v>156</v>
      </c>
      <c r="Q358" s="8" t="s">
        <v>326</v>
      </c>
      <c r="R358" s="3" t="s">
        <v>36</v>
      </c>
      <c r="S358" s="2">
        <f t="shared" si="330"/>
        <v>765927.6</v>
      </c>
      <c r="T358" s="2">
        <v>617653.87</v>
      </c>
      <c r="U358" s="2">
        <v>148273.73000000001</v>
      </c>
      <c r="V358" s="2">
        <f t="shared" si="331"/>
        <v>146066.19</v>
      </c>
      <c r="W358" s="2">
        <v>108997.75999999999</v>
      </c>
      <c r="X358" s="2">
        <v>37068.43</v>
      </c>
      <c r="Y358" s="2">
        <f t="shared" si="336"/>
        <v>0</v>
      </c>
      <c r="Z358" s="2"/>
      <c r="AA358" s="2"/>
      <c r="AB358" s="2">
        <f t="shared" si="338"/>
        <v>18612.11</v>
      </c>
      <c r="AC358" s="2">
        <v>14829.62</v>
      </c>
      <c r="AD358" s="2">
        <v>3782.49</v>
      </c>
      <c r="AE358" s="2">
        <f t="shared" si="334"/>
        <v>930605.9</v>
      </c>
      <c r="AF358" s="2"/>
      <c r="AG358" s="2">
        <f t="shared" si="335"/>
        <v>930605.9</v>
      </c>
      <c r="AH358" s="105" t="s">
        <v>586</v>
      </c>
      <c r="AI358" s="30" t="s">
        <v>1418</v>
      </c>
      <c r="AJ358" s="31">
        <f>93000-10796.98+67413.16+54893.4+46914.21-9130.88+57010.49</f>
        <v>299303.39999999997</v>
      </c>
      <c r="AK358" s="31">
        <f>10796.98+10468.44+8946.77+9130.88</f>
        <v>39343.07</v>
      </c>
    </row>
    <row r="359" spans="1:37" ht="141.75" x14ac:dyDescent="0.25">
      <c r="A359" s="348" t="s">
        <v>1948</v>
      </c>
      <c r="B359" s="20">
        <v>112733</v>
      </c>
      <c r="C359" s="75">
        <v>146</v>
      </c>
      <c r="D359" s="20" t="s">
        <v>1318</v>
      </c>
      <c r="E359" s="171" t="s">
        <v>165</v>
      </c>
      <c r="F359" s="22" t="s">
        <v>322</v>
      </c>
      <c r="G359" s="259" t="s">
        <v>1003</v>
      </c>
      <c r="H359" s="33" t="s">
        <v>1004</v>
      </c>
      <c r="I359" s="24" t="s">
        <v>1005</v>
      </c>
      <c r="J359" s="6" t="s">
        <v>1006</v>
      </c>
      <c r="K359" s="5">
        <v>43349</v>
      </c>
      <c r="L359" s="7">
        <v>43835</v>
      </c>
      <c r="M359" s="4">
        <f t="shared" si="337"/>
        <v>82.53318349196968</v>
      </c>
      <c r="N359" s="3" t="s">
        <v>324</v>
      </c>
      <c r="O359" s="3" t="s">
        <v>156</v>
      </c>
      <c r="P359" s="3" t="s">
        <v>156</v>
      </c>
      <c r="Q359" s="8" t="s">
        <v>326</v>
      </c>
      <c r="R359" s="3" t="s">
        <v>36</v>
      </c>
      <c r="S359" s="2">
        <f t="shared" si="330"/>
        <v>819750.19</v>
      </c>
      <c r="T359" s="2">
        <v>661057.13</v>
      </c>
      <c r="U359" s="2">
        <v>158693.06</v>
      </c>
      <c r="V359" s="2">
        <f t="shared" si="331"/>
        <v>134642.41999999998</v>
      </c>
      <c r="W359" s="2">
        <v>100473.09</v>
      </c>
      <c r="X359" s="2">
        <v>34169.33</v>
      </c>
      <c r="Y359" s="2">
        <f t="shared" si="336"/>
        <v>21688.010000000002</v>
      </c>
      <c r="Z359" s="2">
        <v>16184.04</v>
      </c>
      <c r="AA359" s="2">
        <v>5503.97</v>
      </c>
      <c r="AB359" s="2">
        <f t="shared" si="338"/>
        <v>17156.47</v>
      </c>
      <c r="AC359" s="2">
        <v>13669.8</v>
      </c>
      <c r="AD359" s="2">
        <v>3486.67</v>
      </c>
      <c r="AE359" s="2">
        <f t="shared" si="334"/>
        <v>993237.08999999985</v>
      </c>
      <c r="AF359" s="2"/>
      <c r="AG359" s="2">
        <f t="shared" si="335"/>
        <v>993237.08999999985</v>
      </c>
      <c r="AH359" s="105" t="s">
        <v>586</v>
      </c>
      <c r="AI359" s="30" t="s">
        <v>349</v>
      </c>
      <c r="AJ359" s="31">
        <f>85782.36-3113.23+78199.1+6754.09+75351.32</f>
        <v>242973.64</v>
      </c>
      <c r="AK359" s="31">
        <f>12524.47+12068.37</f>
        <v>24592.84</v>
      </c>
    </row>
    <row r="360" spans="1:37" ht="409.5" x14ac:dyDescent="0.25">
      <c r="A360" s="348" t="s">
        <v>1949</v>
      </c>
      <c r="B360" s="20">
        <v>111432</v>
      </c>
      <c r="C360" s="75">
        <v>277</v>
      </c>
      <c r="D360" s="20" t="s">
        <v>1073</v>
      </c>
      <c r="E360" s="171" t="s">
        <v>165</v>
      </c>
      <c r="F360" s="22" t="s">
        <v>322</v>
      </c>
      <c r="G360" s="224" t="s">
        <v>1008</v>
      </c>
      <c r="H360" s="33" t="s">
        <v>1007</v>
      </c>
      <c r="I360" s="24" t="s">
        <v>1009</v>
      </c>
      <c r="J360" s="25" t="s">
        <v>1010</v>
      </c>
      <c r="K360" s="5">
        <v>43349</v>
      </c>
      <c r="L360" s="7">
        <v>43836</v>
      </c>
      <c r="M360" s="4">
        <f t="shared" si="337"/>
        <v>82.304186591731991</v>
      </c>
      <c r="N360" s="3" t="s">
        <v>324</v>
      </c>
      <c r="O360" s="3" t="s">
        <v>156</v>
      </c>
      <c r="P360" s="3" t="s">
        <v>156</v>
      </c>
      <c r="Q360" s="8" t="s">
        <v>326</v>
      </c>
      <c r="R360" s="3" t="s">
        <v>36</v>
      </c>
      <c r="S360" s="2">
        <f t="shared" si="330"/>
        <v>811369.98</v>
      </c>
      <c r="T360" s="2">
        <v>654299.19999999995</v>
      </c>
      <c r="U360" s="2">
        <v>157070.78</v>
      </c>
      <c r="V360" s="2">
        <f t="shared" si="331"/>
        <v>154732.24</v>
      </c>
      <c r="W360" s="2">
        <v>115464.55</v>
      </c>
      <c r="X360" s="2">
        <v>39267.69</v>
      </c>
      <c r="Y360" s="2">
        <f t="shared" si="336"/>
        <v>0</v>
      </c>
      <c r="Z360" s="2"/>
      <c r="AA360" s="2"/>
      <c r="AB360" s="2">
        <f t="shared" si="338"/>
        <v>19716.38</v>
      </c>
      <c r="AC360" s="2">
        <v>15709.48</v>
      </c>
      <c r="AD360" s="2">
        <v>4006.9</v>
      </c>
      <c r="AE360" s="2">
        <f t="shared" si="334"/>
        <v>985818.6</v>
      </c>
      <c r="AF360" s="2">
        <v>0</v>
      </c>
      <c r="AG360" s="2">
        <f t="shared" si="335"/>
        <v>985818.6</v>
      </c>
      <c r="AH360" s="29" t="s">
        <v>586</v>
      </c>
      <c r="AI360" s="30" t="s">
        <v>1496</v>
      </c>
      <c r="AJ360" s="31">
        <f>98500+28477.95+215174.75</f>
        <v>342152.7</v>
      </c>
      <c r="AK360" s="31">
        <f>23037.95+41034.92</f>
        <v>64072.869999999995</v>
      </c>
    </row>
    <row r="361" spans="1:37" ht="409.5" x14ac:dyDescent="0.25">
      <c r="A361" s="348" t="s">
        <v>1950</v>
      </c>
      <c r="B361" s="20">
        <v>112592</v>
      </c>
      <c r="C361" s="37">
        <v>144</v>
      </c>
      <c r="D361" s="20" t="s">
        <v>1073</v>
      </c>
      <c r="E361" s="24" t="s">
        <v>165</v>
      </c>
      <c r="F361" s="22" t="s">
        <v>322</v>
      </c>
      <c r="G361" s="224" t="s">
        <v>1011</v>
      </c>
      <c r="H361" s="33" t="s">
        <v>1012</v>
      </c>
      <c r="I361" s="24" t="s">
        <v>349</v>
      </c>
      <c r="J361" s="6" t="s">
        <v>1013</v>
      </c>
      <c r="K361" s="5">
        <v>43349</v>
      </c>
      <c r="L361" s="7">
        <v>43835</v>
      </c>
      <c r="M361" s="4">
        <f t="shared" si="337"/>
        <v>82.304195666897996</v>
      </c>
      <c r="N361" s="3" t="s">
        <v>324</v>
      </c>
      <c r="O361" s="3" t="s">
        <v>312</v>
      </c>
      <c r="P361" s="3" t="s">
        <v>312</v>
      </c>
      <c r="Q361" s="8" t="s">
        <v>326</v>
      </c>
      <c r="R361" s="9" t="s">
        <v>36</v>
      </c>
      <c r="S361" s="2">
        <f>T361+U361</f>
        <v>809057.98</v>
      </c>
      <c r="T361" s="2">
        <v>652434.75</v>
      </c>
      <c r="U361" s="2">
        <v>156623.23000000001</v>
      </c>
      <c r="V361" s="2">
        <f t="shared" si="331"/>
        <v>154291.24</v>
      </c>
      <c r="W361" s="2">
        <v>115135.49</v>
      </c>
      <c r="X361" s="2">
        <v>39155.75</v>
      </c>
      <c r="Y361" s="2">
        <f t="shared" si="336"/>
        <v>0</v>
      </c>
      <c r="Z361" s="2"/>
      <c r="AA361" s="2"/>
      <c r="AB361" s="2">
        <f t="shared" si="338"/>
        <v>19660.18</v>
      </c>
      <c r="AC361" s="2">
        <v>15664.68</v>
      </c>
      <c r="AD361" s="2">
        <v>3995.5</v>
      </c>
      <c r="AE361" s="2">
        <f t="shared" si="334"/>
        <v>983009.4</v>
      </c>
      <c r="AF361" s="2">
        <v>0</v>
      </c>
      <c r="AG361" s="2">
        <f t="shared" si="335"/>
        <v>983009.4</v>
      </c>
      <c r="AH361" s="105" t="s">
        <v>586</v>
      </c>
      <c r="AI361" s="30" t="s">
        <v>349</v>
      </c>
      <c r="AJ361" s="31">
        <f>98300-13757.23+85896.02+92995.51</f>
        <v>263434.3</v>
      </c>
      <c r="AK361" s="31">
        <f>13757.23+36481</f>
        <v>50238.229999999996</v>
      </c>
    </row>
    <row r="362" spans="1:37" ht="409.5" x14ac:dyDescent="0.25">
      <c r="A362" s="348" t="s">
        <v>1951</v>
      </c>
      <c r="B362" s="20">
        <v>111141</v>
      </c>
      <c r="C362" s="37">
        <v>312</v>
      </c>
      <c r="D362" s="20" t="s">
        <v>168</v>
      </c>
      <c r="E362" s="24" t="s">
        <v>165</v>
      </c>
      <c r="F362" s="22" t="s">
        <v>322</v>
      </c>
      <c r="G362" s="224" t="s">
        <v>1021</v>
      </c>
      <c r="H362" s="33" t="s">
        <v>1022</v>
      </c>
      <c r="I362" s="24" t="s">
        <v>1023</v>
      </c>
      <c r="J362" s="6" t="s">
        <v>1024</v>
      </c>
      <c r="K362" s="5">
        <v>43349</v>
      </c>
      <c r="L362" s="7">
        <v>43835</v>
      </c>
      <c r="M362" s="4">
        <f t="shared" si="337"/>
        <v>82.850667341734948</v>
      </c>
      <c r="N362" s="3" t="s">
        <v>324</v>
      </c>
      <c r="O362" s="3" t="s">
        <v>312</v>
      </c>
      <c r="P362" s="3" t="s">
        <v>312</v>
      </c>
      <c r="Q362" s="8" t="s">
        <v>326</v>
      </c>
      <c r="R362" s="9" t="s">
        <v>36</v>
      </c>
      <c r="S362" s="2">
        <f t="shared" si="330"/>
        <v>826770.14</v>
      </c>
      <c r="T362" s="2">
        <v>666718.05000000005</v>
      </c>
      <c r="U362" s="2">
        <v>160052.09</v>
      </c>
      <c r="V362" s="2">
        <f t="shared" si="331"/>
        <v>151175.81</v>
      </c>
      <c r="W362" s="2">
        <v>112482.44</v>
      </c>
      <c r="X362" s="2">
        <v>38693.370000000003</v>
      </c>
      <c r="Y362" s="2">
        <f t="shared" si="336"/>
        <v>0</v>
      </c>
      <c r="Z362" s="2"/>
      <c r="AA362" s="2"/>
      <c r="AB362" s="2">
        <f t="shared" si="338"/>
        <v>19958.07</v>
      </c>
      <c r="AC362" s="2">
        <v>15902.06</v>
      </c>
      <c r="AD362" s="2">
        <v>4056.01</v>
      </c>
      <c r="AE362" s="2">
        <f t="shared" si="334"/>
        <v>997904.0199999999</v>
      </c>
      <c r="AF362" s="2">
        <v>0</v>
      </c>
      <c r="AG362" s="2">
        <f t="shared" si="335"/>
        <v>997904.0199999999</v>
      </c>
      <c r="AH362" s="105" t="s">
        <v>586</v>
      </c>
      <c r="AI362" s="30"/>
      <c r="AJ362" s="31">
        <f>99790.4-11343.79+72694.94+14258.38+9077.47+175834.51-9712.84</f>
        <v>350599.07</v>
      </c>
      <c r="AK362" s="31">
        <f>11343.79+2719.14+19935.24+14501.99+9712.84</f>
        <v>58213</v>
      </c>
    </row>
    <row r="363" spans="1:37" ht="409.5" x14ac:dyDescent="0.25">
      <c r="A363" s="348" t="s">
        <v>1952</v>
      </c>
      <c r="B363" s="20">
        <v>110676</v>
      </c>
      <c r="C363" s="75">
        <v>129</v>
      </c>
      <c r="D363" s="20" t="s">
        <v>1073</v>
      </c>
      <c r="E363" s="24" t="s">
        <v>165</v>
      </c>
      <c r="F363" s="22" t="s">
        <v>322</v>
      </c>
      <c r="G363" s="33" t="s">
        <v>1025</v>
      </c>
      <c r="H363" s="33" t="s">
        <v>1026</v>
      </c>
      <c r="I363" s="24"/>
      <c r="J363" s="6" t="s">
        <v>1027</v>
      </c>
      <c r="K363" s="5">
        <v>43350</v>
      </c>
      <c r="L363" s="7">
        <v>43714</v>
      </c>
      <c r="M363" s="4">
        <f t="shared" si="337"/>
        <v>82.304181371109394</v>
      </c>
      <c r="N363" s="3" t="s">
        <v>324</v>
      </c>
      <c r="O363" s="3" t="s">
        <v>312</v>
      </c>
      <c r="P363" s="3" t="s">
        <v>312</v>
      </c>
      <c r="Q363" s="8" t="s">
        <v>326</v>
      </c>
      <c r="R363" s="9" t="s">
        <v>36</v>
      </c>
      <c r="S363" s="2">
        <f t="shared" si="330"/>
        <v>815129.60000000009</v>
      </c>
      <c r="T363" s="2">
        <v>657331.03</v>
      </c>
      <c r="U363" s="2">
        <v>157798.57</v>
      </c>
      <c r="V363" s="2">
        <f t="shared" si="331"/>
        <v>155449.32</v>
      </c>
      <c r="W363" s="2">
        <v>115999.63</v>
      </c>
      <c r="X363" s="2">
        <v>39449.69</v>
      </c>
      <c r="Y363" s="2">
        <f t="shared" si="336"/>
        <v>0</v>
      </c>
      <c r="Z363" s="2"/>
      <c r="AA363" s="2"/>
      <c r="AB363" s="2">
        <f t="shared" si="338"/>
        <v>19807.7</v>
      </c>
      <c r="AC363" s="2">
        <v>15782.23</v>
      </c>
      <c r="AD363" s="2">
        <v>4025.47</v>
      </c>
      <c r="AE363" s="2">
        <f t="shared" si="334"/>
        <v>990386.62000000011</v>
      </c>
      <c r="AF363" s="2">
        <v>0</v>
      </c>
      <c r="AG363" s="2">
        <f t="shared" si="335"/>
        <v>990386.62000000011</v>
      </c>
      <c r="AH363" s="105" t="s">
        <v>586</v>
      </c>
      <c r="AI363" s="30" t="s">
        <v>1259</v>
      </c>
      <c r="AJ363" s="31">
        <f>97000+74075.05+62367.67+44580.06+31686.87+94967.28+69711.79+88493.46</f>
        <v>562882.17999999993</v>
      </c>
      <c r="AK363" s="31">
        <f>14126.47+15038.55+8501.64+20997.93+13294.37+16876.14</f>
        <v>88835.099999999991</v>
      </c>
    </row>
    <row r="364" spans="1:37" ht="267.75" x14ac:dyDescent="0.25">
      <c r="A364" s="348" t="s">
        <v>1953</v>
      </c>
      <c r="B364" s="20">
        <v>111475</v>
      </c>
      <c r="C364" s="75">
        <v>168</v>
      </c>
      <c r="D364" s="20" t="s">
        <v>1073</v>
      </c>
      <c r="E364" s="24" t="s">
        <v>165</v>
      </c>
      <c r="F364" s="22" t="s">
        <v>322</v>
      </c>
      <c r="G364" s="224" t="s">
        <v>1036</v>
      </c>
      <c r="H364" s="33" t="s">
        <v>1037</v>
      </c>
      <c r="I364" s="24"/>
      <c r="J364" s="6" t="s">
        <v>1038</v>
      </c>
      <c r="K364" s="5">
        <v>43353</v>
      </c>
      <c r="L364" s="7">
        <v>43839</v>
      </c>
      <c r="M364" s="4">
        <f t="shared" si="337"/>
        <v>82.304180618407059</v>
      </c>
      <c r="N364" s="3" t="s">
        <v>324</v>
      </c>
      <c r="O364" s="3" t="s">
        <v>312</v>
      </c>
      <c r="P364" s="3" t="s">
        <v>312</v>
      </c>
      <c r="Q364" s="8" t="s">
        <v>326</v>
      </c>
      <c r="R364" s="9" t="s">
        <v>36</v>
      </c>
      <c r="S364" s="2">
        <f>T364+U364</f>
        <v>791535.7</v>
      </c>
      <c r="T364" s="2">
        <v>638304.56999999995</v>
      </c>
      <c r="U364" s="2">
        <v>153231.13</v>
      </c>
      <c r="V364" s="2">
        <f t="shared" si="331"/>
        <v>150949.82</v>
      </c>
      <c r="W364" s="2">
        <v>112642</v>
      </c>
      <c r="X364" s="2">
        <v>38307.82</v>
      </c>
      <c r="Y364" s="2">
        <f t="shared" si="336"/>
        <v>0</v>
      </c>
      <c r="Z364" s="2"/>
      <c r="AA364" s="2"/>
      <c r="AB364" s="2">
        <f t="shared" si="338"/>
        <v>19234.400000000001</v>
      </c>
      <c r="AC364" s="2">
        <v>15325.48</v>
      </c>
      <c r="AD364" s="2">
        <v>3908.92</v>
      </c>
      <c r="AE364" s="2">
        <f t="shared" si="334"/>
        <v>961719.92</v>
      </c>
      <c r="AF364" s="2">
        <v>0</v>
      </c>
      <c r="AG364" s="2">
        <f t="shared" si="335"/>
        <v>961719.92</v>
      </c>
      <c r="AH364" s="105" t="s">
        <v>586</v>
      </c>
      <c r="AI364" s="30"/>
      <c r="AJ364" s="31">
        <f>96171.99-8232+51398.18</f>
        <v>139338.17000000001</v>
      </c>
      <c r="AK364" s="31">
        <v>8232</v>
      </c>
    </row>
    <row r="365" spans="1:37" ht="255" x14ac:dyDescent="0.25">
      <c r="A365" s="348" t="s">
        <v>1954</v>
      </c>
      <c r="B365" s="78">
        <v>118813</v>
      </c>
      <c r="C365" s="260">
        <v>449</v>
      </c>
      <c r="D365" s="3" t="s">
        <v>168</v>
      </c>
      <c r="E365" s="24" t="s">
        <v>1082</v>
      </c>
      <c r="F365" s="84" t="s">
        <v>631</v>
      </c>
      <c r="G365" s="77" t="s">
        <v>1031</v>
      </c>
      <c r="H365" s="77" t="s">
        <v>1032</v>
      </c>
      <c r="I365" s="78" t="s">
        <v>1033</v>
      </c>
      <c r="J365" s="261" t="s">
        <v>1035</v>
      </c>
      <c r="K365" s="262">
        <v>43350</v>
      </c>
      <c r="L365" s="7">
        <v>43896</v>
      </c>
      <c r="M365" s="4">
        <f>S365/AE365*100</f>
        <v>83.983864104012326</v>
      </c>
      <c r="N365" s="3" t="s">
        <v>324</v>
      </c>
      <c r="O365" s="3" t="s">
        <v>312</v>
      </c>
      <c r="P365" s="3" t="s">
        <v>312</v>
      </c>
      <c r="Q365" s="8" t="s">
        <v>157</v>
      </c>
      <c r="R365" s="9" t="s">
        <v>36</v>
      </c>
      <c r="S365" s="2">
        <f>T365+U365</f>
        <v>4865899.0599999996</v>
      </c>
      <c r="T365" s="2">
        <v>3923923.61</v>
      </c>
      <c r="U365" s="2">
        <v>941975.45</v>
      </c>
      <c r="V365" s="2">
        <f t="shared" si="331"/>
        <v>0</v>
      </c>
      <c r="W365" s="2">
        <v>0</v>
      </c>
      <c r="X365" s="2">
        <v>0</v>
      </c>
      <c r="Y365" s="2">
        <f t="shared" si="336"/>
        <v>927950.87999999989</v>
      </c>
      <c r="Z365" s="2">
        <v>692457.08</v>
      </c>
      <c r="AA365" s="2">
        <v>235493.8</v>
      </c>
      <c r="AB365" s="2">
        <f t="shared" si="338"/>
        <v>0</v>
      </c>
      <c r="AC365" s="2"/>
      <c r="AD365" s="2"/>
      <c r="AE365" s="2">
        <f t="shared" si="334"/>
        <v>5793849.9399999995</v>
      </c>
      <c r="AF365" s="2">
        <v>0</v>
      </c>
      <c r="AG365" s="2">
        <f>AE365+AF365</f>
        <v>5793849.9399999995</v>
      </c>
      <c r="AH365" s="105" t="s">
        <v>586</v>
      </c>
      <c r="AI365" s="30" t="s">
        <v>1448</v>
      </c>
      <c r="AJ365" s="31">
        <v>15282.4</v>
      </c>
      <c r="AK365" s="31">
        <v>0</v>
      </c>
    </row>
    <row r="366" spans="1:37" ht="120" x14ac:dyDescent="0.25">
      <c r="A366" s="348" t="s">
        <v>1955</v>
      </c>
      <c r="B366" s="20">
        <v>110215</v>
      </c>
      <c r="C366" s="75">
        <v>139</v>
      </c>
      <c r="D366" s="20" t="s">
        <v>170</v>
      </c>
      <c r="E366" s="24" t="s">
        <v>165</v>
      </c>
      <c r="F366" s="22" t="s">
        <v>322</v>
      </c>
      <c r="G366" s="77" t="s">
        <v>1042</v>
      </c>
      <c r="H366" s="77" t="s">
        <v>1043</v>
      </c>
      <c r="I366" s="24" t="s">
        <v>349</v>
      </c>
      <c r="J366" s="6" t="s">
        <v>1044</v>
      </c>
      <c r="K366" s="5">
        <v>43357</v>
      </c>
      <c r="L366" s="7">
        <v>43722</v>
      </c>
      <c r="M366" s="4">
        <f t="shared" si="337"/>
        <v>82.304183894733001</v>
      </c>
      <c r="N366" s="3" t="s">
        <v>324</v>
      </c>
      <c r="O366" s="3" t="s">
        <v>1045</v>
      </c>
      <c r="P366" s="3" t="s">
        <v>1045</v>
      </c>
      <c r="Q366" s="8" t="s">
        <v>326</v>
      </c>
      <c r="R366" s="9" t="s">
        <v>36</v>
      </c>
      <c r="S366" s="2">
        <f t="shared" si="330"/>
        <v>799287.37</v>
      </c>
      <c r="T366" s="2">
        <v>644555.61</v>
      </c>
      <c r="U366" s="2">
        <v>154731.76</v>
      </c>
      <c r="V366" s="2">
        <f t="shared" si="331"/>
        <v>152428.06</v>
      </c>
      <c r="W366" s="2">
        <v>113745.12</v>
      </c>
      <c r="X366" s="2">
        <v>38682.94</v>
      </c>
      <c r="Y366" s="2">
        <f>Z366+AA366</f>
        <v>0</v>
      </c>
      <c r="Z366" s="2"/>
      <c r="AA366" s="2"/>
      <c r="AB366" s="2">
        <f>AC366+AD366</f>
        <v>19422.77</v>
      </c>
      <c r="AC366" s="2">
        <v>15475.55</v>
      </c>
      <c r="AD366" s="2">
        <v>3947.22</v>
      </c>
      <c r="AE366" s="2">
        <f t="shared" si="334"/>
        <v>971138.2</v>
      </c>
      <c r="AF366" s="2">
        <v>0</v>
      </c>
      <c r="AG366" s="2">
        <f t="shared" si="335"/>
        <v>971138.2</v>
      </c>
      <c r="AH366" s="105" t="s">
        <v>586</v>
      </c>
      <c r="AI366" s="30" t="s">
        <v>349</v>
      </c>
      <c r="AJ366" s="31">
        <f>97000-12225.11+76329.94+54447.72+71579.61+92674.11</f>
        <v>379806.27</v>
      </c>
      <c r="AK366" s="31">
        <f>12225.11+10383.44+13650.58+17673.4</f>
        <v>53932.530000000006</v>
      </c>
    </row>
    <row r="367" spans="1:37" ht="315" x14ac:dyDescent="0.25">
      <c r="A367" s="348" t="s">
        <v>1956</v>
      </c>
      <c r="B367" s="20">
        <v>112820</v>
      </c>
      <c r="C367" s="75">
        <v>158</v>
      </c>
      <c r="D367" s="20" t="s">
        <v>1073</v>
      </c>
      <c r="E367" s="24" t="s">
        <v>165</v>
      </c>
      <c r="F367" s="22" t="s">
        <v>322</v>
      </c>
      <c r="G367" s="77" t="s">
        <v>1046</v>
      </c>
      <c r="H367" s="77" t="s">
        <v>1047</v>
      </c>
      <c r="I367" s="24" t="s">
        <v>349</v>
      </c>
      <c r="J367" s="6" t="s">
        <v>1048</v>
      </c>
      <c r="K367" s="5">
        <v>43361</v>
      </c>
      <c r="L367" s="7">
        <v>43847</v>
      </c>
      <c r="M367" s="4">
        <f t="shared" si="337"/>
        <v>82.304187792803134</v>
      </c>
      <c r="N367" s="3" t="s">
        <v>324</v>
      </c>
      <c r="O367" s="3" t="s">
        <v>230</v>
      </c>
      <c r="P367" s="3" t="s">
        <v>1049</v>
      </c>
      <c r="Q367" s="8" t="s">
        <v>326</v>
      </c>
      <c r="R367" s="9" t="s">
        <v>36</v>
      </c>
      <c r="S367" s="2">
        <f t="shared" si="330"/>
        <v>812316.49</v>
      </c>
      <c r="T367" s="2">
        <v>655062.44999999995</v>
      </c>
      <c r="U367" s="2">
        <v>157254.04</v>
      </c>
      <c r="V367" s="2">
        <f t="shared" si="331"/>
        <v>154912.73000000001</v>
      </c>
      <c r="W367" s="2">
        <v>115599.25</v>
      </c>
      <c r="X367" s="2">
        <v>39313.480000000003</v>
      </c>
      <c r="Y367" s="2">
        <f t="shared" si="336"/>
        <v>0</v>
      </c>
      <c r="Z367" s="2"/>
      <c r="AA367" s="2"/>
      <c r="AB367" s="2">
        <f t="shared" si="338"/>
        <v>19739.38</v>
      </c>
      <c r="AC367" s="2">
        <v>15727.81</v>
      </c>
      <c r="AD367" s="2">
        <v>4011.57</v>
      </c>
      <c r="AE367" s="2">
        <f t="shared" si="334"/>
        <v>986968.6</v>
      </c>
      <c r="AF367" s="2"/>
      <c r="AG367" s="2">
        <f t="shared" si="335"/>
        <v>986968.6</v>
      </c>
      <c r="AH367" s="105" t="s">
        <v>586</v>
      </c>
      <c r="AI367" s="30"/>
      <c r="AJ367" s="31">
        <f>98696.6-13570.14+70361.48+98696.6+83943.32</f>
        <v>338127.86</v>
      </c>
      <c r="AK367" s="31">
        <f>13570.14+16082.18+1255.12+14753.28</f>
        <v>45660.72</v>
      </c>
    </row>
    <row r="368" spans="1:37" ht="362.25" x14ac:dyDescent="0.25">
      <c r="A368" s="348" t="s">
        <v>1957</v>
      </c>
      <c r="B368" s="20">
        <v>111916</v>
      </c>
      <c r="C368" s="75">
        <v>145</v>
      </c>
      <c r="D368" s="20" t="s">
        <v>1073</v>
      </c>
      <c r="E368" s="24" t="s">
        <v>165</v>
      </c>
      <c r="F368" s="22" t="s">
        <v>322</v>
      </c>
      <c r="G368" s="77" t="s">
        <v>1050</v>
      </c>
      <c r="H368" s="77" t="s">
        <v>1051</v>
      </c>
      <c r="I368" s="24" t="s">
        <v>349</v>
      </c>
      <c r="J368" s="6" t="s">
        <v>1052</v>
      </c>
      <c r="K368" s="5">
        <v>43361</v>
      </c>
      <c r="L368" s="7">
        <v>43847</v>
      </c>
      <c r="M368" s="4">
        <f t="shared" si="337"/>
        <v>82.304185955094169</v>
      </c>
      <c r="N368" s="3" t="s">
        <v>324</v>
      </c>
      <c r="O368" s="3" t="s">
        <v>943</v>
      </c>
      <c r="P368" s="3" t="s">
        <v>943</v>
      </c>
      <c r="Q368" s="8" t="s">
        <v>326</v>
      </c>
      <c r="R368" s="9" t="s">
        <v>36</v>
      </c>
      <c r="S368" s="2">
        <f t="shared" si="330"/>
        <v>810699.03</v>
      </c>
      <c r="T368" s="2">
        <v>653758.11</v>
      </c>
      <c r="U368" s="2">
        <v>156940.92000000001</v>
      </c>
      <c r="V368" s="2">
        <f t="shared" si="331"/>
        <v>154604.29</v>
      </c>
      <c r="W368" s="2">
        <v>115369.07</v>
      </c>
      <c r="X368" s="2">
        <v>39235.22</v>
      </c>
      <c r="Y368" s="2">
        <f t="shared" si="336"/>
        <v>0</v>
      </c>
      <c r="Z368" s="2"/>
      <c r="AA368" s="2"/>
      <c r="AB368" s="2">
        <f t="shared" si="338"/>
        <v>19700.080000000002</v>
      </c>
      <c r="AC368" s="2">
        <v>15696.51</v>
      </c>
      <c r="AD368" s="2">
        <v>4003.57</v>
      </c>
      <c r="AE368" s="2">
        <f t="shared" si="334"/>
        <v>985003.4</v>
      </c>
      <c r="AF368" s="2"/>
      <c r="AG368" s="2">
        <f t="shared" si="335"/>
        <v>985003.4</v>
      </c>
      <c r="AH368" s="105" t="s">
        <v>586</v>
      </c>
      <c r="AI368" s="30"/>
      <c r="AJ368" s="31">
        <f>98000+15936.3+98000+14229.11+98000</f>
        <v>324165.40999999997</v>
      </c>
      <c r="AK368" s="31">
        <f>21728.22+21402.65</f>
        <v>43130.87</v>
      </c>
    </row>
    <row r="369" spans="1:37" ht="220.5" x14ac:dyDescent="0.25">
      <c r="A369" s="348" t="s">
        <v>1958</v>
      </c>
      <c r="B369" s="20"/>
      <c r="C369" s="75">
        <v>392</v>
      </c>
      <c r="D369" s="20" t="s">
        <v>168</v>
      </c>
      <c r="E369" s="24" t="s">
        <v>165</v>
      </c>
      <c r="F369" s="22" t="s">
        <v>446</v>
      </c>
      <c r="G369" s="99" t="s">
        <v>1053</v>
      </c>
      <c r="H369" s="100" t="s">
        <v>1054</v>
      </c>
      <c r="I369" s="24" t="s">
        <v>1055</v>
      </c>
      <c r="J369" s="23" t="s">
        <v>1056</v>
      </c>
      <c r="K369" s="5">
        <v>43356</v>
      </c>
      <c r="L369" s="7">
        <v>44012</v>
      </c>
      <c r="M369" s="4">
        <f t="shared" si="337"/>
        <v>83.98386240618575</v>
      </c>
      <c r="N369" s="3" t="s">
        <v>324</v>
      </c>
      <c r="O369" s="3" t="s">
        <v>312</v>
      </c>
      <c r="P369" s="3" t="s">
        <v>312</v>
      </c>
      <c r="Q369" s="8" t="s">
        <v>157</v>
      </c>
      <c r="R369" s="3" t="s">
        <v>36</v>
      </c>
      <c r="S369" s="2">
        <f>T369+U369</f>
        <v>2443303.91</v>
      </c>
      <c r="T369" s="2">
        <v>1970311.71</v>
      </c>
      <c r="U369" s="2">
        <v>472992.2</v>
      </c>
      <c r="V369" s="2">
        <f t="shared" si="331"/>
        <v>0</v>
      </c>
      <c r="W369" s="2">
        <v>0</v>
      </c>
      <c r="X369" s="2">
        <v>0</v>
      </c>
      <c r="Y369" s="2">
        <f>Z369+AA369</f>
        <v>465950.13</v>
      </c>
      <c r="Z369" s="2">
        <v>347702.1</v>
      </c>
      <c r="AA369" s="2">
        <v>118248.03</v>
      </c>
      <c r="AB369" s="2">
        <f t="shared" si="338"/>
        <v>0</v>
      </c>
      <c r="AC369" s="2">
        <v>0</v>
      </c>
      <c r="AD369" s="2">
        <v>0</v>
      </c>
      <c r="AE369" s="2">
        <f t="shared" si="334"/>
        <v>2909254.04</v>
      </c>
      <c r="AF369" s="2"/>
      <c r="AG369" s="2">
        <f t="shared" si="335"/>
        <v>2909254.04</v>
      </c>
      <c r="AH369" s="105" t="s">
        <v>586</v>
      </c>
      <c r="AI369" s="30"/>
      <c r="AJ369" s="31">
        <f>23394.54+31870.76</f>
        <v>55265.3</v>
      </c>
      <c r="AK369" s="31">
        <v>0</v>
      </c>
    </row>
    <row r="370" spans="1:37" ht="141.75" x14ac:dyDescent="0.25">
      <c r="A370" s="348" t="s">
        <v>1959</v>
      </c>
      <c r="B370" s="20">
        <v>109770</v>
      </c>
      <c r="C370" s="75">
        <v>300</v>
      </c>
      <c r="D370" s="20" t="s">
        <v>1318</v>
      </c>
      <c r="E370" s="24" t="s">
        <v>165</v>
      </c>
      <c r="F370" s="22" t="s">
        <v>322</v>
      </c>
      <c r="G370" s="99" t="s">
        <v>1057</v>
      </c>
      <c r="H370" s="33" t="s">
        <v>1058</v>
      </c>
      <c r="I370" s="24" t="s">
        <v>349</v>
      </c>
      <c r="J370" s="6" t="s">
        <v>1059</v>
      </c>
      <c r="K370" s="5">
        <v>43362</v>
      </c>
      <c r="L370" s="7">
        <v>43848</v>
      </c>
      <c r="M370" s="4">
        <f t="shared" si="337"/>
        <v>82.304184197970017</v>
      </c>
      <c r="N370" s="3" t="s">
        <v>324</v>
      </c>
      <c r="O370" s="3" t="s">
        <v>312</v>
      </c>
      <c r="P370" s="3" t="s">
        <v>312</v>
      </c>
      <c r="Q370" s="8" t="s">
        <v>326</v>
      </c>
      <c r="R370" s="3" t="s">
        <v>36</v>
      </c>
      <c r="S370" s="2">
        <f t="shared" si="330"/>
        <v>786369.83000000007</v>
      </c>
      <c r="T370" s="2">
        <v>634138.80000000005</v>
      </c>
      <c r="U370" s="2">
        <v>152231.03</v>
      </c>
      <c r="V370" s="2">
        <f t="shared" si="331"/>
        <v>149964.62</v>
      </c>
      <c r="W370" s="2">
        <v>111906.86</v>
      </c>
      <c r="X370" s="2">
        <v>38057.760000000002</v>
      </c>
      <c r="Y370" s="2">
        <f t="shared" si="336"/>
        <v>0</v>
      </c>
      <c r="Z370" s="2"/>
      <c r="AA370" s="2"/>
      <c r="AB370" s="2">
        <f t="shared" si="338"/>
        <v>19108.870000000003</v>
      </c>
      <c r="AC370" s="2">
        <v>15225.37</v>
      </c>
      <c r="AD370" s="2">
        <v>3883.5</v>
      </c>
      <c r="AE370" s="2">
        <f t="shared" si="334"/>
        <v>955443.32000000007</v>
      </c>
      <c r="AF370" s="2"/>
      <c r="AG370" s="2">
        <f t="shared" si="335"/>
        <v>955443.32000000007</v>
      </c>
      <c r="AH370" s="105" t="s">
        <v>586</v>
      </c>
      <c r="AI370" s="30"/>
      <c r="AJ370" s="31">
        <f>95544.32-8902.54+79756.49+100684.35-11646.04+72714.4+13739.52</f>
        <v>341890.5</v>
      </c>
      <c r="AK370" s="31">
        <f>13512.19+19201.01+11646.04+10486.67</f>
        <v>54845.909999999996</v>
      </c>
    </row>
    <row r="371" spans="1:37" ht="141.75" x14ac:dyDescent="0.25">
      <c r="A371" s="348" t="s">
        <v>1960</v>
      </c>
      <c r="B371" s="20">
        <v>112155</v>
      </c>
      <c r="C371" s="75">
        <v>224</v>
      </c>
      <c r="D371" s="20" t="s">
        <v>172</v>
      </c>
      <c r="E371" s="24" t="s">
        <v>165</v>
      </c>
      <c r="F371" s="22" t="s">
        <v>322</v>
      </c>
      <c r="G371" s="99" t="s">
        <v>1060</v>
      </c>
      <c r="H371" s="33" t="s">
        <v>1061</v>
      </c>
      <c r="I371" s="24" t="s">
        <v>1062</v>
      </c>
      <c r="J371" s="6" t="s">
        <v>1063</v>
      </c>
      <c r="K371" s="5">
        <v>43362</v>
      </c>
      <c r="L371" s="7">
        <v>43848</v>
      </c>
      <c r="M371" s="4">
        <f t="shared" si="337"/>
        <v>82.838169366221436</v>
      </c>
      <c r="N371" s="3" t="s">
        <v>324</v>
      </c>
      <c r="O371" s="3" t="s">
        <v>943</v>
      </c>
      <c r="P371" s="3" t="s">
        <v>943</v>
      </c>
      <c r="Q371" s="8" t="s">
        <v>326</v>
      </c>
      <c r="R371" s="3" t="s">
        <v>36</v>
      </c>
      <c r="S371" s="2">
        <f t="shared" si="330"/>
        <v>821979.66999999993</v>
      </c>
      <c r="T371" s="2">
        <v>662854.99</v>
      </c>
      <c r="U371" s="2">
        <v>159124.68</v>
      </c>
      <c r="V371" s="2">
        <f t="shared" si="331"/>
        <v>150446.51999999999</v>
      </c>
      <c r="W371" s="2">
        <v>111947.54</v>
      </c>
      <c r="X371" s="2">
        <v>38498.980000000003</v>
      </c>
      <c r="Y371" s="2">
        <f t="shared" si="336"/>
        <v>6308.99</v>
      </c>
      <c r="Z371" s="2">
        <v>5026.83</v>
      </c>
      <c r="AA371" s="2">
        <v>1282.1600000000001</v>
      </c>
      <c r="AB371" s="2">
        <f t="shared" si="338"/>
        <v>13536.47</v>
      </c>
      <c r="AC371" s="2">
        <v>10785.47</v>
      </c>
      <c r="AD371" s="2">
        <v>2751</v>
      </c>
      <c r="AE371" s="2">
        <f t="shared" si="334"/>
        <v>992271.64999999991</v>
      </c>
      <c r="AF371" s="2"/>
      <c r="AG371" s="2">
        <f t="shared" si="335"/>
        <v>992271.64999999991</v>
      </c>
      <c r="AH371" s="105" t="s">
        <v>586</v>
      </c>
      <c r="AI371" s="30"/>
      <c r="AJ371" s="31">
        <f>99227.15-8607.73-3982.27</f>
        <v>86637.15</v>
      </c>
      <c r="AK371" s="31">
        <f>8607.73+3982.27</f>
        <v>12590</v>
      </c>
    </row>
    <row r="372" spans="1:37" ht="409.5" x14ac:dyDescent="0.25">
      <c r="A372" s="348" t="s">
        <v>1961</v>
      </c>
      <c r="B372" s="20">
        <v>111612</v>
      </c>
      <c r="C372" s="75">
        <v>153</v>
      </c>
      <c r="D372" s="20" t="s">
        <v>1073</v>
      </c>
      <c r="E372" s="24" t="s">
        <v>165</v>
      </c>
      <c r="F372" s="22" t="s">
        <v>322</v>
      </c>
      <c r="G372" s="33" t="s">
        <v>1068</v>
      </c>
      <c r="H372" s="33" t="s">
        <v>1069</v>
      </c>
      <c r="I372" s="24" t="s">
        <v>1070</v>
      </c>
      <c r="J372" s="6" t="s">
        <v>1071</v>
      </c>
      <c r="K372" s="5">
        <v>43371</v>
      </c>
      <c r="L372" s="7">
        <v>43796</v>
      </c>
      <c r="M372" s="4">
        <f>S372/AE372*100</f>
        <v>82.304183068176116</v>
      </c>
      <c r="N372" s="3" t="s">
        <v>324</v>
      </c>
      <c r="O372" s="3" t="s">
        <v>312</v>
      </c>
      <c r="P372" s="3" t="s">
        <v>312</v>
      </c>
      <c r="Q372" s="8" t="s">
        <v>326</v>
      </c>
      <c r="R372" s="3" t="s">
        <v>36</v>
      </c>
      <c r="S372" s="2">
        <f t="shared" ref="S372:S386" si="345">T372+U372</f>
        <v>719578.88</v>
      </c>
      <c r="T372" s="2">
        <v>580277.67000000004</v>
      </c>
      <c r="U372" s="2">
        <v>139301.21</v>
      </c>
      <c r="V372" s="2">
        <f t="shared" ref="V372:V386" si="346">W372+X372</f>
        <v>137227.27000000002</v>
      </c>
      <c r="W372" s="2">
        <v>102401.97</v>
      </c>
      <c r="X372" s="2">
        <v>34825.300000000003</v>
      </c>
      <c r="Y372" s="2">
        <f t="shared" ref="Y372:Y386" si="347">Z372+AA372</f>
        <v>0</v>
      </c>
      <c r="Z372" s="2">
        <v>0</v>
      </c>
      <c r="AA372" s="2">
        <v>0</v>
      </c>
      <c r="AB372" s="2">
        <f t="shared" ref="AB372:AB386" si="348">AC372+AD372</f>
        <v>17485.84</v>
      </c>
      <c r="AC372" s="2">
        <v>13932.24</v>
      </c>
      <c r="AD372" s="2">
        <v>3553.6</v>
      </c>
      <c r="AE372" s="2">
        <f t="shared" ref="AE372:AE386" si="349">S372+V372+Y372+AB372</f>
        <v>874291.99</v>
      </c>
      <c r="AF372" s="2"/>
      <c r="AG372" s="2">
        <f t="shared" ref="AG372:AG386" si="350">AE372+AF372</f>
        <v>874291.99</v>
      </c>
      <c r="AH372" s="105" t="s">
        <v>586</v>
      </c>
      <c r="AI372" s="30"/>
      <c r="AJ372" s="31">
        <f>87429.19-11092.62+65731.05+20127.08</f>
        <v>162194.70000000001</v>
      </c>
      <c r="AK372" s="31">
        <f>11092.62+3838.33</f>
        <v>14930.95</v>
      </c>
    </row>
    <row r="373" spans="1:37" ht="409.5" x14ac:dyDescent="0.25">
      <c r="A373" s="348" t="s">
        <v>1962</v>
      </c>
      <c r="B373" s="20">
        <v>110058</v>
      </c>
      <c r="C373" s="75">
        <v>302</v>
      </c>
      <c r="D373" s="20" t="s">
        <v>1073</v>
      </c>
      <c r="E373" s="24" t="s">
        <v>165</v>
      </c>
      <c r="F373" s="22" t="s">
        <v>322</v>
      </c>
      <c r="G373" s="99" t="s">
        <v>1074</v>
      </c>
      <c r="H373" s="33" t="s">
        <v>1075</v>
      </c>
      <c r="I373" s="24" t="s">
        <v>1076</v>
      </c>
      <c r="J373" s="25" t="s">
        <v>1077</v>
      </c>
      <c r="K373" s="5">
        <v>43370</v>
      </c>
      <c r="L373" s="7">
        <v>43857</v>
      </c>
      <c r="M373" s="4">
        <f>S373/AE373*100</f>
        <v>82.767157561916832</v>
      </c>
      <c r="N373" s="3" t="s">
        <v>324</v>
      </c>
      <c r="O373" s="3" t="s">
        <v>312</v>
      </c>
      <c r="P373" s="3" t="s">
        <v>312</v>
      </c>
      <c r="Q373" s="8" t="s">
        <v>326</v>
      </c>
      <c r="R373" s="3" t="s">
        <v>36</v>
      </c>
      <c r="S373" s="2">
        <f t="shared" si="345"/>
        <v>803873.75</v>
      </c>
      <c r="T373" s="2">
        <v>648254.14</v>
      </c>
      <c r="U373" s="2">
        <v>155619.60999999999</v>
      </c>
      <c r="V373" s="2">
        <f t="shared" si="346"/>
        <v>147948.57</v>
      </c>
      <c r="W373" s="2">
        <v>110131.78</v>
      </c>
      <c r="X373" s="2">
        <v>37816.79</v>
      </c>
      <c r="Y373" s="2">
        <f t="shared" si="347"/>
        <v>0</v>
      </c>
      <c r="Z373" s="2"/>
      <c r="AA373" s="2"/>
      <c r="AB373" s="2">
        <f t="shared" si="348"/>
        <v>19424.939999999999</v>
      </c>
      <c r="AC373" s="2">
        <v>15477.26</v>
      </c>
      <c r="AD373" s="2">
        <v>3947.68</v>
      </c>
      <c r="AE373" s="2">
        <f t="shared" si="349"/>
        <v>971247.26</v>
      </c>
      <c r="AF373" s="39"/>
      <c r="AG373" s="2">
        <f t="shared" si="350"/>
        <v>971247.26</v>
      </c>
      <c r="AH373" s="105" t="s">
        <v>586</v>
      </c>
      <c r="AI373" s="30"/>
      <c r="AJ373" s="31">
        <f>97124.72-2315.04+144614.75+20673.18</f>
        <v>260097.61</v>
      </c>
      <c r="AK373" s="31">
        <f>2315.04+24491.87+3942.46</f>
        <v>30749.37</v>
      </c>
    </row>
    <row r="374" spans="1:37" ht="409.5" x14ac:dyDescent="0.25">
      <c r="A374" s="348" t="s">
        <v>1963</v>
      </c>
      <c r="B374" s="20">
        <v>111482</v>
      </c>
      <c r="C374" s="75">
        <v>133</v>
      </c>
      <c r="D374" s="20" t="s">
        <v>1073</v>
      </c>
      <c r="E374" s="24" t="s">
        <v>165</v>
      </c>
      <c r="F374" s="22" t="s">
        <v>322</v>
      </c>
      <c r="G374" s="33" t="s">
        <v>1085</v>
      </c>
      <c r="H374" s="33" t="s">
        <v>1084</v>
      </c>
      <c r="I374" s="24" t="s">
        <v>1086</v>
      </c>
      <c r="J374" s="25" t="s">
        <v>1087</v>
      </c>
      <c r="K374" s="5">
        <v>43376</v>
      </c>
      <c r="L374" s="7">
        <v>43864</v>
      </c>
      <c r="M374" s="4">
        <f t="shared" ref="M374:M386" si="351">S374/AE374*100</f>
        <v>82.928005929547282</v>
      </c>
      <c r="N374" s="3" t="s">
        <v>324</v>
      </c>
      <c r="O374" s="3" t="s">
        <v>303</v>
      </c>
      <c r="P374" s="3" t="s">
        <v>1088</v>
      </c>
      <c r="Q374" s="8" t="s">
        <v>326</v>
      </c>
      <c r="R374" s="3" t="s">
        <v>36</v>
      </c>
      <c r="S374" s="2">
        <f t="shared" si="345"/>
        <v>795878.74</v>
      </c>
      <c r="T374" s="2">
        <v>641806.86</v>
      </c>
      <c r="U374" s="2">
        <v>154071.88</v>
      </c>
      <c r="V374" s="2">
        <f t="shared" si="346"/>
        <v>144649.33000000002</v>
      </c>
      <c r="W374" s="2">
        <v>107580.1</v>
      </c>
      <c r="X374" s="2">
        <v>37069.230000000003</v>
      </c>
      <c r="Y374" s="2">
        <f t="shared" si="347"/>
        <v>0</v>
      </c>
      <c r="Z374" s="2"/>
      <c r="AA374" s="2"/>
      <c r="AB374" s="2">
        <f t="shared" si="348"/>
        <v>19194.440000000002</v>
      </c>
      <c r="AC374" s="2">
        <v>15293.61</v>
      </c>
      <c r="AD374" s="2">
        <v>3900.83</v>
      </c>
      <c r="AE374" s="2">
        <f t="shared" si="349"/>
        <v>959722.51</v>
      </c>
      <c r="AF374" s="39"/>
      <c r="AG374" s="2">
        <f t="shared" si="350"/>
        <v>959722.51</v>
      </c>
      <c r="AH374" s="105" t="s">
        <v>871</v>
      </c>
      <c r="AI374" s="30"/>
      <c r="AJ374" s="31">
        <f>94052.8+22014.67+75007.09-1587.76+90621.42+42244.56</f>
        <v>322352.77999999997</v>
      </c>
      <c r="AK374" s="31">
        <f>7963.77+14304.23+1587.76+10820.01+19519.35</f>
        <v>54195.119999999995</v>
      </c>
    </row>
    <row r="375" spans="1:37" ht="330.75" x14ac:dyDescent="0.25">
      <c r="A375" s="348" t="s">
        <v>1964</v>
      </c>
      <c r="B375" s="20">
        <v>112266</v>
      </c>
      <c r="C375" s="75">
        <v>310</v>
      </c>
      <c r="D375" s="20" t="s">
        <v>168</v>
      </c>
      <c r="E375" s="24" t="s">
        <v>165</v>
      </c>
      <c r="F375" s="22" t="s">
        <v>322</v>
      </c>
      <c r="G375" s="33" t="s">
        <v>1089</v>
      </c>
      <c r="H375" s="33" t="s">
        <v>1090</v>
      </c>
      <c r="I375" s="24" t="s">
        <v>1091</v>
      </c>
      <c r="J375" s="25" t="s">
        <v>1092</v>
      </c>
      <c r="K375" s="5">
        <v>43376</v>
      </c>
      <c r="L375" s="7">
        <v>43801</v>
      </c>
      <c r="M375" s="4">
        <f t="shared" si="351"/>
        <v>83.010839519489394</v>
      </c>
      <c r="N375" s="3" t="s">
        <v>324</v>
      </c>
      <c r="O375" s="3" t="s">
        <v>312</v>
      </c>
      <c r="P375" s="3" t="s">
        <v>312</v>
      </c>
      <c r="Q375" s="8" t="s">
        <v>157</v>
      </c>
      <c r="R375" s="3" t="s">
        <v>36</v>
      </c>
      <c r="S375" s="2">
        <f t="shared" si="345"/>
        <v>830076.27</v>
      </c>
      <c r="T375" s="2">
        <v>669384.21</v>
      </c>
      <c r="U375" s="2">
        <v>160692.06</v>
      </c>
      <c r="V375" s="2">
        <f t="shared" si="346"/>
        <v>149885.79999999999</v>
      </c>
      <c r="W375" s="2">
        <v>111422.7</v>
      </c>
      <c r="X375" s="2">
        <v>38463.1</v>
      </c>
      <c r="Y375" s="2">
        <f t="shared" si="347"/>
        <v>0</v>
      </c>
      <c r="Z375" s="2"/>
      <c r="AA375" s="2"/>
      <c r="AB375" s="2">
        <f t="shared" si="348"/>
        <v>19999.23</v>
      </c>
      <c r="AC375" s="2">
        <v>15934.82</v>
      </c>
      <c r="AD375" s="2">
        <v>4064.41</v>
      </c>
      <c r="AE375" s="2">
        <f t="shared" si="349"/>
        <v>999961.3</v>
      </c>
      <c r="AF375" s="39"/>
      <c r="AG375" s="2">
        <f t="shared" si="350"/>
        <v>999961.3</v>
      </c>
      <c r="AH375" s="105" t="s">
        <v>871</v>
      </c>
      <c r="AI375" s="30"/>
      <c r="AJ375" s="31">
        <f>99996.13-6665.57+73099.14-794.96+84527.06+94015.05</f>
        <v>344176.85000000003</v>
      </c>
      <c r="AK375" s="31">
        <f>11707.76+14823.26+16781.91</f>
        <v>43312.93</v>
      </c>
    </row>
    <row r="376" spans="1:37" ht="252" x14ac:dyDescent="0.25">
      <c r="A376" s="348" t="s">
        <v>1965</v>
      </c>
      <c r="B376" s="20">
        <v>118704</v>
      </c>
      <c r="C376" s="75">
        <v>434</v>
      </c>
      <c r="D376" s="20" t="s">
        <v>172</v>
      </c>
      <c r="E376" s="24" t="s">
        <v>1082</v>
      </c>
      <c r="F376" s="84" t="s">
        <v>631</v>
      </c>
      <c r="G376" s="99" t="s">
        <v>1093</v>
      </c>
      <c r="H376" s="33" t="s">
        <v>1094</v>
      </c>
      <c r="I376" s="24" t="s">
        <v>353</v>
      </c>
      <c r="J376" s="25" t="s">
        <v>1095</v>
      </c>
      <c r="K376" s="5">
        <v>43389</v>
      </c>
      <c r="L376" s="7">
        <v>43846</v>
      </c>
      <c r="M376" s="4">
        <f t="shared" si="351"/>
        <v>83.983864465105967</v>
      </c>
      <c r="N376" s="3" t="s">
        <v>324</v>
      </c>
      <c r="O376" s="3" t="s">
        <v>312</v>
      </c>
      <c r="P376" s="3" t="s">
        <v>312</v>
      </c>
      <c r="Q376" s="8" t="s">
        <v>157</v>
      </c>
      <c r="R376" s="9" t="s">
        <v>36</v>
      </c>
      <c r="S376" s="2">
        <f t="shared" si="345"/>
        <v>1448623.93</v>
      </c>
      <c r="T376" s="2">
        <v>1168188.98</v>
      </c>
      <c r="U376" s="2">
        <v>280434.95</v>
      </c>
      <c r="V376" s="2">
        <f t="shared" si="346"/>
        <v>0</v>
      </c>
      <c r="W376" s="2">
        <v>0</v>
      </c>
      <c r="X376" s="2">
        <v>0</v>
      </c>
      <c r="Y376" s="2">
        <f>Z376+AA376</f>
        <v>0</v>
      </c>
      <c r="Z376" s="2">
        <v>0</v>
      </c>
      <c r="AA376" s="2">
        <v>0</v>
      </c>
      <c r="AB376" s="2">
        <f>AC376+AD376</f>
        <v>276259.7</v>
      </c>
      <c r="AC376" s="2">
        <v>206150.96</v>
      </c>
      <c r="AD376" s="2">
        <v>70108.740000000005</v>
      </c>
      <c r="AE376" s="2">
        <f t="shared" si="349"/>
        <v>1724883.63</v>
      </c>
      <c r="AF376" s="39">
        <v>458944.63</v>
      </c>
      <c r="AG376" s="2">
        <f t="shared" si="350"/>
        <v>2183828.2599999998</v>
      </c>
      <c r="AH376" s="105" t="s">
        <v>871</v>
      </c>
      <c r="AI376" s="30" t="s">
        <v>1290</v>
      </c>
      <c r="AJ376" s="31">
        <v>88271.18</v>
      </c>
      <c r="AK376" s="31">
        <v>0</v>
      </c>
    </row>
    <row r="377" spans="1:37" ht="409.5" x14ac:dyDescent="0.25">
      <c r="A377" s="348" t="s">
        <v>1966</v>
      </c>
      <c r="B377" s="20">
        <v>111265</v>
      </c>
      <c r="C377" s="75">
        <v>156</v>
      </c>
      <c r="D377" s="20" t="s">
        <v>1073</v>
      </c>
      <c r="E377" s="24" t="s">
        <v>165</v>
      </c>
      <c r="F377" s="22" t="s">
        <v>322</v>
      </c>
      <c r="G377" s="99" t="s">
        <v>1100</v>
      </c>
      <c r="H377" s="33" t="s">
        <v>1128</v>
      </c>
      <c r="I377" s="24" t="s">
        <v>1101</v>
      </c>
      <c r="J377" s="25" t="s">
        <v>1102</v>
      </c>
      <c r="K377" s="5">
        <v>43390</v>
      </c>
      <c r="L377" s="7">
        <v>43877</v>
      </c>
      <c r="M377" s="4">
        <f t="shared" si="351"/>
        <v>82.30418508577705</v>
      </c>
      <c r="N377" s="3" t="s">
        <v>324</v>
      </c>
      <c r="O377" s="3" t="s">
        <v>270</v>
      </c>
      <c r="P377" s="3" t="s">
        <v>270</v>
      </c>
      <c r="Q377" s="8" t="s">
        <v>326</v>
      </c>
      <c r="R377" s="3" t="s">
        <v>36</v>
      </c>
      <c r="S377" s="2">
        <f t="shared" si="345"/>
        <v>800497.5</v>
      </c>
      <c r="T377" s="2">
        <v>645531.51</v>
      </c>
      <c r="U377" s="2">
        <v>154965.99</v>
      </c>
      <c r="V377" s="2">
        <f t="shared" si="346"/>
        <v>152658.83000000002</v>
      </c>
      <c r="W377" s="2">
        <v>113917.32</v>
      </c>
      <c r="X377" s="2">
        <v>38741.51</v>
      </c>
      <c r="Y377" s="2">
        <f t="shared" si="347"/>
        <v>0</v>
      </c>
      <c r="Z377" s="2"/>
      <c r="AA377" s="2"/>
      <c r="AB377" s="2">
        <f t="shared" si="348"/>
        <v>19452.170000000002</v>
      </c>
      <c r="AC377" s="2">
        <v>15498.95</v>
      </c>
      <c r="AD377" s="2">
        <v>3953.22</v>
      </c>
      <c r="AE377" s="2">
        <f t="shared" si="349"/>
        <v>972608.50000000012</v>
      </c>
      <c r="AF377" s="39"/>
      <c r="AG377" s="2">
        <f t="shared" si="350"/>
        <v>972608.50000000012</v>
      </c>
      <c r="AH377" s="105" t="s">
        <v>871</v>
      </c>
      <c r="AI377" s="30"/>
      <c r="AJ377" s="31">
        <f>65068.03-7463.91+95685.5-844.43</f>
        <v>152445.19</v>
      </c>
      <c r="AK377" s="31">
        <f>10985.39+18086.66</f>
        <v>29072.05</v>
      </c>
    </row>
    <row r="378" spans="1:37" ht="220.5" x14ac:dyDescent="0.25">
      <c r="A378" s="348" t="s">
        <v>1967</v>
      </c>
      <c r="B378" s="20">
        <v>112719</v>
      </c>
      <c r="C378" s="75">
        <v>287</v>
      </c>
      <c r="D378" s="20" t="s">
        <v>1318</v>
      </c>
      <c r="E378" s="24" t="s">
        <v>165</v>
      </c>
      <c r="F378" s="22" t="s">
        <v>322</v>
      </c>
      <c r="G378" s="263" t="s">
        <v>1112</v>
      </c>
      <c r="H378" s="33" t="s">
        <v>1113</v>
      </c>
      <c r="I378" s="24" t="s">
        <v>1114</v>
      </c>
      <c r="J378" s="25" t="s">
        <v>1115</v>
      </c>
      <c r="K378" s="5">
        <v>43399</v>
      </c>
      <c r="L378" s="7">
        <v>43886</v>
      </c>
      <c r="M378" s="4">
        <f t="shared" si="351"/>
        <v>82.304184463081299</v>
      </c>
      <c r="N378" s="3" t="s">
        <v>324</v>
      </c>
      <c r="O378" s="3" t="s">
        <v>156</v>
      </c>
      <c r="P378" s="3" t="s">
        <v>156</v>
      </c>
      <c r="Q378" s="8" t="s">
        <v>326</v>
      </c>
      <c r="R378" s="3" t="s">
        <v>36</v>
      </c>
      <c r="S378" s="2">
        <f t="shared" si="345"/>
        <v>780735</v>
      </c>
      <c r="T378" s="2">
        <v>629594.75</v>
      </c>
      <c r="U378" s="2">
        <v>151140.25</v>
      </c>
      <c r="V378" s="2">
        <f t="shared" si="346"/>
        <v>148890.03999999998</v>
      </c>
      <c r="W378" s="2">
        <v>111105.01</v>
      </c>
      <c r="X378" s="2">
        <v>37785.03</v>
      </c>
      <c r="Y378" s="2">
        <f>Z378+AA378</f>
        <v>0</v>
      </c>
      <c r="Z378" s="2"/>
      <c r="AA378" s="2"/>
      <c r="AB378" s="2">
        <f>AC378+AD378</f>
        <v>18971.93</v>
      </c>
      <c r="AC378" s="2">
        <v>15116.28</v>
      </c>
      <c r="AD378" s="2">
        <v>3855.65</v>
      </c>
      <c r="AE378" s="2">
        <f t="shared" si="349"/>
        <v>948596.97000000009</v>
      </c>
      <c r="AF378" s="39"/>
      <c r="AG378" s="2">
        <f t="shared" si="350"/>
        <v>948596.97000000009</v>
      </c>
      <c r="AH378" s="105" t="s">
        <v>871</v>
      </c>
      <c r="AI378" s="30"/>
      <c r="AJ378" s="31">
        <f>60847.25+46274.32+74884.92+83101.32+62784.42</f>
        <v>327892.23</v>
      </c>
      <c r="AK378" s="31">
        <f>12128.97+6500.12+15847.83+9982.54</f>
        <v>44459.46</v>
      </c>
    </row>
    <row r="379" spans="1:37" ht="409.5" x14ac:dyDescent="0.25">
      <c r="A379" s="348" t="s">
        <v>1968</v>
      </c>
      <c r="B379" s="20">
        <v>112591</v>
      </c>
      <c r="C379" s="75">
        <v>205</v>
      </c>
      <c r="D379" s="20" t="s">
        <v>172</v>
      </c>
      <c r="E379" s="24" t="s">
        <v>165</v>
      </c>
      <c r="F379" s="22" t="s">
        <v>322</v>
      </c>
      <c r="G379" s="263" t="s">
        <v>1116</v>
      </c>
      <c r="H379" s="33" t="s">
        <v>1117</v>
      </c>
      <c r="I379" s="24" t="s">
        <v>1119</v>
      </c>
      <c r="J379" s="25" t="s">
        <v>1118</v>
      </c>
      <c r="K379" s="5">
        <v>43404</v>
      </c>
      <c r="L379" s="7">
        <v>43890</v>
      </c>
      <c r="M379" s="4">
        <f t="shared" si="351"/>
        <v>82.304184436387899</v>
      </c>
      <c r="N379" s="3" t="s">
        <v>324</v>
      </c>
      <c r="O379" s="3" t="s">
        <v>312</v>
      </c>
      <c r="P379" s="3" t="s">
        <v>312</v>
      </c>
      <c r="Q379" s="8" t="s">
        <v>326</v>
      </c>
      <c r="R379" s="3" t="s">
        <v>36</v>
      </c>
      <c r="S379" s="2">
        <f t="shared" si="345"/>
        <v>767059.32000000007</v>
      </c>
      <c r="T379" s="2">
        <v>618566.51</v>
      </c>
      <c r="U379" s="2">
        <v>148492.81</v>
      </c>
      <c r="V379" s="2">
        <f t="shared" si="346"/>
        <v>146282.01</v>
      </c>
      <c r="W379" s="2">
        <v>109158.81</v>
      </c>
      <c r="X379" s="2">
        <v>37123.199999999997</v>
      </c>
      <c r="Y379" s="2">
        <f t="shared" si="347"/>
        <v>0</v>
      </c>
      <c r="Z379" s="2"/>
      <c r="AA379" s="2"/>
      <c r="AB379" s="2">
        <f t="shared" si="348"/>
        <v>18639.620000000003</v>
      </c>
      <c r="AC379" s="2">
        <v>14851.54</v>
      </c>
      <c r="AD379" s="2">
        <v>3788.08</v>
      </c>
      <c r="AE379" s="2">
        <f t="shared" si="349"/>
        <v>931980.95000000007</v>
      </c>
      <c r="AF379" s="39"/>
      <c r="AG379" s="2">
        <f t="shared" si="350"/>
        <v>931980.95000000007</v>
      </c>
      <c r="AH379" s="105" t="s">
        <v>871</v>
      </c>
      <c r="AI379" s="30" t="s">
        <v>1382</v>
      </c>
      <c r="AJ379" s="31">
        <f>91333+58281.04</f>
        <v>149614.04</v>
      </c>
      <c r="AK379" s="31">
        <v>11290.14</v>
      </c>
    </row>
    <row r="380" spans="1:37" ht="409.5" x14ac:dyDescent="0.25">
      <c r="A380" s="348" t="s">
        <v>1969</v>
      </c>
      <c r="B380" s="20">
        <v>109897</v>
      </c>
      <c r="C380" s="75">
        <v>159</v>
      </c>
      <c r="D380" s="20" t="s">
        <v>1073</v>
      </c>
      <c r="E380" s="24" t="s">
        <v>165</v>
      </c>
      <c r="F380" s="22" t="s">
        <v>322</v>
      </c>
      <c r="G380" s="76" t="s">
        <v>1126</v>
      </c>
      <c r="H380" s="33" t="s">
        <v>1127</v>
      </c>
      <c r="I380" s="24" t="s">
        <v>349</v>
      </c>
      <c r="J380" s="116" t="s">
        <v>1183</v>
      </c>
      <c r="K380" s="5">
        <v>43418</v>
      </c>
      <c r="L380" s="5">
        <v>43903</v>
      </c>
      <c r="M380" s="4">
        <f t="shared" si="351"/>
        <v>82.304184553403289</v>
      </c>
      <c r="N380" s="3" t="s">
        <v>324</v>
      </c>
      <c r="O380" s="3" t="s">
        <v>312</v>
      </c>
      <c r="P380" s="3" t="s">
        <v>156</v>
      </c>
      <c r="Q380" s="8" t="s">
        <v>326</v>
      </c>
      <c r="R380" s="3" t="s">
        <v>36</v>
      </c>
      <c r="S380" s="2">
        <f t="shared" si="345"/>
        <v>763718.79999999993</v>
      </c>
      <c r="T380" s="2">
        <v>615872.68999999994</v>
      </c>
      <c r="U380" s="2">
        <v>147846.10999999999</v>
      </c>
      <c r="V380" s="2">
        <f t="shared" si="346"/>
        <v>145644.95000000001</v>
      </c>
      <c r="W380" s="2">
        <v>108683.4</v>
      </c>
      <c r="X380" s="2">
        <v>36961.550000000003</v>
      </c>
      <c r="Y380" s="2">
        <f t="shared" si="347"/>
        <v>0</v>
      </c>
      <c r="Z380" s="2"/>
      <c r="AA380" s="2"/>
      <c r="AB380" s="2">
        <f t="shared" si="348"/>
        <v>18558.45</v>
      </c>
      <c r="AC380" s="2">
        <v>14786.86</v>
      </c>
      <c r="AD380" s="2">
        <v>3771.59</v>
      </c>
      <c r="AE380" s="2">
        <f t="shared" si="349"/>
        <v>927922.2</v>
      </c>
      <c r="AF380" s="39"/>
      <c r="AG380" s="2">
        <f t="shared" si="350"/>
        <v>927922.2</v>
      </c>
      <c r="AH380" s="105" t="s">
        <v>871</v>
      </c>
      <c r="AI380" s="30"/>
      <c r="AJ380" s="31">
        <f>92792.22-7961.38+49708.54</f>
        <v>134539.38</v>
      </c>
      <c r="AK380" s="31">
        <v>7961.38</v>
      </c>
    </row>
    <row r="381" spans="1:37" ht="189" x14ac:dyDescent="0.25">
      <c r="A381" s="348" t="s">
        <v>1970</v>
      </c>
      <c r="B381" s="20">
        <v>127778</v>
      </c>
      <c r="C381" s="75">
        <v>580</v>
      </c>
      <c r="D381" s="20" t="s">
        <v>171</v>
      </c>
      <c r="E381" s="24" t="s">
        <v>165</v>
      </c>
      <c r="F381" s="22" t="s">
        <v>1260</v>
      </c>
      <c r="G381" s="76" t="s">
        <v>1180</v>
      </c>
      <c r="H381" s="33" t="s">
        <v>1181</v>
      </c>
      <c r="I381" s="24" t="s">
        <v>349</v>
      </c>
      <c r="J381" s="116" t="s">
        <v>1182</v>
      </c>
      <c r="K381" s="5">
        <v>43447</v>
      </c>
      <c r="L381" s="5">
        <v>44543</v>
      </c>
      <c r="M381" s="4">
        <f t="shared" si="351"/>
        <v>83.983863103096297</v>
      </c>
      <c r="N381" s="3" t="s">
        <v>324</v>
      </c>
      <c r="O381" s="3" t="s">
        <v>312</v>
      </c>
      <c r="P381" s="3" t="s">
        <v>312</v>
      </c>
      <c r="Q381" s="8" t="s">
        <v>157</v>
      </c>
      <c r="R381" s="3" t="s">
        <v>36</v>
      </c>
      <c r="S381" s="2">
        <f t="shared" si="345"/>
        <v>10837735.809999999</v>
      </c>
      <c r="T381" s="2">
        <v>8739689.6799999997</v>
      </c>
      <c r="U381" s="2">
        <v>2098046.13</v>
      </c>
      <c r="V381" s="2">
        <f t="shared" si="346"/>
        <v>0</v>
      </c>
      <c r="W381" s="2">
        <v>0</v>
      </c>
      <c r="X381" s="2">
        <v>0</v>
      </c>
      <c r="Y381" s="2">
        <f t="shared" si="347"/>
        <v>2066809.67</v>
      </c>
      <c r="Z381" s="2">
        <v>1542298.16</v>
      </c>
      <c r="AA381" s="2">
        <v>524511.51</v>
      </c>
      <c r="AB381" s="2">
        <f t="shared" si="348"/>
        <v>0</v>
      </c>
      <c r="AC381" s="2">
        <v>0</v>
      </c>
      <c r="AD381" s="2">
        <v>0</v>
      </c>
      <c r="AE381" s="2">
        <f t="shared" si="349"/>
        <v>12904545.479999999</v>
      </c>
      <c r="AF381" s="39">
        <v>0</v>
      </c>
      <c r="AG381" s="2">
        <f t="shared" si="350"/>
        <v>12904545.479999999</v>
      </c>
      <c r="AH381" s="105" t="s">
        <v>871</v>
      </c>
      <c r="AI381" s="30" t="s">
        <v>349</v>
      </c>
      <c r="AJ381" s="31">
        <v>4232165.5</v>
      </c>
      <c r="AK381" s="31">
        <v>0</v>
      </c>
    </row>
    <row r="382" spans="1:37" ht="299.25" x14ac:dyDescent="0.25">
      <c r="A382" s="348" t="s">
        <v>1971</v>
      </c>
      <c r="B382" s="20">
        <v>127575</v>
      </c>
      <c r="C382" s="75">
        <v>604</v>
      </c>
      <c r="D382" s="20" t="s">
        <v>163</v>
      </c>
      <c r="E382" s="24" t="s">
        <v>165</v>
      </c>
      <c r="F382" s="22" t="s">
        <v>1260</v>
      </c>
      <c r="G382" s="76" t="s">
        <v>1196</v>
      </c>
      <c r="H382" s="33" t="s">
        <v>1197</v>
      </c>
      <c r="I382" s="24" t="s">
        <v>349</v>
      </c>
      <c r="J382" s="116" t="s">
        <v>1200</v>
      </c>
      <c r="K382" s="5">
        <v>43448</v>
      </c>
      <c r="L382" s="5">
        <v>44179</v>
      </c>
      <c r="M382" s="4">
        <f t="shared" si="351"/>
        <v>83.983862830635374</v>
      </c>
      <c r="N382" s="3" t="s">
        <v>324</v>
      </c>
      <c r="O382" s="3" t="s">
        <v>312</v>
      </c>
      <c r="P382" s="3" t="s">
        <v>312</v>
      </c>
      <c r="Q382" s="8" t="s">
        <v>157</v>
      </c>
      <c r="R382" s="3" t="s">
        <v>36</v>
      </c>
      <c r="S382" s="2">
        <f t="shared" si="345"/>
        <v>71134346.120000005</v>
      </c>
      <c r="T382" s="2">
        <v>57363652.549999997</v>
      </c>
      <c r="U382" s="2">
        <v>13770693.57</v>
      </c>
      <c r="V382" s="2">
        <f t="shared" si="346"/>
        <v>0</v>
      </c>
      <c r="W382" s="2">
        <v>0</v>
      </c>
      <c r="X382" s="2">
        <v>0</v>
      </c>
      <c r="Y382" s="2">
        <f t="shared" si="347"/>
        <v>13565670.91</v>
      </c>
      <c r="Z382" s="2">
        <v>10122997.52</v>
      </c>
      <c r="AA382" s="2">
        <v>3442673.39</v>
      </c>
      <c r="AB382" s="2">
        <f t="shared" si="348"/>
        <v>0</v>
      </c>
      <c r="AC382" s="2">
        <v>0</v>
      </c>
      <c r="AD382" s="2">
        <v>0</v>
      </c>
      <c r="AE382" s="2">
        <f t="shared" si="349"/>
        <v>84700017.030000001</v>
      </c>
      <c r="AF382" s="39">
        <v>0</v>
      </c>
      <c r="AG382" s="2">
        <f t="shared" si="350"/>
        <v>84700017.030000001</v>
      </c>
      <c r="AH382" s="105" t="s">
        <v>871</v>
      </c>
      <c r="AI382" s="30"/>
      <c r="AJ382" s="31">
        <v>64794622.270000003</v>
      </c>
      <c r="AK382" s="31">
        <v>0</v>
      </c>
    </row>
    <row r="383" spans="1:37" ht="173.25" x14ac:dyDescent="0.25">
      <c r="A383" s="348" t="s">
        <v>1972</v>
      </c>
      <c r="B383" s="20">
        <v>116834</v>
      </c>
      <c r="C383" s="75">
        <v>397</v>
      </c>
      <c r="D383" s="20" t="s">
        <v>172</v>
      </c>
      <c r="E383" s="24" t="s">
        <v>165</v>
      </c>
      <c r="F383" s="22" t="s">
        <v>446</v>
      </c>
      <c r="G383" s="76" t="s">
        <v>1218</v>
      </c>
      <c r="H383" s="33" t="s">
        <v>124</v>
      </c>
      <c r="I383" s="24" t="s">
        <v>1219</v>
      </c>
      <c r="J383" s="82" t="s">
        <v>1220</v>
      </c>
      <c r="K383" s="5">
        <v>43462</v>
      </c>
      <c r="L383" s="5">
        <v>44255</v>
      </c>
      <c r="M383" s="4">
        <f t="shared" si="351"/>
        <v>83.410873102181938</v>
      </c>
      <c r="N383" s="3" t="s">
        <v>324</v>
      </c>
      <c r="O383" s="3" t="s">
        <v>312</v>
      </c>
      <c r="P383" s="3" t="s">
        <v>312</v>
      </c>
      <c r="Q383" s="8" t="s">
        <v>157</v>
      </c>
      <c r="R383" s="3" t="s">
        <v>36</v>
      </c>
      <c r="S383" s="2">
        <f t="shared" si="345"/>
        <v>3404514.47</v>
      </c>
      <c r="T383" s="2">
        <v>2745444.31</v>
      </c>
      <c r="U383" s="2">
        <v>659070.16</v>
      </c>
      <c r="V383" s="2">
        <f t="shared" si="346"/>
        <v>218543.18</v>
      </c>
      <c r="W383" s="2">
        <v>163081.66</v>
      </c>
      <c r="X383" s="2">
        <v>55461.51999999999</v>
      </c>
      <c r="Y383" s="2">
        <f t="shared" si="347"/>
        <v>458561.86</v>
      </c>
      <c r="Z383" s="2">
        <v>343596.49</v>
      </c>
      <c r="AA383" s="2">
        <v>114965.37</v>
      </c>
      <c r="AB383" s="2">
        <f t="shared" si="348"/>
        <v>0</v>
      </c>
      <c r="AC383" s="2">
        <v>0</v>
      </c>
      <c r="AD383" s="2">
        <v>0</v>
      </c>
      <c r="AE383" s="2">
        <f t="shared" si="349"/>
        <v>4081619.5100000002</v>
      </c>
      <c r="AF383" s="39">
        <v>0</v>
      </c>
      <c r="AG383" s="2">
        <f t="shared" si="350"/>
        <v>4081619.5100000002</v>
      </c>
      <c r="AH383" s="105" t="s">
        <v>871</v>
      </c>
      <c r="AI383" s="30"/>
      <c r="AJ383" s="31">
        <v>138999</v>
      </c>
      <c r="AK383" s="31">
        <v>0</v>
      </c>
    </row>
    <row r="384" spans="1:37" ht="315" x14ac:dyDescent="0.25">
      <c r="A384" s="348" t="s">
        <v>1973</v>
      </c>
      <c r="B384" s="20">
        <v>116793</v>
      </c>
      <c r="C384" s="75">
        <v>398</v>
      </c>
      <c r="D384" s="20" t="s">
        <v>172</v>
      </c>
      <c r="E384" s="24" t="s">
        <v>165</v>
      </c>
      <c r="F384" s="22" t="s">
        <v>446</v>
      </c>
      <c r="G384" s="76" t="s">
        <v>1221</v>
      </c>
      <c r="H384" s="33" t="s">
        <v>124</v>
      </c>
      <c r="I384" s="21" t="s">
        <v>1223</v>
      </c>
      <c r="J384" s="82" t="s">
        <v>1222</v>
      </c>
      <c r="K384" s="5">
        <v>43462</v>
      </c>
      <c r="L384" s="5">
        <v>44193</v>
      </c>
      <c r="M384" s="4">
        <f t="shared" si="351"/>
        <v>83.535949333333335</v>
      </c>
      <c r="N384" s="3" t="s">
        <v>324</v>
      </c>
      <c r="O384" s="3" t="s">
        <v>312</v>
      </c>
      <c r="P384" s="3" t="s">
        <v>312</v>
      </c>
      <c r="Q384" s="8" t="s">
        <v>157</v>
      </c>
      <c r="R384" s="3" t="s">
        <v>36</v>
      </c>
      <c r="S384" s="2">
        <f t="shared" si="345"/>
        <v>2506078.48</v>
      </c>
      <c r="T384" s="2">
        <v>2020933.92</v>
      </c>
      <c r="U384" s="2">
        <v>485144.56</v>
      </c>
      <c r="V384" s="2">
        <f t="shared" si="346"/>
        <v>219474.64</v>
      </c>
      <c r="W384" s="2">
        <v>163099.38</v>
      </c>
      <c r="X384" s="2">
        <v>56375.26</v>
      </c>
      <c r="Y384" s="2">
        <f t="shared" si="347"/>
        <v>274446.88</v>
      </c>
      <c r="Z384" s="2">
        <v>206284.41</v>
      </c>
      <c r="AA384" s="2">
        <v>68162.47</v>
      </c>
      <c r="AB384" s="2">
        <f t="shared" si="348"/>
        <v>0</v>
      </c>
      <c r="AC384" s="2">
        <v>0</v>
      </c>
      <c r="AD384" s="2">
        <v>0</v>
      </c>
      <c r="AE384" s="2">
        <f t="shared" si="349"/>
        <v>3000000</v>
      </c>
      <c r="AF384" s="39"/>
      <c r="AG384" s="2">
        <f t="shared" si="350"/>
        <v>3000000</v>
      </c>
      <c r="AH384" s="105" t="s">
        <v>871</v>
      </c>
      <c r="AI384" s="30" t="s">
        <v>1579</v>
      </c>
      <c r="AJ384" s="31">
        <f>147000-67000</f>
        <v>80000</v>
      </c>
      <c r="AK384" s="31">
        <v>0</v>
      </c>
    </row>
    <row r="385" spans="1:37" ht="409.5" x14ac:dyDescent="0.25">
      <c r="A385" s="348" t="s">
        <v>1974</v>
      </c>
      <c r="B385" s="20">
        <v>116103</v>
      </c>
      <c r="C385" s="75">
        <v>393</v>
      </c>
      <c r="D385" s="20" t="s">
        <v>173</v>
      </c>
      <c r="E385" s="24" t="s">
        <v>165</v>
      </c>
      <c r="F385" s="22" t="s">
        <v>446</v>
      </c>
      <c r="G385" s="76" t="s">
        <v>1226</v>
      </c>
      <c r="H385" s="33" t="s">
        <v>1227</v>
      </c>
      <c r="I385" s="21" t="s">
        <v>1228</v>
      </c>
      <c r="J385" s="25" t="s">
        <v>1229</v>
      </c>
      <c r="K385" s="5">
        <v>43818</v>
      </c>
      <c r="L385" s="5">
        <v>44246</v>
      </c>
      <c r="M385" s="4">
        <f t="shared" si="351"/>
        <v>83.983862913229757</v>
      </c>
      <c r="N385" s="3" t="s">
        <v>324</v>
      </c>
      <c r="O385" s="3" t="s">
        <v>312</v>
      </c>
      <c r="P385" s="3" t="s">
        <v>312</v>
      </c>
      <c r="Q385" s="8" t="s">
        <v>157</v>
      </c>
      <c r="R385" s="3" t="s">
        <v>36</v>
      </c>
      <c r="S385" s="2">
        <f t="shared" si="345"/>
        <v>6662642.3300000001</v>
      </c>
      <c r="T385" s="2">
        <v>5372840.5599999996</v>
      </c>
      <c r="U385" s="2">
        <v>1289801.77</v>
      </c>
      <c r="V385" s="2">
        <f t="shared" si="346"/>
        <v>545363.38</v>
      </c>
      <c r="W385" s="2">
        <v>403028.12</v>
      </c>
      <c r="X385" s="2">
        <v>142335.26</v>
      </c>
      <c r="Y385" s="2">
        <f t="shared" si="347"/>
        <v>725235.3899999999</v>
      </c>
      <c r="Z385" s="2">
        <v>545120.19999999995</v>
      </c>
      <c r="AA385" s="2">
        <v>180115.19</v>
      </c>
      <c r="AB385" s="2">
        <f t="shared" si="348"/>
        <v>0</v>
      </c>
      <c r="AC385" s="2">
        <v>0</v>
      </c>
      <c r="AD385" s="2">
        <v>0</v>
      </c>
      <c r="AE385" s="2">
        <f t="shared" si="349"/>
        <v>7933241.0999999996</v>
      </c>
      <c r="AF385" s="39">
        <v>0</v>
      </c>
      <c r="AG385" s="2">
        <f t="shared" si="350"/>
        <v>7933241.0999999996</v>
      </c>
      <c r="AH385" s="105" t="s">
        <v>871</v>
      </c>
      <c r="AI385" s="30"/>
      <c r="AJ385" s="31">
        <v>389096.78</v>
      </c>
      <c r="AK385" s="31">
        <v>0</v>
      </c>
    </row>
    <row r="386" spans="1:37" ht="141.75" x14ac:dyDescent="0.25">
      <c r="A386" s="348" t="s">
        <v>1975</v>
      </c>
      <c r="B386" s="20">
        <v>127534</v>
      </c>
      <c r="C386" s="37">
        <v>619</v>
      </c>
      <c r="D386" s="20" t="s">
        <v>647</v>
      </c>
      <c r="E386" s="24" t="s">
        <v>165</v>
      </c>
      <c r="F386" s="22" t="s">
        <v>1260</v>
      </c>
      <c r="G386" s="76" t="s">
        <v>1237</v>
      </c>
      <c r="H386" s="33" t="s">
        <v>1238</v>
      </c>
      <c r="I386" s="24" t="s">
        <v>422</v>
      </c>
      <c r="J386" s="25" t="s">
        <v>1239</v>
      </c>
      <c r="K386" s="5">
        <v>43490</v>
      </c>
      <c r="L386" s="5">
        <v>44372</v>
      </c>
      <c r="M386" s="4">
        <f t="shared" si="351"/>
        <v>83.983862775890657</v>
      </c>
      <c r="N386" s="3" t="s">
        <v>324</v>
      </c>
      <c r="O386" s="3" t="s">
        <v>312</v>
      </c>
      <c r="P386" s="3" t="s">
        <v>312</v>
      </c>
      <c r="Q386" s="8" t="s">
        <v>157</v>
      </c>
      <c r="R386" s="3" t="s">
        <v>36</v>
      </c>
      <c r="S386" s="2">
        <f t="shared" si="345"/>
        <v>8137225.3799999999</v>
      </c>
      <c r="T386" s="2">
        <v>6561963.3499999996</v>
      </c>
      <c r="U386" s="2">
        <v>1575262.03</v>
      </c>
      <c r="V386" s="2">
        <f t="shared" si="346"/>
        <v>0</v>
      </c>
      <c r="W386" s="2">
        <v>0</v>
      </c>
      <c r="X386" s="2">
        <v>0</v>
      </c>
      <c r="Y386" s="2">
        <f t="shared" si="347"/>
        <v>1551809.05</v>
      </c>
      <c r="Z386" s="2">
        <v>1157993.49</v>
      </c>
      <c r="AA386" s="2">
        <v>393815.56</v>
      </c>
      <c r="AB386" s="2">
        <f t="shared" si="348"/>
        <v>0</v>
      </c>
      <c r="AC386" s="2">
        <v>0</v>
      </c>
      <c r="AD386" s="2">
        <v>0</v>
      </c>
      <c r="AE386" s="2">
        <f t="shared" si="349"/>
        <v>9689034.4299999997</v>
      </c>
      <c r="AF386" s="39">
        <v>0</v>
      </c>
      <c r="AG386" s="2">
        <f t="shared" si="350"/>
        <v>9689034.4299999997</v>
      </c>
      <c r="AH386" s="105" t="s">
        <v>871</v>
      </c>
      <c r="AI386" s="30"/>
      <c r="AJ386" s="31">
        <v>0</v>
      </c>
      <c r="AK386" s="31">
        <v>0</v>
      </c>
    </row>
    <row r="387" spans="1:37" ht="299.25" x14ac:dyDescent="0.25">
      <c r="A387" s="348" t="s">
        <v>1976</v>
      </c>
      <c r="B387" s="20">
        <v>111384</v>
      </c>
      <c r="C387" s="37">
        <v>166</v>
      </c>
      <c r="D387" s="20" t="s">
        <v>1073</v>
      </c>
      <c r="E387" s="24" t="s">
        <v>165</v>
      </c>
      <c r="F387" s="84" t="s">
        <v>322</v>
      </c>
      <c r="G387" s="76" t="s">
        <v>1248</v>
      </c>
      <c r="H387" s="33" t="s">
        <v>1249</v>
      </c>
      <c r="I387" s="24" t="s">
        <v>422</v>
      </c>
      <c r="J387" s="25" t="s">
        <v>1250</v>
      </c>
      <c r="K387" s="5">
        <v>43497</v>
      </c>
      <c r="L387" s="5">
        <v>43922</v>
      </c>
      <c r="M387" s="4">
        <v>82.304190610000006</v>
      </c>
      <c r="N387" s="3" t="s">
        <v>324</v>
      </c>
      <c r="O387" s="3" t="s">
        <v>226</v>
      </c>
      <c r="P387" s="3" t="s">
        <v>226</v>
      </c>
      <c r="Q387" s="8" t="s">
        <v>326</v>
      </c>
      <c r="R387" s="3" t="s">
        <v>36</v>
      </c>
      <c r="S387" s="2">
        <f>T387+U387</f>
        <v>765704.55999999994</v>
      </c>
      <c r="T387" s="2">
        <v>617473.98</v>
      </c>
      <c r="U387" s="2">
        <v>148230.57999999999</v>
      </c>
      <c r="V387" s="2">
        <f>W387+X387</f>
        <v>146023.57999999999</v>
      </c>
      <c r="W387" s="2">
        <v>108965.98</v>
      </c>
      <c r="X387" s="2">
        <v>37057.599999999999</v>
      </c>
      <c r="Y387" s="2">
        <v>0</v>
      </c>
      <c r="Z387" s="2"/>
      <c r="AA387" s="2"/>
      <c r="AB387" s="2">
        <f>AC387+AD387</f>
        <v>18606.7</v>
      </c>
      <c r="AC387" s="2">
        <v>14825.33</v>
      </c>
      <c r="AD387" s="2">
        <v>3781.37</v>
      </c>
      <c r="AE387" s="2">
        <f>S387+V387+Y387+AB387</f>
        <v>930334.83999999985</v>
      </c>
      <c r="AF387" s="39"/>
      <c r="AG387" s="2">
        <f>AE387+AF387</f>
        <v>930334.83999999985</v>
      </c>
      <c r="AH387" s="105" t="s">
        <v>871</v>
      </c>
      <c r="AI387" s="30"/>
      <c r="AJ387" s="31">
        <v>93033</v>
      </c>
      <c r="AK387" s="31">
        <v>0</v>
      </c>
    </row>
    <row r="388" spans="1:37" ht="220.5" x14ac:dyDescent="0.25">
      <c r="A388" s="348" t="s">
        <v>1977</v>
      </c>
      <c r="B388" s="20">
        <v>118765</v>
      </c>
      <c r="C388" s="75">
        <v>454</v>
      </c>
      <c r="D388" s="20" t="s">
        <v>171</v>
      </c>
      <c r="E388" s="24" t="s">
        <v>1041</v>
      </c>
      <c r="F388" s="22" t="s">
        <v>506</v>
      </c>
      <c r="G388" s="76" t="s">
        <v>1000</v>
      </c>
      <c r="H388" s="33" t="s">
        <v>1001</v>
      </c>
      <c r="I388" s="24" t="s">
        <v>1258</v>
      </c>
      <c r="J388" s="51" t="s">
        <v>1002</v>
      </c>
      <c r="K388" s="262">
        <v>43348</v>
      </c>
      <c r="L388" s="7">
        <v>44079</v>
      </c>
      <c r="M388" s="4">
        <f t="shared" ref="M388:M391" si="352">S388/AE388*100</f>
        <v>83.983862746396113</v>
      </c>
      <c r="N388" s="77" t="s">
        <v>155</v>
      </c>
      <c r="O388" s="3" t="s">
        <v>312</v>
      </c>
      <c r="P388" s="3" t="s">
        <v>156</v>
      </c>
      <c r="Q388" s="78" t="s">
        <v>157</v>
      </c>
      <c r="R388" s="77" t="s">
        <v>36</v>
      </c>
      <c r="S388" s="2">
        <f>T388+U388</f>
        <v>24915549.670000002</v>
      </c>
      <c r="T388" s="2">
        <v>20092220.07</v>
      </c>
      <c r="U388" s="2">
        <v>4823329.5999999996</v>
      </c>
      <c r="V388" s="2">
        <f>W388+X388</f>
        <v>0</v>
      </c>
      <c r="W388" s="2"/>
      <c r="X388" s="2"/>
      <c r="Y388" s="2">
        <f>Z388+AA388</f>
        <v>4751518.33</v>
      </c>
      <c r="Z388" s="2">
        <v>3545685.88</v>
      </c>
      <c r="AA388" s="2">
        <v>1205832.45</v>
      </c>
      <c r="AB388" s="2">
        <f>AC388+AD388</f>
        <v>0</v>
      </c>
      <c r="AC388" s="2">
        <v>0</v>
      </c>
      <c r="AD388" s="2">
        <v>0</v>
      </c>
      <c r="AE388" s="2">
        <f>S388+V388+Y388+AB388</f>
        <v>29667068</v>
      </c>
      <c r="AF388" s="2"/>
      <c r="AG388" s="2">
        <f>AE388+AF388</f>
        <v>29667068</v>
      </c>
      <c r="AH388" s="105" t="s">
        <v>586</v>
      </c>
      <c r="AI388" s="198" t="s">
        <v>1363</v>
      </c>
      <c r="AJ388" s="31">
        <f>120031.42+149365.14+291186.94</f>
        <v>560583.5</v>
      </c>
      <c r="AK388" s="31">
        <v>0</v>
      </c>
    </row>
    <row r="389" spans="1:37" ht="204.75" x14ac:dyDescent="0.25">
      <c r="A389" s="348" t="s">
        <v>1978</v>
      </c>
      <c r="B389" s="20">
        <v>127403</v>
      </c>
      <c r="C389" s="75">
        <v>579</v>
      </c>
      <c r="D389" s="20" t="s">
        <v>171</v>
      </c>
      <c r="E389" s="24" t="s">
        <v>165</v>
      </c>
      <c r="F389" s="22" t="s">
        <v>1260</v>
      </c>
      <c r="G389" s="76" t="s">
        <v>1261</v>
      </c>
      <c r="H389" s="33" t="s">
        <v>1262</v>
      </c>
      <c r="I389" s="24" t="s">
        <v>422</v>
      </c>
      <c r="J389" s="25" t="s">
        <v>1263</v>
      </c>
      <c r="K389" s="5">
        <v>43514</v>
      </c>
      <c r="L389" s="5">
        <v>44245</v>
      </c>
      <c r="M389" s="4">
        <f t="shared" si="352"/>
        <v>83.983863067164137</v>
      </c>
      <c r="N389" s="77" t="s">
        <v>155</v>
      </c>
      <c r="O389" s="3" t="s">
        <v>312</v>
      </c>
      <c r="P389" s="3" t="s">
        <v>312</v>
      </c>
      <c r="Q389" s="78" t="s">
        <v>157</v>
      </c>
      <c r="R389" s="77" t="s">
        <v>36</v>
      </c>
      <c r="S389" s="2">
        <f>T389+U389</f>
        <v>5070433.51</v>
      </c>
      <c r="T389" s="2">
        <v>4088862.86</v>
      </c>
      <c r="U389" s="2">
        <v>981570.65</v>
      </c>
      <c r="V389" s="2">
        <f>W389+X389</f>
        <v>0</v>
      </c>
      <c r="W389" s="2">
        <v>0</v>
      </c>
      <c r="X389" s="2">
        <v>0</v>
      </c>
      <c r="Y389" s="2">
        <f>Z389+AA389</f>
        <v>966956.68</v>
      </c>
      <c r="Z389" s="2">
        <v>721564.03</v>
      </c>
      <c r="AA389" s="2">
        <v>245392.65</v>
      </c>
      <c r="AB389" s="2">
        <f>AC389+AD389</f>
        <v>0</v>
      </c>
      <c r="AC389" s="2">
        <v>0</v>
      </c>
      <c r="AD389" s="2">
        <v>0</v>
      </c>
      <c r="AE389" s="2">
        <f>S389+V389+Y389+AB389</f>
        <v>6037390.1899999995</v>
      </c>
      <c r="AF389" s="39">
        <v>0</v>
      </c>
      <c r="AG389" s="2">
        <f>AE389+AF389</f>
        <v>6037390.1899999995</v>
      </c>
      <c r="AH389" s="105" t="s">
        <v>871</v>
      </c>
      <c r="AI389" s="30" t="s">
        <v>422</v>
      </c>
      <c r="AJ389" s="31"/>
      <c r="AK389" s="31"/>
    </row>
    <row r="390" spans="1:37" ht="157.5" x14ac:dyDescent="0.25">
      <c r="A390" s="348" t="s">
        <v>1979</v>
      </c>
      <c r="B390" s="20">
        <v>127820</v>
      </c>
      <c r="C390" s="37">
        <v>605</v>
      </c>
      <c r="D390" s="20" t="s">
        <v>163</v>
      </c>
      <c r="E390" s="24" t="s">
        <v>165</v>
      </c>
      <c r="F390" s="22" t="s">
        <v>1260</v>
      </c>
      <c r="G390" s="76" t="s">
        <v>1287</v>
      </c>
      <c r="H390" s="33" t="s">
        <v>51</v>
      </c>
      <c r="I390" s="24" t="s">
        <v>185</v>
      </c>
      <c r="J390" s="25" t="s">
        <v>1288</v>
      </c>
      <c r="K390" s="5">
        <v>43528</v>
      </c>
      <c r="L390" s="5">
        <v>44808</v>
      </c>
      <c r="M390" s="4">
        <f t="shared" si="352"/>
        <v>83.983862642815609</v>
      </c>
      <c r="N390" s="77" t="s">
        <v>155</v>
      </c>
      <c r="O390" s="3" t="s">
        <v>312</v>
      </c>
      <c r="P390" s="3" t="s">
        <v>312</v>
      </c>
      <c r="Q390" s="78" t="s">
        <v>157</v>
      </c>
      <c r="R390" s="77" t="s">
        <v>36</v>
      </c>
      <c r="S390" s="2">
        <f t="shared" ref="S390:S391" si="353">T390+U390</f>
        <v>8804544.8300000001</v>
      </c>
      <c r="T390" s="2">
        <v>7100098.3100000005</v>
      </c>
      <c r="U390" s="2">
        <v>1704446.52</v>
      </c>
      <c r="V390" s="2">
        <f t="shared" ref="V390:V391" si="354">W390+X390</f>
        <v>0</v>
      </c>
      <c r="W390" s="2"/>
      <c r="X390" s="2"/>
      <c r="Y390" s="2">
        <f t="shared" ref="Y390:Y391" si="355">Z390+AA390</f>
        <v>1679070.1800000002</v>
      </c>
      <c r="Z390" s="2">
        <v>1252958.54</v>
      </c>
      <c r="AA390" s="2">
        <v>426111.64</v>
      </c>
      <c r="AB390" s="2">
        <f t="shared" ref="AB390:AB391" si="356">AC390+AD390</f>
        <v>0</v>
      </c>
      <c r="AC390" s="2"/>
      <c r="AD390" s="2"/>
      <c r="AE390" s="2">
        <f t="shared" ref="AE390:AE391" si="357">S390+V390+Y390+AB390</f>
        <v>10483615.01</v>
      </c>
      <c r="AF390" s="39">
        <v>0</v>
      </c>
      <c r="AG390" s="2">
        <f t="shared" ref="AG390:AG391" si="358">AE390+AF390</f>
        <v>10483615.01</v>
      </c>
      <c r="AH390" s="105" t="s">
        <v>871</v>
      </c>
      <c r="AI390" s="30" t="s">
        <v>1352</v>
      </c>
      <c r="AJ390" s="31"/>
      <c r="AK390" s="31"/>
    </row>
    <row r="391" spans="1:37" ht="204.75" x14ac:dyDescent="0.25">
      <c r="A391" s="348" t="s">
        <v>1980</v>
      </c>
      <c r="B391" s="20">
        <v>127148</v>
      </c>
      <c r="C391" s="75">
        <v>576</v>
      </c>
      <c r="D391" s="20" t="s">
        <v>175</v>
      </c>
      <c r="E391" s="24" t="s">
        <v>1321</v>
      </c>
      <c r="F391" s="21" t="s">
        <v>1320</v>
      </c>
      <c r="G391" s="76" t="s">
        <v>1322</v>
      </c>
      <c r="H391" s="33" t="s">
        <v>124</v>
      </c>
      <c r="I391" s="24" t="s">
        <v>1323</v>
      </c>
      <c r="J391" s="25" t="s">
        <v>1324</v>
      </c>
      <c r="K391" s="5">
        <v>43552</v>
      </c>
      <c r="L391" s="5">
        <v>44102</v>
      </c>
      <c r="M391" s="4">
        <f t="shared" si="352"/>
        <v>83.791410330251352</v>
      </c>
      <c r="N391" s="77" t="s">
        <v>155</v>
      </c>
      <c r="O391" s="3" t="s">
        <v>312</v>
      </c>
      <c r="P391" s="3" t="s">
        <v>312</v>
      </c>
      <c r="Q391" s="78" t="s">
        <v>157</v>
      </c>
      <c r="R391" s="3" t="s">
        <v>36</v>
      </c>
      <c r="S391" s="2">
        <f t="shared" si="353"/>
        <v>4099805.0300000003</v>
      </c>
      <c r="T391" s="2">
        <v>3306135.56</v>
      </c>
      <c r="U391" s="2">
        <v>793669.47</v>
      </c>
      <c r="V391" s="2">
        <f t="shared" si="354"/>
        <v>87992.28</v>
      </c>
      <c r="W391" s="2">
        <v>65661.759999999995</v>
      </c>
      <c r="X391" s="2">
        <v>22330.52</v>
      </c>
      <c r="Y391" s="2">
        <f t="shared" si="355"/>
        <v>705072.99</v>
      </c>
      <c r="Z391" s="2">
        <v>526707.51</v>
      </c>
      <c r="AA391" s="2">
        <v>178365.48</v>
      </c>
      <c r="AB391" s="2">
        <f t="shared" si="356"/>
        <v>0</v>
      </c>
      <c r="AC391" s="2"/>
      <c r="AD391" s="2"/>
      <c r="AE391" s="2">
        <f t="shared" si="357"/>
        <v>4892870.3</v>
      </c>
      <c r="AF391" s="39"/>
      <c r="AG391" s="2">
        <f t="shared" si="358"/>
        <v>4892870.3</v>
      </c>
      <c r="AH391" s="105" t="s">
        <v>871</v>
      </c>
      <c r="AI391" s="30" t="s">
        <v>422</v>
      </c>
      <c r="AJ391" s="31">
        <v>56061</v>
      </c>
      <c r="AK391" s="31">
        <v>0</v>
      </c>
    </row>
    <row r="392" spans="1:37" ht="409.5" x14ac:dyDescent="0.25">
      <c r="A392" s="348" t="s">
        <v>1981</v>
      </c>
      <c r="B392" s="20">
        <v>129157</v>
      </c>
      <c r="C392" s="75">
        <v>653</v>
      </c>
      <c r="D392" s="20" t="s">
        <v>174</v>
      </c>
      <c r="E392" s="24" t="s">
        <v>165</v>
      </c>
      <c r="F392" s="21" t="s">
        <v>1392</v>
      </c>
      <c r="G392" s="76" t="s">
        <v>1395</v>
      </c>
      <c r="H392" s="33" t="s">
        <v>1394</v>
      </c>
      <c r="I392" s="24" t="s">
        <v>1396</v>
      </c>
      <c r="J392" s="25" t="s">
        <v>1393</v>
      </c>
      <c r="K392" s="5">
        <v>43595</v>
      </c>
      <c r="L392" s="5">
        <v>43961</v>
      </c>
      <c r="M392" s="4">
        <f t="shared" ref="M392" si="359">S392/AE392*100</f>
        <v>83.983862366599269</v>
      </c>
      <c r="N392" s="77" t="s">
        <v>155</v>
      </c>
      <c r="O392" s="3" t="s">
        <v>312</v>
      </c>
      <c r="P392" s="3" t="s">
        <v>312</v>
      </c>
      <c r="Q392" s="78" t="s">
        <v>157</v>
      </c>
      <c r="R392" s="3" t="s">
        <v>36</v>
      </c>
      <c r="S392" s="2">
        <f t="shared" ref="S392:S395" si="360">T392+U392</f>
        <v>5246671.9399999995</v>
      </c>
      <c r="T392" s="2">
        <v>4230983.8099999996</v>
      </c>
      <c r="U392" s="2">
        <v>1015688.13</v>
      </c>
      <c r="V392" s="2">
        <f t="shared" ref="V392" si="361">W392+X392</f>
        <v>397060.75</v>
      </c>
      <c r="W392" s="2">
        <v>293431.23</v>
      </c>
      <c r="X392" s="2">
        <v>103629.52</v>
      </c>
      <c r="Y392" s="2">
        <f t="shared" ref="Y392:Y395" si="362">Z392+AA392</f>
        <v>603505.52</v>
      </c>
      <c r="Z392" s="2">
        <v>453212.99</v>
      </c>
      <c r="AA392" s="2">
        <v>150292.53</v>
      </c>
      <c r="AB392" s="2">
        <f t="shared" ref="AB392:AB393" si="363">AC392+AD392</f>
        <v>0</v>
      </c>
      <c r="AC392" s="2"/>
      <c r="AD392" s="2"/>
      <c r="AE392" s="2">
        <f t="shared" ref="AE392:AE395" si="364">S392+V392+Y392+AB392</f>
        <v>6247238.209999999</v>
      </c>
      <c r="AF392" s="39">
        <v>0</v>
      </c>
      <c r="AG392" s="2">
        <f t="shared" ref="AG392:AG395" si="365">AE392+AF392</f>
        <v>6247238.209999999</v>
      </c>
      <c r="AH392" s="105" t="s">
        <v>871</v>
      </c>
      <c r="AI392" s="30" t="s">
        <v>422</v>
      </c>
      <c r="AJ392" s="31"/>
      <c r="AK392" s="31"/>
    </row>
    <row r="393" spans="1:37" ht="236.25" x14ac:dyDescent="0.25">
      <c r="A393" s="348" t="s">
        <v>1982</v>
      </c>
      <c r="B393" s="20">
        <v>127557</v>
      </c>
      <c r="C393" s="75">
        <v>592</v>
      </c>
      <c r="D393" s="20" t="s">
        <v>177</v>
      </c>
      <c r="E393" s="24" t="s">
        <v>165</v>
      </c>
      <c r="F393" s="22" t="s">
        <v>1260</v>
      </c>
      <c r="G393" s="76" t="s">
        <v>1403</v>
      </c>
      <c r="H393" s="33" t="s">
        <v>1402</v>
      </c>
      <c r="I393" s="24" t="s">
        <v>1404</v>
      </c>
      <c r="J393" s="25" t="s">
        <v>1422</v>
      </c>
      <c r="K393" s="5">
        <v>43601</v>
      </c>
      <c r="L393" s="5">
        <v>44697</v>
      </c>
      <c r="M393" s="4">
        <f t="shared" ref="M393:M395" si="366">S393/AE393*100</f>
        <v>83.983862979972571</v>
      </c>
      <c r="N393" s="77" t="s">
        <v>155</v>
      </c>
      <c r="O393" s="3" t="s">
        <v>312</v>
      </c>
      <c r="P393" s="3" t="s">
        <v>312</v>
      </c>
      <c r="Q393" s="78" t="s">
        <v>157</v>
      </c>
      <c r="R393" s="3" t="s">
        <v>36</v>
      </c>
      <c r="S393" s="2">
        <f t="shared" si="360"/>
        <v>21869408.25</v>
      </c>
      <c r="T393" s="2">
        <v>17635772.390000001</v>
      </c>
      <c r="U393" s="2">
        <v>4233635.8600000003</v>
      </c>
      <c r="V393" s="2">
        <f t="shared" ref="V393:V402" si="367">W393+X393</f>
        <v>2835302.4000000004</v>
      </c>
      <c r="W393" s="2">
        <v>2095312.34</v>
      </c>
      <c r="X393" s="2">
        <v>739990.06</v>
      </c>
      <c r="Y393" s="2">
        <f t="shared" si="362"/>
        <v>1335301.6499999999</v>
      </c>
      <c r="Z393" s="2">
        <v>1016882.74</v>
      </c>
      <c r="AA393" s="2">
        <v>318418.90999999997</v>
      </c>
      <c r="AB393" s="2">
        <f t="shared" si="363"/>
        <v>0</v>
      </c>
      <c r="AC393" s="2"/>
      <c r="AD393" s="2"/>
      <c r="AE393" s="2">
        <f t="shared" si="364"/>
        <v>26040012.299999997</v>
      </c>
      <c r="AF393" s="39">
        <v>0</v>
      </c>
      <c r="AG393" s="2">
        <f t="shared" si="365"/>
        <v>26040012.299999997</v>
      </c>
      <c r="AH393" s="105" t="s">
        <v>871</v>
      </c>
      <c r="AI393" s="30" t="s">
        <v>422</v>
      </c>
      <c r="AJ393" s="31"/>
      <c r="AK393" s="31"/>
    </row>
    <row r="394" spans="1:37" ht="346.5" x14ac:dyDescent="0.25">
      <c r="A394" s="348" t="s">
        <v>1983</v>
      </c>
      <c r="B394" s="264">
        <v>127562</v>
      </c>
      <c r="C394" s="265">
        <v>606</v>
      </c>
      <c r="D394" s="264" t="s">
        <v>176</v>
      </c>
      <c r="E394" s="266" t="s">
        <v>165</v>
      </c>
      <c r="F394" s="267" t="s">
        <v>1260</v>
      </c>
      <c r="G394" s="268" t="s">
        <v>1419</v>
      </c>
      <c r="H394" s="269" t="s">
        <v>1420</v>
      </c>
      <c r="I394" s="266" t="s">
        <v>1421</v>
      </c>
      <c r="J394" s="270" t="s">
        <v>1423</v>
      </c>
      <c r="K394" s="271">
        <v>43608</v>
      </c>
      <c r="L394" s="271">
        <v>44339</v>
      </c>
      <c r="M394" s="272">
        <f t="shared" si="366"/>
        <v>83.983863082660847</v>
      </c>
      <c r="N394" s="273" t="s">
        <v>155</v>
      </c>
      <c r="O394" s="274" t="s">
        <v>312</v>
      </c>
      <c r="P394" s="274" t="s">
        <v>156</v>
      </c>
      <c r="Q394" s="275" t="s">
        <v>157</v>
      </c>
      <c r="R394" s="274" t="s">
        <v>36</v>
      </c>
      <c r="S394" s="145">
        <f t="shared" si="360"/>
        <v>8877559.8000000007</v>
      </c>
      <c r="T394" s="145">
        <v>7158978.4900000002</v>
      </c>
      <c r="U394" s="145">
        <v>1718581.31</v>
      </c>
      <c r="V394" s="145">
        <f t="shared" si="367"/>
        <v>156211.66</v>
      </c>
      <c r="W394" s="145">
        <v>115441.72</v>
      </c>
      <c r="X394" s="145">
        <v>40769.94</v>
      </c>
      <c r="Y394" s="145">
        <f t="shared" si="362"/>
        <v>1536782.78</v>
      </c>
      <c r="Z394" s="145">
        <v>1147907.44</v>
      </c>
      <c r="AA394" s="145">
        <v>388875.34</v>
      </c>
      <c r="AB394" s="145">
        <f>AC394+AD394</f>
        <v>0</v>
      </c>
      <c r="AC394" s="145">
        <v>0</v>
      </c>
      <c r="AD394" s="145">
        <v>0</v>
      </c>
      <c r="AE394" s="145">
        <f t="shared" si="364"/>
        <v>10570554.24</v>
      </c>
      <c r="AF394" s="276">
        <v>0</v>
      </c>
      <c r="AG394" s="145">
        <f t="shared" si="365"/>
        <v>10570554.24</v>
      </c>
      <c r="AH394" s="277" t="str">
        <f t="shared" ref="AH394:AI395" si="368">AH393</f>
        <v>în implementare</v>
      </c>
      <c r="AI394" s="278" t="str">
        <f t="shared" si="368"/>
        <v>n.a.</v>
      </c>
      <c r="AJ394" s="205"/>
      <c r="AK394" s="205"/>
    </row>
    <row r="395" spans="1:37" ht="330.75" x14ac:dyDescent="0.25">
      <c r="A395" s="348" t="s">
        <v>1984</v>
      </c>
      <c r="B395" s="3">
        <v>116178</v>
      </c>
      <c r="C395" s="16">
        <v>403</v>
      </c>
      <c r="D395" s="3" t="s">
        <v>171</v>
      </c>
      <c r="E395" s="24" t="s">
        <v>165</v>
      </c>
      <c r="F395" s="22" t="s">
        <v>446</v>
      </c>
      <c r="G395" s="279" t="s">
        <v>1501</v>
      </c>
      <c r="H395" s="33" t="s">
        <v>1502</v>
      </c>
      <c r="I395" s="24" t="s">
        <v>422</v>
      </c>
      <c r="J395" s="25" t="s">
        <v>1513</v>
      </c>
      <c r="K395" s="5">
        <v>43640</v>
      </c>
      <c r="L395" s="5">
        <v>44432</v>
      </c>
      <c r="M395" s="4">
        <f t="shared" si="366"/>
        <v>83.983862989767033</v>
      </c>
      <c r="N395" s="77" t="s">
        <v>155</v>
      </c>
      <c r="O395" s="3" t="s">
        <v>312</v>
      </c>
      <c r="P395" s="3" t="s">
        <v>156</v>
      </c>
      <c r="Q395" s="78" t="s">
        <v>157</v>
      </c>
      <c r="R395" s="3" t="s">
        <v>36</v>
      </c>
      <c r="S395" s="2">
        <f t="shared" si="360"/>
        <v>2394035.5999999996</v>
      </c>
      <c r="T395" s="2">
        <v>1930581.13</v>
      </c>
      <c r="U395" s="2">
        <v>463454.47</v>
      </c>
      <c r="V395" s="2">
        <f t="shared" si="367"/>
        <v>0</v>
      </c>
      <c r="W395" s="2">
        <v>0</v>
      </c>
      <c r="X395" s="2">
        <v>0</v>
      </c>
      <c r="Y395" s="2">
        <f t="shared" si="362"/>
        <v>456554.4</v>
      </c>
      <c r="Z395" s="2">
        <v>340690.78</v>
      </c>
      <c r="AA395" s="2">
        <v>115863.62</v>
      </c>
      <c r="AB395" s="2"/>
      <c r="AC395" s="2">
        <v>0</v>
      </c>
      <c r="AD395" s="2">
        <v>0</v>
      </c>
      <c r="AE395" s="2">
        <f t="shared" si="364"/>
        <v>2850589.9999999995</v>
      </c>
      <c r="AF395" s="39">
        <v>0</v>
      </c>
      <c r="AG395" s="2">
        <f t="shared" si="365"/>
        <v>2850589.9999999995</v>
      </c>
      <c r="AH395" s="105" t="str">
        <f t="shared" si="368"/>
        <v>în implementare</v>
      </c>
      <c r="AI395" s="30"/>
      <c r="AJ395" s="31"/>
      <c r="AK395" s="31"/>
    </row>
    <row r="396" spans="1:37" ht="141.75" x14ac:dyDescent="0.25">
      <c r="A396" s="348" t="s">
        <v>1985</v>
      </c>
      <c r="B396" s="3">
        <v>126949</v>
      </c>
      <c r="C396" s="16">
        <v>625</v>
      </c>
      <c r="D396" s="3" t="s">
        <v>163</v>
      </c>
      <c r="E396" s="24" t="s">
        <v>166</v>
      </c>
      <c r="F396" s="22" t="s">
        <v>1546</v>
      </c>
      <c r="G396" s="279" t="s">
        <v>1547</v>
      </c>
      <c r="H396" s="33" t="s">
        <v>121</v>
      </c>
      <c r="I396" s="24" t="s">
        <v>1548</v>
      </c>
      <c r="J396" s="33" t="s">
        <v>1549</v>
      </c>
      <c r="K396" s="5">
        <v>43656</v>
      </c>
      <c r="L396" s="5">
        <v>44752</v>
      </c>
      <c r="M396" s="4">
        <f>S396/AE396*100</f>
        <v>83.983862837739466</v>
      </c>
      <c r="N396" s="77" t="s">
        <v>155</v>
      </c>
      <c r="O396" s="3" t="s">
        <v>312</v>
      </c>
      <c r="P396" s="3" t="s">
        <v>156</v>
      </c>
      <c r="Q396" s="78" t="s">
        <v>157</v>
      </c>
      <c r="R396" s="3" t="s">
        <v>36</v>
      </c>
      <c r="S396" s="2">
        <f>T396+U396</f>
        <v>100678170.02000001</v>
      </c>
      <c r="T396" s="2">
        <v>81188172.530000016</v>
      </c>
      <c r="U396" s="2">
        <v>19489997.489999998</v>
      </c>
      <c r="V396" s="2">
        <f t="shared" si="367"/>
        <v>3857997.5300000003</v>
      </c>
      <c r="W396" s="2">
        <v>2851092.66</v>
      </c>
      <c r="X396" s="2">
        <v>1006904.87</v>
      </c>
      <c r="Y396" s="2">
        <f>Z396+AA396</f>
        <v>15341826.41</v>
      </c>
      <c r="Z396" s="2">
        <v>11476231.890000001</v>
      </c>
      <c r="AA396" s="2">
        <v>3865594.52</v>
      </c>
      <c r="AB396" s="2">
        <f t="shared" ref="AB396:AB401" si="369">AC396+AD396</f>
        <v>0</v>
      </c>
      <c r="AC396" s="2">
        <v>0</v>
      </c>
      <c r="AD396" s="2">
        <v>0</v>
      </c>
      <c r="AE396" s="2">
        <f>S396+V396+Y396+AB396</f>
        <v>119877993.96000001</v>
      </c>
      <c r="AF396" s="39">
        <v>93474.39</v>
      </c>
      <c r="AG396" s="2">
        <f t="shared" ref="AG396:AG402" si="370">AE396+AF396</f>
        <v>119971468.35000001</v>
      </c>
      <c r="AH396" s="105" t="str">
        <f>AH394</f>
        <v>în implementare</v>
      </c>
      <c r="AI396" s="30" t="s">
        <v>185</v>
      </c>
      <c r="AJ396" s="31"/>
      <c r="AK396" s="31"/>
    </row>
    <row r="397" spans="1:37" ht="189" x14ac:dyDescent="0.25">
      <c r="A397" s="348" t="s">
        <v>1986</v>
      </c>
      <c r="B397" s="3">
        <v>127610</v>
      </c>
      <c r="C397" s="16">
        <v>583</v>
      </c>
      <c r="D397" s="3" t="s">
        <v>177</v>
      </c>
      <c r="E397" s="24" t="s">
        <v>165</v>
      </c>
      <c r="F397" s="22" t="s">
        <v>1260</v>
      </c>
      <c r="G397" s="279" t="s">
        <v>1558</v>
      </c>
      <c r="H397" s="33" t="s">
        <v>1559</v>
      </c>
      <c r="I397" s="24" t="s">
        <v>51</v>
      </c>
      <c r="J397" s="33" t="s">
        <v>1560</v>
      </c>
      <c r="K397" s="5">
        <v>43658</v>
      </c>
      <c r="L397" s="5">
        <v>44389</v>
      </c>
      <c r="M397" s="4">
        <f t="shared" ref="M397" si="371">S397/AE397*100</f>
        <v>83.983862820897855</v>
      </c>
      <c r="N397" s="77" t="s">
        <v>155</v>
      </c>
      <c r="O397" s="3" t="s">
        <v>312</v>
      </c>
      <c r="P397" s="3" t="s">
        <v>156</v>
      </c>
      <c r="Q397" s="78" t="s">
        <v>157</v>
      </c>
      <c r="R397" s="3" t="s">
        <v>36</v>
      </c>
      <c r="S397" s="2">
        <f t="shared" ref="S397" si="372">T397+U397</f>
        <v>8218742.2799999993</v>
      </c>
      <c r="T397" s="2">
        <v>6627699.5899999999</v>
      </c>
      <c r="U397" s="2">
        <v>1591042.69</v>
      </c>
      <c r="V397" s="2">
        <f t="shared" si="367"/>
        <v>1361267.6600000001</v>
      </c>
      <c r="W397" s="2">
        <v>1005988.26</v>
      </c>
      <c r="X397" s="2">
        <v>355279.4</v>
      </c>
      <c r="Y397" s="2">
        <f t="shared" ref="Y397" si="373">Z397+AA397</f>
        <v>206087.06</v>
      </c>
      <c r="Z397" s="2">
        <v>163605.79</v>
      </c>
      <c r="AA397" s="2">
        <v>42481.27</v>
      </c>
      <c r="AB397" s="2">
        <f t="shared" si="369"/>
        <v>0</v>
      </c>
      <c r="AC397" s="2">
        <v>0</v>
      </c>
      <c r="AD397" s="2">
        <v>0</v>
      </c>
      <c r="AE397" s="2">
        <f t="shared" ref="AE397" si="374">S397+V397+Y397+AB397</f>
        <v>9786097</v>
      </c>
      <c r="AF397" s="39">
        <v>0</v>
      </c>
      <c r="AG397" s="2">
        <f t="shared" si="370"/>
        <v>9786097</v>
      </c>
      <c r="AH397" s="105" t="str">
        <f>AH395</f>
        <v>în implementare</v>
      </c>
      <c r="AI397" s="30" t="s">
        <v>185</v>
      </c>
      <c r="AJ397" s="31"/>
      <c r="AK397" s="31"/>
    </row>
    <row r="398" spans="1:37" ht="378" x14ac:dyDescent="0.25">
      <c r="A398" s="348" t="s">
        <v>1987</v>
      </c>
      <c r="B398" s="3">
        <v>127961</v>
      </c>
      <c r="C398" s="16">
        <v>609</v>
      </c>
      <c r="D398" s="3" t="s">
        <v>174</v>
      </c>
      <c r="E398" s="24" t="s">
        <v>165</v>
      </c>
      <c r="F398" s="22" t="s">
        <v>1260</v>
      </c>
      <c r="G398" s="279" t="s">
        <v>1561</v>
      </c>
      <c r="H398" s="33" t="s">
        <v>136</v>
      </c>
      <c r="I398" s="24" t="s">
        <v>1562</v>
      </c>
      <c r="J398" s="33" t="s">
        <v>1563</v>
      </c>
      <c r="K398" s="5">
        <v>43662</v>
      </c>
      <c r="L398" s="5">
        <v>44181</v>
      </c>
      <c r="M398" s="4">
        <f>S398/AE398*100</f>
        <v>83.659872298779931</v>
      </c>
      <c r="N398" s="77" t="s">
        <v>155</v>
      </c>
      <c r="O398" s="3" t="s">
        <v>312</v>
      </c>
      <c r="P398" s="3" t="s">
        <v>156</v>
      </c>
      <c r="Q398" s="78" t="s">
        <v>157</v>
      </c>
      <c r="R398" s="3" t="s">
        <v>36</v>
      </c>
      <c r="S398" s="2">
        <f>T398+U398</f>
        <v>19860283.960000001</v>
      </c>
      <c r="T398" s="2">
        <v>16015588.68</v>
      </c>
      <c r="U398" s="2">
        <v>3844695.28</v>
      </c>
      <c r="V398" s="2">
        <f t="shared" si="367"/>
        <v>1688126.9100000001</v>
      </c>
      <c r="W398" s="2">
        <v>1252724.29</v>
      </c>
      <c r="X398" s="2">
        <v>435402.62</v>
      </c>
      <c r="Y398" s="2">
        <f>Z398+AA398</f>
        <v>2099327.13</v>
      </c>
      <c r="Z398" s="2">
        <v>1573555.96</v>
      </c>
      <c r="AA398" s="2">
        <v>525771.17000000004</v>
      </c>
      <c r="AB398" s="2">
        <f t="shared" si="369"/>
        <v>91581</v>
      </c>
      <c r="AC398" s="2">
        <v>72969.23</v>
      </c>
      <c r="AD398" s="2">
        <v>18611.77</v>
      </c>
      <c r="AE398" s="2">
        <f>S398+V398+Y398+AB398</f>
        <v>23739319</v>
      </c>
      <c r="AF398" s="39">
        <v>0</v>
      </c>
      <c r="AG398" s="2">
        <f t="shared" si="370"/>
        <v>23739319</v>
      </c>
      <c r="AH398" s="105" t="str">
        <f>AH396</f>
        <v>în implementare</v>
      </c>
      <c r="AI398" s="30" t="s">
        <v>185</v>
      </c>
      <c r="AJ398" s="31"/>
      <c r="AK398" s="31"/>
    </row>
    <row r="399" spans="1:37" ht="141.75" x14ac:dyDescent="0.25">
      <c r="A399" s="348" t="s">
        <v>1988</v>
      </c>
      <c r="B399" s="3">
        <v>129745</v>
      </c>
      <c r="C399" s="16">
        <v>745</v>
      </c>
      <c r="D399" s="3" t="s">
        <v>163</v>
      </c>
      <c r="E399" s="24" t="s">
        <v>178</v>
      </c>
      <c r="F399" s="22" t="s">
        <v>1569</v>
      </c>
      <c r="G399" s="279" t="s">
        <v>1571</v>
      </c>
      <c r="H399" s="33" t="s">
        <v>1570</v>
      </c>
      <c r="I399" s="24" t="s">
        <v>185</v>
      </c>
      <c r="J399" s="33" t="s">
        <v>1572</v>
      </c>
      <c r="K399" s="5">
        <v>43663</v>
      </c>
      <c r="L399" s="5">
        <v>44759</v>
      </c>
      <c r="M399" s="4">
        <f>S399/AE399*100</f>
        <v>83.983862931897562</v>
      </c>
      <c r="N399" s="77" t="s">
        <v>155</v>
      </c>
      <c r="O399" s="3" t="s">
        <v>312</v>
      </c>
      <c r="P399" s="3" t="s">
        <v>156</v>
      </c>
      <c r="Q399" s="78" t="s">
        <v>157</v>
      </c>
      <c r="R399" s="3" t="s">
        <v>36</v>
      </c>
      <c r="S399" s="2">
        <f>T399+U399</f>
        <v>20432953.939999998</v>
      </c>
      <c r="T399" s="2">
        <v>16477397.119999995</v>
      </c>
      <c r="U399" s="2">
        <v>3955556.8200000003</v>
      </c>
      <c r="V399" s="2">
        <f>W399+X399</f>
        <v>0</v>
      </c>
      <c r="W399" s="2">
        <v>0</v>
      </c>
      <c r="X399" s="2">
        <v>0</v>
      </c>
      <c r="Y399" s="2">
        <f>Z399+AA399</f>
        <v>3896665.14</v>
      </c>
      <c r="Z399" s="2">
        <v>2907775.95</v>
      </c>
      <c r="AA399" s="2">
        <v>988889.19</v>
      </c>
      <c r="AB399" s="2">
        <f t="shared" si="369"/>
        <v>0</v>
      </c>
      <c r="AC399" s="2">
        <v>0</v>
      </c>
      <c r="AD399" s="2">
        <v>0</v>
      </c>
      <c r="AE399" s="2">
        <f>S399+V399+Y399+AB399</f>
        <v>24329619.079999998</v>
      </c>
      <c r="AF399" s="39">
        <v>631784.67000000004</v>
      </c>
      <c r="AG399" s="2">
        <f t="shared" si="370"/>
        <v>24961403.75</v>
      </c>
      <c r="AH399" s="105" t="str">
        <f>AH396</f>
        <v>în implementare</v>
      </c>
      <c r="AI399" s="30" t="s">
        <v>185</v>
      </c>
      <c r="AJ399" s="31"/>
      <c r="AK399" s="31"/>
    </row>
    <row r="400" spans="1:37" ht="141.75" x14ac:dyDescent="0.25">
      <c r="A400" s="348" t="s">
        <v>1989</v>
      </c>
      <c r="B400" s="3">
        <v>127604</v>
      </c>
      <c r="C400" s="16">
        <v>587</v>
      </c>
      <c r="D400" s="3" t="s">
        <v>177</v>
      </c>
      <c r="E400" s="24" t="s">
        <v>1573</v>
      </c>
      <c r="F400" s="280" t="s">
        <v>1260</v>
      </c>
      <c r="G400" s="279" t="s">
        <v>1574</v>
      </c>
      <c r="H400" s="281" t="s">
        <v>1575</v>
      </c>
      <c r="I400" s="24" t="s">
        <v>185</v>
      </c>
      <c r="J400" s="33" t="s">
        <v>1576</v>
      </c>
      <c r="K400" s="5">
        <v>43663</v>
      </c>
      <c r="L400" s="5">
        <v>44578</v>
      </c>
      <c r="M400" s="4">
        <f>S400/AE400*100</f>
        <v>83.983862842122022</v>
      </c>
      <c r="N400" s="77" t="s">
        <v>155</v>
      </c>
      <c r="O400" s="3" t="s">
        <v>312</v>
      </c>
      <c r="P400" s="3" t="s">
        <v>156</v>
      </c>
      <c r="Q400" s="78" t="s">
        <v>157</v>
      </c>
      <c r="R400" s="3" t="s">
        <v>36</v>
      </c>
      <c r="S400" s="2">
        <f>T400+U400</f>
        <v>9227267.7899999991</v>
      </c>
      <c r="T400" s="2">
        <v>7440987.5499999998</v>
      </c>
      <c r="U400" s="2">
        <v>1786280.24</v>
      </c>
      <c r="V400" s="2">
        <f>W400+X400</f>
        <v>1539946.4400000002</v>
      </c>
      <c r="W400" s="2">
        <v>1138033.3600000001</v>
      </c>
      <c r="X400" s="2">
        <v>401913.08</v>
      </c>
      <c r="Y400" s="2">
        <f>Z400+AA400</f>
        <v>219739.06999999998</v>
      </c>
      <c r="Z400" s="2">
        <v>175082.08</v>
      </c>
      <c r="AA400" s="2">
        <v>44656.99</v>
      </c>
      <c r="AB400" s="2">
        <f t="shared" si="369"/>
        <v>0</v>
      </c>
      <c r="AC400" s="2">
        <v>0</v>
      </c>
      <c r="AD400" s="2">
        <v>0</v>
      </c>
      <c r="AE400" s="2">
        <f>S400+V400+Y400+AB400</f>
        <v>10986953.299999999</v>
      </c>
      <c r="AF400" s="39">
        <v>0</v>
      </c>
      <c r="AG400" s="2">
        <f t="shared" si="370"/>
        <v>10986953.299999999</v>
      </c>
      <c r="AH400" s="105" t="str">
        <f>AH396</f>
        <v>în implementare</v>
      </c>
      <c r="AI400" s="30" t="s">
        <v>185</v>
      </c>
      <c r="AJ400" s="31"/>
      <c r="AK400" s="31"/>
    </row>
    <row r="401" spans="1:37" ht="204.75" x14ac:dyDescent="0.25">
      <c r="A401" s="348" t="s">
        <v>1990</v>
      </c>
      <c r="B401" s="3">
        <v>127638</v>
      </c>
      <c r="C401" s="16">
        <v>607</v>
      </c>
      <c r="D401" s="3" t="s">
        <v>177</v>
      </c>
      <c r="E401" s="24" t="s">
        <v>1573</v>
      </c>
      <c r="F401" s="67" t="s">
        <v>1260</v>
      </c>
      <c r="G401" s="279" t="s">
        <v>1584</v>
      </c>
      <c r="H401" s="282" t="s">
        <v>1585</v>
      </c>
      <c r="I401" s="24" t="s">
        <v>185</v>
      </c>
      <c r="J401" s="33" t="s">
        <v>1590</v>
      </c>
      <c r="K401" s="5">
        <v>43670</v>
      </c>
      <c r="L401" s="5">
        <v>44766</v>
      </c>
      <c r="M401" s="4">
        <f>S401/AE401*100</f>
        <v>83.983862864065983</v>
      </c>
      <c r="N401" s="77" t="s">
        <v>155</v>
      </c>
      <c r="O401" s="3" t="s">
        <v>312</v>
      </c>
      <c r="P401" s="3" t="s">
        <v>156</v>
      </c>
      <c r="Q401" s="78" t="s">
        <v>157</v>
      </c>
      <c r="R401" s="3" t="s">
        <v>36</v>
      </c>
      <c r="S401" s="2">
        <f>T401+U401</f>
        <v>17926249.02</v>
      </c>
      <c r="T401" s="2">
        <v>14455958</v>
      </c>
      <c r="U401" s="2">
        <v>3470291.02</v>
      </c>
      <c r="V401" s="2">
        <f t="shared" si="367"/>
        <v>1799975.77</v>
      </c>
      <c r="W401" s="2">
        <v>1330197.26</v>
      </c>
      <c r="X401" s="2">
        <v>469778.51</v>
      </c>
      <c r="Y401" s="2">
        <f>Z401+AA401</f>
        <v>1618648.39</v>
      </c>
      <c r="Z401" s="2">
        <v>1220854.1599999999</v>
      </c>
      <c r="AA401" s="2">
        <v>397794.23</v>
      </c>
      <c r="AB401" s="2">
        <f t="shared" si="369"/>
        <v>0</v>
      </c>
      <c r="AC401" s="2">
        <v>0</v>
      </c>
      <c r="AD401" s="2">
        <v>0</v>
      </c>
      <c r="AE401" s="2">
        <f>S401+V401+Y401+AB401</f>
        <v>21344873.18</v>
      </c>
      <c r="AF401" s="39">
        <v>0</v>
      </c>
      <c r="AG401" s="2">
        <f t="shared" si="370"/>
        <v>21344873.18</v>
      </c>
      <c r="AH401" s="105" t="str">
        <f>AH397</f>
        <v>în implementare</v>
      </c>
      <c r="AI401" s="30" t="s">
        <v>185</v>
      </c>
      <c r="AJ401" s="31"/>
      <c r="AK401" s="31"/>
    </row>
    <row r="402" spans="1:37" ht="141.75" x14ac:dyDescent="0.25">
      <c r="A402" s="348" t="s">
        <v>1991</v>
      </c>
      <c r="B402" s="3">
        <v>126229</v>
      </c>
      <c r="C402" s="16">
        <v>639</v>
      </c>
      <c r="D402" s="16" t="s">
        <v>168</v>
      </c>
      <c r="E402" s="16" t="s">
        <v>1573</v>
      </c>
      <c r="F402" s="67" t="s">
        <v>1586</v>
      </c>
      <c r="G402" s="279" t="s">
        <v>1587</v>
      </c>
      <c r="H402" s="282" t="s">
        <v>634</v>
      </c>
      <c r="I402" s="24" t="s">
        <v>1588</v>
      </c>
      <c r="J402" s="33" t="s">
        <v>1589</v>
      </c>
      <c r="K402" s="5">
        <v>43670</v>
      </c>
      <c r="L402" s="5">
        <v>44401</v>
      </c>
      <c r="M402" s="4">
        <f>S402/AE402*100</f>
        <v>83.98386251323501</v>
      </c>
      <c r="N402" s="77" t="s">
        <v>155</v>
      </c>
      <c r="O402" s="3" t="s">
        <v>312</v>
      </c>
      <c r="P402" s="3" t="s">
        <v>156</v>
      </c>
      <c r="Q402" s="78" t="s">
        <v>157</v>
      </c>
      <c r="R402" s="3" t="s">
        <v>36</v>
      </c>
      <c r="S402" s="2">
        <f t="shared" ref="S402" si="375">T402+U402</f>
        <v>4825816.88</v>
      </c>
      <c r="T402" s="2">
        <v>3891600.89</v>
      </c>
      <c r="U402" s="2">
        <v>934215.99</v>
      </c>
      <c r="V402" s="2">
        <f t="shared" si="367"/>
        <v>0</v>
      </c>
      <c r="W402" s="2">
        <v>0</v>
      </c>
      <c r="X402" s="2">
        <v>0</v>
      </c>
      <c r="Y402" s="2">
        <f t="shared" ref="Y402" si="376">Z402+AA402</f>
        <v>920307.12</v>
      </c>
      <c r="Z402" s="2">
        <v>686753.08</v>
      </c>
      <c r="AA402" s="2">
        <v>233554.04</v>
      </c>
      <c r="AB402" s="2">
        <f t="shared" ref="AB402" si="377">AC402+AD402</f>
        <v>0</v>
      </c>
      <c r="AC402" s="2">
        <v>0</v>
      </c>
      <c r="AD402" s="2">
        <v>0</v>
      </c>
      <c r="AE402" s="2">
        <f>S402+V402+Y402+AB402</f>
        <v>5746124</v>
      </c>
      <c r="AF402" s="39">
        <v>0</v>
      </c>
      <c r="AG402" s="39">
        <f t="shared" si="370"/>
        <v>5746124</v>
      </c>
      <c r="AH402" s="105" t="str">
        <f>AH399</f>
        <v>în implementare</v>
      </c>
      <c r="AI402" s="30" t="s">
        <v>185</v>
      </c>
      <c r="AJ402" s="225"/>
      <c r="AK402" s="225"/>
    </row>
    <row r="403" spans="1:37" ht="31.5" x14ac:dyDescent="0.25">
      <c r="A403" s="14"/>
      <c r="B403" s="14"/>
      <c r="C403" s="14"/>
      <c r="D403" s="14"/>
      <c r="E403" s="14"/>
      <c r="F403" s="14"/>
      <c r="G403" s="15" t="s">
        <v>435</v>
      </c>
      <c r="H403" s="43"/>
      <c r="I403" s="17" t="s">
        <v>1405</v>
      </c>
      <c r="J403" s="17"/>
      <c r="K403" s="17"/>
      <c r="L403" s="17"/>
      <c r="M403" s="17"/>
      <c r="N403" s="17"/>
      <c r="O403" s="17"/>
      <c r="P403" s="17"/>
      <c r="Q403" s="17"/>
      <c r="R403" s="17"/>
      <c r="S403" s="60">
        <f t="shared" ref="S403:AK403" si="378">SUM(S209:S402)</f>
        <v>1282212542.3500004</v>
      </c>
      <c r="T403" s="60">
        <f t="shared" si="378"/>
        <v>1050789949.6000001</v>
      </c>
      <c r="U403" s="60">
        <f t="shared" si="378"/>
        <v>231422592.75000003</v>
      </c>
      <c r="V403" s="60">
        <f t="shared" si="378"/>
        <v>37093156.282999985</v>
      </c>
      <c r="W403" s="60">
        <f t="shared" si="378"/>
        <v>27402005.469999999</v>
      </c>
      <c r="X403" s="60">
        <f t="shared" si="378"/>
        <v>9691150.8129999973</v>
      </c>
      <c r="Y403" s="60">
        <f t="shared" si="378"/>
        <v>205986031.07000002</v>
      </c>
      <c r="Z403" s="60">
        <f t="shared" si="378"/>
        <v>157839197.34</v>
      </c>
      <c r="AA403" s="60">
        <f t="shared" si="378"/>
        <v>48146833.729999989</v>
      </c>
      <c r="AB403" s="60">
        <f t="shared" si="378"/>
        <v>2625604.7297000005</v>
      </c>
      <c r="AC403" s="60">
        <f t="shared" si="378"/>
        <v>2067044.083136339</v>
      </c>
      <c r="AD403" s="60">
        <f t="shared" si="378"/>
        <v>558560.64656366198</v>
      </c>
      <c r="AE403" s="60">
        <f>SUM(AE5:AE402)</f>
        <v>1853711418.7026999</v>
      </c>
      <c r="AF403" s="60">
        <f t="shared" si="378"/>
        <v>10353223.600000001</v>
      </c>
      <c r="AG403" s="60">
        <f t="shared" si="378"/>
        <v>1538270558.0327001</v>
      </c>
      <c r="AH403" s="60">
        <f t="shared" si="378"/>
        <v>0</v>
      </c>
      <c r="AI403" s="283">
        <f t="shared" si="378"/>
        <v>0</v>
      </c>
      <c r="AJ403" s="283">
        <f t="shared" si="378"/>
        <v>394547489.35000014</v>
      </c>
      <c r="AK403" s="283">
        <f t="shared" si="378"/>
        <v>8168821.8099999987</v>
      </c>
    </row>
    <row r="404" spans="1:37" ht="15.75" x14ac:dyDescent="0.25">
      <c r="S404" s="287"/>
      <c r="T404" s="287"/>
      <c r="U404" s="287"/>
      <c r="V404" s="287"/>
      <c r="W404" s="287"/>
      <c r="X404" s="287"/>
      <c r="Y404" s="287"/>
      <c r="Z404" s="287"/>
      <c r="AA404" s="287"/>
      <c r="AB404" s="287"/>
      <c r="AC404" s="287"/>
      <c r="AD404" s="287"/>
      <c r="AE404" s="287"/>
      <c r="AF404" s="287"/>
      <c r="AG404" s="287"/>
      <c r="AH404" s="288"/>
    </row>
    <row r="405" spans="1:37" s="299" customFormat="1" ht="15.75" x14ac:dyDescent="0.25">
      <c r="A405" s="289"/>
      <c r="B405" s="289"/>
      <c r="C405" s="290"/>
      <c r="D405" s="291"/>
      <c r="E405" s="70"/>
      <c r="F405" s="292"/>
      <c r="G405" s="292"/>
      <c r="H405" s="292"/>
      <c r="I405" s="70"/>
      <c r="J405" s="293"/>
      <c r="K405" s="294"/>
      <c r="L405" s="294"/>
      <c r="M405" s="295"/>
      <c r="N405" s="70"/>
      <c r="O405" s="70"/>
      <c r="P405" s="70"/>
      <c r="Q405" s="296"/>
      <c r="R405" s="70"/>
      <c r="S405" s="297"/>
      <c r="T405" s="297"/>
      <c r="U405" s="297"/>
      <c r="V405" s="297"/>
      <c r="W405" s="297"/>
      <c r="X405" s="297"/>
      <c r="Y405" s="297"/>
      <c r="Z405" s="297"/>
      <c r="AA405" s="297"/>
      <c r="AB405" s="297"/>
      <c r="AC405" s="297"/>
      <c r="AD405" s="297"/>
      <c r="AE405" s="297"/>
      <c r="AF405" s="297"/>
      <c r="AG405" s="297"/>
      <c r="AH405" s="297"/>
      <c r="AI405" s="297"/>
      <c r="AJ405" s="297"/>
      <c r="AK405" s="297"/>
    </row>
    <row r="406" spans="1:37" s="298" customFormat="1" ht="15.75" x14ac:dyDescent="0.25">
      <c r="A406" s="70"/>
      <c r="B406" s="70"/>
      <c r="C406" s="290"/>
      <c r="D406" s="291"/>
      <c r="E406" s="70"/>
      <c r="F406" s="292"/>
      <c r="G406" s="292"/>
      <c r="H406" s="292"/>
      <c r="I406" s="70"/>
      <c r="J406" s="293"/>
      <c r="K406" s="294"/>
      <c r="L406" s="294"/>
      <c r="M406" s="295"/>
      <c r="N406" s="70"/>
      <c r="O406" s="70"/>
      <c r="P406" s="70"/>
      <c r="Q406" s="296"/>
      <c r="R406" s="70"/>
      <c r="S406" s="297"/>
      <c r="T406" s="297"/>
      <c r="U406" s="297"/>
      <c r="V406" s="297"/>
      <c r="W406" s="297"/>
      <c r="X406" s="297"/>
      <c r="Y406" s="297"/>
      <c r="Z406" s="297"/>
      <c r="AA406" s="297"/>
      <c r="AB406" s="297"/>
      <c r="AC406" s="297"/>
      <c r="AD406" s="297"/>
      <c r="AE406" s="297"/>
      <c r="AF406" s="297"/>
      <c r="AG406" s="297"/>
      <c r="AH406" s="297"/>
      <c r="AI406" s="297"/>
      <c r="AJ406" s="297"/>
      <c r="AK406" s="297"/>
    </row>
    <row r="407" spans="1:37" s="298" customFormat="1" ht="15.75" x14ac:dyDescent="0.25">
      <c r="A407" s="70"/>
      <c r="B407" s="70"/>
      <c r="C407" s="290"/>
      <c r="D407" s="291"/>
      <c r="E407" s="70"/>
      <c r="F407" s="300"/>
      <c r="G407" s="292"/>
      <c r="H407" s="292"/>
      <c r="I407" s="70"/>
      <c r="J407" s="293"/>
      <c r="K407" s="294"/>
      <c r="L407" s="294"/>
      <c r="M407" s="295"/>
      <c r="N407" s="70"/>
      <c r="O407" s="70"/>
      <c r="P407" s="70"/>
      <c r="Q407" s="296"/>
      <c r="R407" s="70"/>
      <c r="S407" s="297"/>
      <c r="T407" s="297"/>
      <c r="U407" s="297"/>
      <c r="V407" s="297"/>
      <c r="W407" s="297"/>
      <c r="X407" s="297"/>
      <c r="Y407" s="297"/>
      <c r="Z407" s="297"/>
      <c r="AA407" s="297"/>
      <c r="AB407" s="297"/>
      <c r="AC407" s="297"/>
      <c r="AD407" s="297"/>
      <c r="AE407" s="297"/>
      <c r="AF407" s="297"/>
      <c r="AG407" s="297"/>
      <c r="AH407" s="297"/>
      <c r="AI407" s="297"/>
      <c r="AJ407" s="297"/>
      <c r="AK407" s="297"/>
    </row>
    <row r="408" spans="1:37" s="299" customFormat="1" ht="15.75" x14ac:dyDescent="0.25">
      <c r="A408" s="70"/>
      <c r="B408" s="70"/>
      <c r="C408" s="290"/>
      <c r="D408" s="291"/>
      <c r="E408" s="70"/>
      <c r="F408" s="300"/>
      <c r="G408" s="292"/>
      <c r="H408" s="292"/>
      <c r="I408" s="70"/>
      <c r="J408" s="293"/>
      <c r="K408" s="294"/>
      <c r="L408" s="294"/>
      <c r="M408" s="295"/>
      <c r="N408" s="70"/>
      <c r="O408" s="70"/>
      <c r="P408" s="70"/>
      <c r="Q408" s="296"/>
      <c r="R408" s="70"/>
      <c r="S408" s="297"/>
      <c r="T408" s="297"/>
      <c r="U408" s="297"/>
      <c r="V408" s="297"/>
      <c r="W408" s="297"/>
      <c r="X408" s="297"/>
      <c r="Y408" s="297"/>
      <c r="Z408" s="297"/>
      <c r="AA408" s="297"/>
      <c r="AB408" s="297"/>
      <c r="AC408" s="297"/>
      <c r="AD408" s="297"/>
      <c r="AE408" s="297"/>
      <c r="AF408" s="297"/>
      <c r="AG408" s="297"/>
      <c r="AH408" s="297"/>
      <c r="AI408" s="297"/>
      <c r="AJ408" s="297"/>
      <c r="AK408" s="297"/>
    </row>
    <row r="409" spans="1:37" s="299" customFormat="1" ht="15.75" x14ac:dyDescent="0.25">
      <c r="A409" s="70"/>
      <c r="B409" s="70"/>
      <c r="C409" s="290"/>
      <c r="D409" s="291"/>
      <c r="E409" s="70"/>
      <c r="F409" s="300"/>
      <c r="G409" s="292"/>
      <c r="H409" s="292"/>
      <c r="I409" s="70"/>
      <c r="J409" s="293"/>
      <c r="K409" s="294"/>
      <c r="L409" s="294"/>
      <c r="M409" s="295"/>
      <c r="N409" s="70"/>
      <c r="O409" s="70"/>
      <c r="P409" s="70"/>
      <c r="Q409" s="296"/>
      <c r="R409" s="70"/>
      <c r="S409" s="297"/>
      <c r="T409" s="297"/>
      <c r="U409" s="297"/>
      <c r="V409" s="297"/>
      <c r="W409" s="297"/>
      <c r="X409" s="297"/>
      <c r="Y409" s="297"/>
      <c r="Z409" s="297"/>
      <c r="AA409" s="297"/>
      <c r="AB409" s="297"/>
      <c r="AC409" s="297"/>
      <c r="AD409" s="297"/>
      <c r="AE409" s="297"/>
      <c r="AF409" s="297"/>
      <c r="AG409" s="297"/>
      <c r="AH409" s="297"/>
      <c r="AI409" s="297"/>
      <c r="AJ409" s="297"/>
      <c r="AK409" s="297"/>
    </row>
    <row r="410" spans="1:37" s="299" customFormat="1" ht="15.75" x14ac:dyDescent="0.25">
      <c r="A410" s="70"/>
      <c r="B410" s="70"/>
      <c r="C410" s="290"/>
      <c r="D410" s="291"/>
      <c r="E410" s="70"/>
      <c r="F410" s="301"/>
      <c r="G410" s="292"/>
      <c r="H410" s="292"/>
      <c r="I410" s="70"/>
      <c r="J410" s="293"/>
      <c r="K410" s="294"/>
      <c r="L410" s="294"/>
      <c r="M410" s="295"/>
      <c r="N410" s="70"/>
      <c r="O410" s="70"/>
      <c r="P410" s="70"/>
      <c r="Q410" s="296"/>
      <c r="R410" s="70"/>
      <c r="S410" s="297"/>
      <c r="T410" s="297"/>
      <c r="U410" s="297"/>
      <c r="V410" s="297"/>
      <c r="W410" s="297"/>
      <c r="X410" s="297"/>
      <c r="Y410" s="297"/>
      <c r="Z410" s="297"/>
      <c r="AA410" s="297"/>
      <c r="AB410" s="297"/>
      <c r="AC410" s="297"/>
      <c r="AD410" s="297"/>
      <c r="AE410" s="297"/>
      <c r="AF410" s="297"/>
      <c r="AG410" s="297"/>
      <c r="AH410" s="297"/>
      <c r="AI410" s="297"/>
      <c r="AJ410" s="297"/>
      <c r="AK410" s="297"/>
    </row>
    <row r="411" spans="1:37" s="299" customFormat="1" ht="15.75" x14ac:dyDescent="0.25">
      <c r="A411" s="70"/>
      <c r="B411" s="70"/>
      <c r="C411" s="290"/>
      <c r="D411" s="291"/>
      <c r="E411" s="70"/>
      <c r="F411" s="301"/>
      <c r="G411" s="292"/>
      <c r="H411" s="292"/>
      <c r="I411" s="70"/>
      <c r="J411" s="293"/>
      <c r="K411" s="294"/>
      <c r="L411" s="294"/>
      <c r="M411" s="295"/>
      <c r="N411" s="70"/>
      <c r="O411" s="70"/>
      <c r="P411" s="70"/>
      <c r="Q411" s="296"/>
      <c r="R411" s="70"/>
      <c r="S411" s="297"/>
      <c r="T411" s="297"/>
      <c r="U411" s="297"/>
      <c r="V411" s="297"/>
      <c r="W411" s="297"/>
      <c r="X411" s="297"/>
      <c r="Y411" s="297"/>
      <c r="Z411" s="297"/>
      <c r="AA411" s="297"/>
      <c r="AB411" s="297"/>
      <c r="AC411" s="297"/>
      <c r="AD411" s="297"/>
      <c r="AE411" s="297"/>
      <c r="AF411" s="297"/>
      <c r="AG411" s="297"/>
      <c r="AH411" s="297"/>
      <c r="AI411" s="297"/>
      <c r="AJ411" s="297"/>
      <c r="AK411" s="297"/>
    </row>
    <row r="412" spans="1:37" s="299" customFormat="1" ht="15.75" x14ac:dyDescent="0.25">
      <c r="A412" s="70"/>
      <c r="B412" s="70"/>
      <c r="C412" s="290"/>
      <c r="D412" s="291"/>
      <c r="E412" s="70"/>
      <c r="F412" s="301"/>
      <c r="G412" s="292"/>
      <c r="H412" s="292"/>
      <c r="I412" s="70"/>
      <c r="J412" s="293"/>
      <c r="K412" s="294"/>
      <c r="L412" s="294"/>
      <c r="M412" s="295"/>
      <c r="N412" s="70"/>
      <c r="O412" s="70"/>
      <c r="P412" s="70"/>
      <c r="Q412" s="296"/>
      <c r="R412" s="70"/>
      <c r="S412" s="297"/>
      <c r="T412" s="297"/>
      <c r="U412" s="297"/>
      <c r="V412" s="297"/>
      <c r="W412" s="297"/>
      <c r="X412" s="297"/>
      <c r="Y412" s="297"/>
      <c r="Z412" s="297"/>
      <c r="AA412" s="297"/>
      <c r="AB412" s="297"/>
      <c r="AC412" s="297"/>
      <c r="AD412" s="297"/>
      <c r="AE412" s="297"/>
      <c r="AF412" s="297"/>
      <c r="AG412" s="297"/>
      <c r="AH412" s="297"/>
      <c r="AI412" s="297"/>
      <c r="AJ412" s="297"/>
      <c r="AK412" s="297"/>
    </row>
    <row r="413" spans="1:37" s="299" customFormat="1" ht="15.75" x14ac:dyDescent="0.25">
      <c r="A413" s="70"/>
      <c r="B413" s="70"/>
      <c r="C413" s="290"/>
      <c r="D413" s="291"/>
      <c r="E413" s="70"/>
      <c r="F413" s="301"/>
      <c r="G413" s="292"/>
      <c r="H413" s="292"/>
      <c r="I413" s="70"/>
      <c r="J413" s="293"/>
      <c r="K413" s="294"/>
      <c r="L413" s="294"/>
      <c r="M413" s="295"/>
      <c r="N413" s="70"/>
      <c r="O413" s="70"/>
      <c r="P413" s="70"/>
      <c r="Q413" s="296"/>
      <c r="R413" s="70"/>
      <c r="S413" s="297"/>
      <c r="T413" s="297"/>
      <c r="U413" s="297"/>
      <c r="V413" s="297"/>
      <c r="W413" s="297"/>
      <c r="X413" s="297"/>
      <c r="Y413" s="297"/>
      <c r="Z413" s="297"/>
      <c r="AA413" s="297"/>
      <c r="AB413" s="297"/>
      <c r="AC413" s="297"/>
      <c r="AD413" s="297"/>
      <c r="AE413" s="297"/>
      <c r="AF413" s="297"/>
      <c r="AG413" s="297"/>
      <c r="AH413" s="297"/>
      <c r="AI413" s="297"/>
      <c r="AJ413" s="297"/>
      <c r="AK413" s="297"/>
    </row>
    <row r="414" spans="1:37" s="299" customFormat="1" ht="15.75" x14ac:dyDescent="0.25">
      <c r="A414" s="70"/>
      <c r="B414" s="70"/>
      <c r="C414" s="290"/>
      <c r="D414" s="291"/>
      <c r="E414" s="70"/>
      <c r="F414" s="301"/>
      <c r="G414" s="292"/>
      <c r="H414" s="292"/>
      <c r="I414" s="70"/>
      <c r="J414" s="293"/>
      <c r="K414" s="294"/>
      <c r="L414" s="294"/>
      <c r="M414" s="295"/>
      <c r="N414" s="70"/>
      <c r="O414" s="70"/>
      <c r="P414" s="70"/>
      <c r="Q414" s="296"/>
      <c r="R414" s="70"/>
      <c r="S414" s="297"/>
      <c r="T414" s="297"/>
      <c r="U414" s="297"/>
      <c r="V414" s="297"/>
      <c r="W414" s="297"/>
      <c r="X414" s="297"/>
      <c r="Y414" s="297"/>
      <c r="Z414" s="297"/>
      <c r="AA414" s="297"/>
      <c r="AB414" s="297"/>
      <c r="AC414" s="297"/>
      <c r="AD414" s="297"/>
      <c r="AE414" s="297"/>
      <c r="AF414" s="297"/>
      <c r="AG414" s="297"/>
      <c r="AH414" s="297"/>
      <c r="AI414" s="297"/>
      <c r="AJ414" s="297"/>
      <c r="AK414" s="297"/>
    </row>
    <row r="415" spans="1:37" s="299" customFormat="1" ht="15.75" x14ac:dyDescent="0.25">
      <c r="A415" s="70"/>
      <c r="B415" s="70"/>
      <c r="C415" s="290"/>
      <c r="D415" s="291"/>
      <c r="E415" s="70"/>
      <c r="F415" s="301"/>
      <c r="G415" s="292"/>
      <c r="H415" s="292"/>
      <c r="I415" s="70"/>
      <c r="J415" s="293"/>
      <c r="K415" s="294"/>
      <c r="L415" s="294"/>
      <c r="M415" s="295"/>
      <c r="N415" s="70"/>
      <c r="O415" s="70"/>
      <c r="P415" s="70"/>
      <c r="Q415" s="296"/>
      <c r="R415" s="70"/>
      <c r="S415" s="297"/>
      <c r="T415" s="297"/>
      <c r="U415" s="297"/>
      <c r="V415" s="297"/>
      <c r="W415" s="297"/>
      <c r="X415" s="297"/>
      <c r="Y415" s="297"/>
      <c r="Z415" s="297"/>
      <c r="AA415" s="297"/>
      <c r="AB415" s="297"/>
      <c r="AC415" s="297"/>
      <c r="AD415" s="297"/>
      <c r="AE415" s="297"/>
      <c r="AF415" s="297"/>
      <c r="AG415" s="297"/>
      <c r="AH415" s="297"/>
      <c r="AI415" s="297"/>
      <c r="AJ415" s="297"/>
      <c r="AK415" s="297"/>
    </row>
    <row r="416" spans="1:37" s="299" customFormat="1" ht="15.75" x14ac:dyDescent="0.25">
      <c r="A416" s="70"/>
      <c r="B416" s="70"/>
      <c r="C416" s="290"/>
      <c r="D416" s="291"/>
      <c r="E416" s="70"/>
      <c r="F416" s="301"/>
      <c r="G416" s="292"/>
      <c r="H416" s="292"/>
      <c r="I416" s="70"/>
      <c r="J416" s="293"/>
      <c r="K416" s="294"/>
      <c r="L416" s="294"/>
      <c r="M416" s="295"/>
      <c r="N416" s="70"/>
      <c r="O416" s="70"/>
      <c r="P416" s="70"/>
      <c r="Q416" s="296"/>
      <c r="R416" s="70"/>
      <c r="S416" s="297"/>
      <c r="T416" s="297"/>
      <c r="U416" s="297"/>
      <c r="V416" s="297"/>
      <c r="W416" s="297"/>
      <c r="X416" s="297"/>
      <c r="Y416" s="297"/>
      <c r="Z416" s="297"/>
      <c r="AA416" s="297"/>
      <c r="AB416" s="297"/>
      <c r="AC416" s="297"/>
      <c r="AD416" s="297"/>
      <c r="AE416" s="297"/>
      <c r="AF416" s="297"/>
      <c r="AG416" s="297"/>
      <c r="AH416" s="297"/>
      <c r="AI416" s="297"/>
      <c r="AJ416" s="297"/>
      <c r="AK416" s="297"/>
    </row>
    <row r="417" spans="1:37" s="299" customFormat="1" ht="15.75" x14ac:dyDescent="0.25">
      <c r="A417" s="70"/>
      <c r="B417" s="70"/>
      <c r="C417" s="302"/>
      <c r="D417" s="291"/>
      <c r="E417" s="70"/>
      <c r="F417" s="300"/>
      <c r="G417" s="292"/>
      <c r="H417" s="292"/>
      <c r="I417" s="70"/>
      <c r="J417" s="293"/>
      <c r="K417" s="70"/>
      <c r="L417" s="294"/>
      <c r="M417" s="295"/>
      <c r="N417" s="70"/>
      <c r="O417" s="70"/>
      <c r="P417" s="70"/>
      <c r="Q417" s="296"/>
      <c r="R417" s="70"/>
      <c r="S417" s="297"/>
      <c r="T417" s="297"/>
      <c r="U417" s="297"/>
      <c r="V417" s="297"/>
      <c r="W417" s="297"/>
      <c r="X417" s="297"/>
      <c r="Y417" s="297"/>
      <c r="Z417" s="297"/>
      <c r="AA417" s="297"/>
      <c r="AB417" s="297"/>
      <c r="AC417" s="297"/>
      <c r="AD417" s="297"/>
      <c r="AE417" s="297"/>
      <c r="AF417" s="297"/>
      <c r="AG417" s="297"/>
      <c r="AH417" s="297"/>
      <c r="AI417" s="297"/>
      <c r="AJ417" s="297"/>
      <c r="AK417" s="297"/>
    </row>
    <row r="418" spans="1:37" s="299" customFormat="1" ht="15.75" x14ac:dyDescent="0.25">
      <c r="A418" s="70"/>
      <c r="B418" s="70"/>
      <c r="C418" s="290"/>
      <c r="D418" s="291"/>
      <c r="E418" s="70"/>
      <c r="F418" s="300"/>
      <c r="G418" s="292"/>
      <c r="H418" s="292"/>
      <c r="I418" s="70"/>
      <c r="J418" s="293"/>
      <c r="K418" s="294"/>
      <c r="L418" s="294"/>
      <c r="M418" s="295"/>
      <c r="N418" s="70"/>
      <c r="O418" s="70"/>
      <c r="P418" s="70"/>
      <c r="Q418" s="296"/>
      <c r="R418" s="70"/>
      <c r="S418" s="297"/>
      <c r="T418" s="297"/>
      <c r="U418" s="297"/>
      <c r="V418" s="297"/>
      <c r="W418" s="297"/>
      <c r="X418" s="297"/>
      <c r="Y418" s="297"/>
      <c r="Z418" s="297"/>
      <c r="AA418" s="297"/>
      <c r="AB418" s="297"/>
      <c r="AC418" s="297"/>
      <c r="AD418" s="297"/>
      <c r="AE418" s="297"/>
      <c r="AF418" s="297"/>
      <c r="AG418" s="297"/>
      <c r="AH418" s="297"/>
      <c r="AI418" s="297"/>
      <c r="AJ418" s="297"/>
      <c r="AK418" s="297"/>
    </row>
    <row r="419" spans="1:37" s="299" customFormat="1" ht="15.75" x14ac:dyDescent="0.25">
      <c r="A419" s="70"/>
      <c r="B419" s="70"/>
      <c r="C419" s="290"/>
      <c r="D419" s="291"/>
      <c r="E419" s="70"/>
      <c r="F419" s="300"/>
      <c r="G419" s="292"/>
      <c r="H419" s="292"/>
      <c r="I419" s="70"/>
      <c r="J419" s="293"/>
      <c r="K419" s="294"/>
      <c r="L419" s="294"/>
      <c r="M419" s="295"/>
      <c r="N419" s="70"/>
      <c r="O419" s="70"/>
      <c r="P419" s="70"/>
      <c r="Q419" s="296"/>
      <c r="R419" s="70"/>
      <c r="S419" s="297"/>
      <c r="T419" s="297"/>
      <c r="U419" s="297"/>
      <c r="V419" s="297"/>
      <c r="W419" s="297"/>
      <c r="X419" s="297"/>
      <c r="Y419" s="297"/>
      <c r="Z419" s="297"/>
      <c r="AA419" s="297"/>
      <c r="AB419" s="297"/>
      <c r="AC419" s="297"/>
      <c r="AD419" s="297"/>
      <c r="AE419" s="297"/>
      <c r="AF419" s="297"/>
      <c r="AG419" s="297"/>
      <c r="AH419" s="297"/>
      <c r="AI419" s="297"/>
      <c r="AJ419" s="297"/>
      <c r="AK419" s="297"/>
    </row>
    <row r="420" spans="1:37" s="299" customFormat="1" ht="15.75" x14ac:dyDescent="0.25">
      <c r="A420" s="70"/>
      <c r="B420" s="70"/>
      <c r="C420" s="290"/>
      <c r="D420" s="291"/>
      <c r="E420" s="70"/>
      <c r="F420" s="292"/>
      <c r="G420" s="292"/>
      <c r="H420" s="292"/>
      <c r="I420" s="70"/>
      <c r="J420" s="293"/>
      <c r="K420" s="294"/>
      <c r="L420" s="294"/>
      <c r="M420" s="295"/>
      <c r="N420" s="70"/>
      <c r="O420" s="70"/>
      <c r="P420" s="70"/>
      <c r="Q420" s="296"/>
      <c r="R420" s="70"/>
      <c r="S420" s="297"/>
      <c r="T420" s="297"/>
      <c r="U420" s="297"/>
      <c r="V420" s="297"/>
      <c r="W420" s="297"/>
      <c r="X420" s="297"/>
      <c r="Y420" s="297"/>
      <c r="Z420" s="297"/>
      <c r="AA420" s="297"/>
      <c r="AB420" s="297"/>
      <c r="AC420" s="297"/>
      <c r="AD420" s="297"/>
      <c r="AE420" s="297"/>
      <c r="AF420" s="297"/>
      <c r="AG420" s="297"/>
      <c r="AH420" s="297"/>
      <c r="AI420" s="297"/>
      <c r="AJ420" s="297"/>
      <c r="AK420" s="297"/>
    </row>
    <row r="421" spans="1:37" s="299" customFormat="1" ht="15.75" x14ac:dyDescent="0.25">
      <c r="A421" s="70"/>
      <c r="B421" s="70"/>
      <c r="C421" s="290"/>
      <c r="D421" s="291"/>
      <c r="E421" s="70"/>
      <c r="F421" s="292"/>
      <c r="G421" s="292"/>
      <c r="H421" s="292"/>
      <c r="I421" s="70"/>
      <c r="J421" s="293"/>
      <c r="K421" s="294"/>
      <c r="L421" s="294"/>
      <c r="M421" s="295"/>
      <c r="N421" s="70"/>
      <c r="O421" s="70"/>
      <c r="P421" s="70"/>
      <c r="Q421" s="296"/>
      <c r="R421" s="70"/>
      <c r="S421" s="297"/>
      <c r="T421" s="297"/>
      <c r="U421" s="297"/>
      <c r="V421" s="297"/>
      <c r="W421" s="297"/>
      <c r="X421" s="297"/>
      <c r="Y421" s="297"/>
      <c r="Z421" s="297"/>
      <c r="AA421" s="297"/>
      <c r="AB421" s="297"/>
      <c r="AC421" s="297"/>
      <c r="AD421" s="297"/>
      <c r="AE421" s="297"/>
      <c r="AF421" s="297"/>
      <c r="AG421" s="297"/>
      <c r="AH421" s="297"/>
      <c r="AI421" s="297"/>
      <c r="AJ421" s="297"/>
      <c r="AK421" s="297"/>
    </row>
    <row r="422" spans="1:37" s="299" customFormat="1" ht="15.75" x14ac:dyDescent="0.25">
      <c r="A422" s="70"/>
      <c r="B422" s="70"/>
      <c r="C422" s="290"/>
      <c r="D422" s="291"/>
      <c r="E422" s="70"/>
      <c r="F422" s="292"/>
      <c r="G422" s="292"/>
      <c r="H422" s="292"/>
      <c r="I422" s="70"/>
      <c r="J422" s="293"/>
      <c r="K422" s="294"/>
      <c r="L422" s="294"/>
      <c r="M422" s="295"/>
      <c r="N422" s="70"/>
      <c r="O422" s="70"/>
      <c r="P422" s="70"/>
      <c r="Q422" s="296"/>
      <c r="R422" s="70"/>
      <c r="S422" s="297"/>
      <c r="T422" s="297"/>
      <c r="U422" s="297"/>
      <c r="V422" s="297"/>
      <c r="W422" s="297"/>
      <c r="X422" s="297"/>
      <c r="Y422" s="297"/>
      <c r="Z422" s="297"/>
      <c r="AA422" s="297"/>
      <c r="AB422" s="297"/>
      <c r="AC422" s="297"/>
      <c r="AD422" s="297"/>
      <c r="AE422" s="297"/>
      <c r="AF422" s="297"/>
      <c r="AG422" s="297"/>
      <c r="AH422" s="297"/>
      <c r="AI422" s="297"/>
      <c r="AJ422" s="297"/>
      <c r="AK422" s="297"/>
    </row>
    <row r="423" spans="1:37" s="299" customFormat="1" ht="15.75" x14ac:dyDescent="0.25">
      <c r="A423" s="70"/>
      <c r="B423" s="70"/>
      <c r="C423" s="290"/>
      <c r="D423" s="291"/>
      <c r="E423" s="70"/>
      <c r="F423" s="292"/>
      <c r="G423" s="292"/>
      <c r="H423" s="292"/>
      <c r="I423" s="70"/>
      <c r="J423" s="293"/>
      <c r="K423" s="294"/>
      <c r="L423" s="294"/>
      <c r="M423" s="295"/>
      <c r="N423" s="70"/>
      <c r="O423" s="70"/>
      <c r="P423" s="70"/>
      <c r="Q423" s="296"/>
      <c r="R423" s="70"/>
      <c r="S423" s="297"/>
      <c r="T423" s="297"/>
      <c r="U423" s="297"/>
      <c r="V423" s="297"/>
      <c r="W423" s="297"/>
      <c r="X423" s="297"/>
      <c r="Y423" s="297"/>
      <c r="Z423" s="297"/>
      <c r="AA423" s="297"/>
      <c r="AB423" s="297"/>
      <c r="AC423" s="297"/>
      <c r="AD423" s="297"/>
      <c r="AE423" s="297"/>
      <c r="AF423" s="297"/>
      <c r="AG423" s="297"/>
      <c r="AH423" s="297"/>
      <c r="AI423" s="297"/>
      <c r="AJ423" s="297"/>
      <c r="AK423" s="297"/>
    </row>
    <row r="424" spans="1:37" s="299" customFormat="1" ht="15.75" x14ac:dyDescent="0.25">
      <c r="A424" s="70"/>
      <c r="B424" s="70"/>
      <c r="C424" s="290"/>
      <c r="D424" s="291"/>
      <c r="E424" s="70"/>
      <c r="F424" s="292"/>
      <c r="G424" s="292"/>
      <c r="H424" s="292"/>
      <c r="I424" s="70"/>
      <c r="J424" s="293"/>
      <c r="K424" s="294"/>
      <c r="L424" s="294"/>
      <c r="M424" s="295"/>
      <c r="N424" s="70"/>
      <c r="O424" s="70"/>
      <c r="P424" s="70"/>
      <c r="Q424" s="296"/>
      <c r="R424" s="70"/>
      <c r="S424" s="297"/>
      <c r="T424" s="297"/>
      <c r="U424" s="297"/>
      <c r="V424" s="297"/>
      <c r="W424" s="297"/>
      <c r="X424" s="297"/>
      <c r="Y424" s="297"/>
      <c r="Z424" s="297"/>
      <c r="AA424" s="297"/>
      <c r="AB424" s="297"/>
      <c r="AC424" s="297"/>
      <c r="AD424" s="297"/>
      <c r="AE424" s="297"/>
      <c r="AF424" s="297"/>
      <c r="AG424" s="297"/>
      <c r="AH424" s="297"/>
      <c r="AI424" s="297"/>
      <c r="AJ424" s="297"/>
      <c r="AK424" s="297"/>
    </row>
    <row r="425" spans="1:37" s="299" customFormat="1" ht="15.75" x14ac:dyDescent="0.25">
      <c r="A425" s="70"/>
      <c r="B425" s="70"/>
      <c r="C425" s="290"/>
      <c r="D425" s="291"/>
      <c r="E425" s="70"/>
      <c r="F425" s="292"/>
      <c r="G425" s="292"/>
      <c r="H425" s="292"/>
      <c r="I425" s="70"/>
      <c r="J425" s="293"/>
      <c r="K425" s="294"/>
      <c r="L425" s="294"/>
      <c r="M425" s="295"/>
      <c r="N425" s="70"/>
      <c r="O425" s="70"/>
      <c r="P425" s="70"/>
      <c r="Q425" s="296"/>
      <c r="R425" s="70"/>
      <c r="S425" s="297"/>
      <c r="T425" s="297"/>
      <c r="U425" s="297"/>
      <c r="V425" s="297"/>
      <c r="W425" s="297"/>
      <c r="X425" s="297"/>
      <c r="Y425" s="297"/>
      <c r="Z425" s="297"/>
      <c r="AA425" s="297"/>
      <c r="AB425" s="297"/>
      <c r="AC425" s="297"/>
      <c r="AD425" s="297"/>
      <c r="AE425" s="297"/>
      <c r="AF425" s="297"/>
      <c r="AG425" s="297"/>
      <c r="AH425" s="297"/>
      <c r="AI425" s="297"/>
      <c r="AJ425" s="297"/>
      <c r="AK425" s="297"/>
    </row>
    <row r="426" spans="1:37" s="299" customFormat="1" ht="15.75" x14ac:dyDescent="0.25">
      <c r="A426" s="70"/>
      <c r="B426" s="70"/>
      <c r="C426" s="290"/>
      <c r="D426" s="291"/>
      <c r="E426" s="70"/>
      <c r="F426" s="292"/>
      <c r="G426" s="292"/>
      <c r="H426" s="292"/>
      <c r="I426" s="70"/>
      <c r="J426" s="293"/>
      <c r="K426" s="294"/>
      <c r="L426" s="294"/>
      <c r="M426" s="295"/>
      <c r="N426" s="70"/>
      <c r="O426" s="70"/>
      <c r="P426" s="70"/>
      <c r="Q426" s="296"/>
      <c r="R426" s="70"/>
      <c r="S426" s="297"/>
      <c r="T426" s="297"/>
      <c r="U426" s="297"/>
      <c r="V426" s="297"/>
      <c r="W426" s="297"/>
      <c r="X426" s="297"/>
      <c r="Y426" s="297"/>
      <c r="Z426" s="297"/>
      <c r="AA426" s="297"/>
      <c r="AB426" s="297"/>
      <c r="AC426" s="297"/>
      <c r="AD426" s="297"/>
      <c r="AE426" s="297"/>
      <c r="AF426" s="297"/>
      <c r="AG426" s="297"/>
      <c r="AH426" s="297"/>
      <c r="AI426" s="297"/>
      <c r="AJ426" s="297"/>
      <c r="AK426" s="297"/>
    </row>
    <row r="427" spans="1:37" s="299" customFormat="1" ht="15.75" x14ac:dyDescent="0.25">
      <c r="A427" s="70"/>
      <c r="B427" s="70"/>
      <c r="C427" s="290"/>
      <c r="D427" s="291"/>
      <c r="E427" s="70"/>
      <c r="F427" s="292"/>
      <c r="G427" s="292"/>
      <c r="H427" s="292"/>
      <c r="I427" s="70"/>
      <c r="J427" s="293"/>
      <c r="K427" s="294"/>
      <c r="L427" s="294"/>
      <c r="M427" s="295"/>
      <c r="N427" s="70"/>
      <c r="O427" s="70"/>
      <c r="P427" s="70"/>
      <c r="Q427" s="296"/>
      <c r="R427" s="70"/>
      <c r="S427" s="297"/>
      <c r="T427" s="297"/>
      <c r="U427" s="297"/>
      <c r="V427" s="297"/>
      <c r="W427" s="297"/>
      <c r="X427" s="297"/>
      <c r="Y427" s="297"/>
      <c r="Z427" s="297"/>
      <c r="AA427" s="297"/>
      <c r="AB427" s="297"/>
      <c r="AC427" s="297"/>
      <c r="AD427" s="297"/>
      <c r="AE427" s="297"/>
      <c r="AF427" s="297"/>
      <c r="AG427" s="297"/>
      <c r="AH427" s="297"/>
      <c r="AI427" s="297"/>
      <c r="AJ427" s="297"/>
      <c r="AK427" s="297"/>
    </row>
    <row r="428" spans="1:37" s="299" customFormat="1" ht="15.75" x14ac:dyDescent="0.25">
      <c r="A428" s="70"/>
      <c r="B428" s="70"/>
      <c r="C428" s="290"/>
      <c r="D428" s="291"/>
      <c r="E428" s="70"/>
      <c r="F428" s="292"/>
      <c r="G428" s="292"/>
      <c r="H428" s="292"/>
      <c r="I428" s="70"/>
      <c r="J428" s="293"/>
      <c r="K428" s="294"/>
      <c r="L428" s="294"/>
      <c r="M428" s="295"/>
      <c r="N428" s="70"/>
      <c r="O428" s="70"/>
      <c r="P428" s="70"/>
      <c r="Q428" s="296"/>
      <c r="R428" s="70"/>
      <c r="S428" s="297"/>
      <c r="T428" s="297"/>
      <c r="U428" s="297"/>
      <c r="V428" s="297"/>
      <c r="W428" s="297"/>
      <c r="X428" s="297"/>
      <c r="Y428" s="297"/>
      <c r="Z428" s="297"/>
      <c r="AA428" s="297"/>
      <c r="AB428" s="297"/>
      <c r="AC428" s="297"/>
      <c r="AD428" s="297"/>
      <c r="AE428" s="297"/>
      <c r="AF428" s="297"/>
      <c r="AG428" s="297"/>
      <c r="AH428" s="297"/>
      <c r="AI428" s="297"/>
      <c r="AJ428" s="297"/>
      <c r="AK428" s="297"/>
    </row>
    <row r="429" spans="1:37" s="299" customFormat="1" ht="15.75" x14ac:dyDescent="0.25">
      <c r="A429" s="70"/>
      <c r="B429" s="70"/>
      <c r="C429" s="290"/>
      <c r="D429" s="291"/>
      <c r="E429" s="70"/>
      <c r="F429" s="303"/>
      <c r="G429" s="292"/>
      <c r="H429" s="292"/>
      <c r="I429" s="70"/>
      <c r="J429" s="293"/>
      <c r="K429" s="294"/>
      <c r="L429" s="294"/>
      <c r="M429" s="295"/>
      <c r="N429" s="70"/>
      <c r="O429" s="70"/>
      <c r="P429" s="70"/>
      <c r="Q429" s="296"/>
      <c r="R429" s="70"/>
      <c r="S429" s="297"/>
      <c r="T429" s="297"/>
      <c r="U429" s="297"/>
      <c r="V429" s="297"/>
      <c r="W429" s="297"/>
      <c r="X429" s="297"/>
      <c r="Y429" s="297"/>
      <c r="Z429" s="297"/>
      <c r="AA429" s="297"/>
      <c r="AB429" s="297"/>
      <c r="AC429" s="297"/>
      <c r="AD429" s="297"/>
      <c r="AE429" s="297"/>
      <c r="AF429" s="297"/>
      <c r="AG429" s="297"/>
      <c r="AH429" s="297"/>
      <c r="AI429" s="297"/>
      <c r="AJ429" s="297"/>
      <c r="AK429" s="297"/>
    </row>
    <row r="430" spans="1:37" s="299" customFormat="1" ht="15.75" x14ac:dyDescent="0.25">
      <c r="A430" s="70"/>
      <c r="B430" s="70"/>
      <c r="C430" s="290"/>
      <c r="D430" s="291"/>
      <c r="E430" s="70"/>
      <c r="F430" s="303"/>
      <c r="G430" s="292"/>
      <c r="H430" s="292"/>
      <c r="I430" s="70"/>
      <c r="J430" s="293"/>
      <c r="K430" s="294"/>
      <c r="L430" s="294"/>
      <c r="M430" s="295"/>
      <c r="N430" s="70"/>
      <c r="O430" s="70"/>
      <c r="P430" s="70"/>
      <c r="Q430" s="296"/>
      <c r="R430" s="70"/>
      <c r="S430" s="297"/>
      <c r="T430" s="297"/>
      <c r="U430" s="297"/>
      <c r="V430" s="297"/>
      <c r="W430" s="297"/>
      <c r="X430" s="297"/>
      <c r="Y430" s="297"/>
      <c r="Z430" s="297"/>
      <c r="AA430" s="297"/>
      <c r="AB430" s="297"/>
      <c r="AC430" s="297"/>
      <c r="AD430" s="297"/>
      <c r="AE430" s="297"/>
      <c r="AF430" s="297"/>
      <c r="AG430" s="297"/>
      <c r="AH430" s="297"/>
      <c r="AI430" s="297"/>
      <c r="AJ430" s="297"/>
      <c r="AK430" s="297"/>
    </row>
    <row r="431" spans="1:37" s="299" customFormat="1" ht="15.75" x14ac:dyDescent="0.25">
      <c r="A431" s="70"/>
      <c r="B431" s="70"/>
      <c r="C431" s="290"/>
      <c r="D431" s="291"/>
      <c r="E431" s="70"/>
      <c r="F431" s="303"/>
      <c r="G431" s="292"/>
      <c r="H431" s="292"/>
      <c r="I431" s="70"/>
      <c r="J431" s="293"/>
      <c r="K431" s="294"/>
      <c r="L431" s="294"/>
      <c r="M431" s="295"/>
      <c r="N431" s="70"/>
      <c r="O431" s="70"/>
      <c r="P431" s="70"/>
      <c r="Q431" s="296"/>
      <c r="R431" s="70"/>
      <c r="S431" s="297"/>
      <c r="T431" s="297"/>
      <c r="U431" s="297"/>
      <c r="V431" s="297"/>
      <c r="W431" s="297"/>
      <c r="X431" s="297"/>
      <c r="Y431" s="297"/>
      <c r="Z431" s="297"/>
      <c r="AA431" s="297"/>
      <c r="AB431" s="297"/>
      <c r="AC431" s="297"/>
      <c r="AD431" s="297"/>
      <c r="AE431" s="297"/>
      <c r="AF431" s="297"/>
      <c r="AG431" s="297"/>
      <c r="AH431" s="297"/>
      <c r="AI431" s="297"/>
      <c r="AJ431" s="297"/>
      <c r="AK431" s="297"/>
    </row>
    <row r="432" spans="1:37" s="299" customFormat="1" ht="15.75" x14ac:dyDescent="0.25">
      <c r="A432" s="70"/>
      <c r="B432" s="70"/>
      <c r="C432" s="290"/>
      <c r="D432" s="291"/>
      <c r="E432" s="70"/>
      <c r="F432" s="303"/>
      <c r="G432" s="292"/>
      <c r="H432" s="292"/>
      <c r="I432" s="70"/>
      <c r="J432" s="293"/>
      <c r="K432" s="294"/>
      <c r="L432" s="294"/>
      <c r="M432" s="295"/>
      <c r="N432" s="70"/>
      <c r="O432" s="70"/>
      <c r="P432" s="70"/>
      <c r="Q432" s="296"/>
      <c r="R432" s="70"/>
      <c r="S432" s="297"/>
      <c r="T432" s="297"/>
      <c r="U432" s="297"/>
      <c r="V432" s="297"/>
      <c r="W432" s="297"/>
      <c r="X432" s="297"/>
      <c r="Y432" s="297"/>
      <c r="Z432" s="297"/>
      <c r="AA432" s="297"/>
      <c r="AB432" s="297"/>
      <c r="AC432" s="297"/>
      <c r="AD432" s="297"/>
      <c r="AE432" s="297"/>
      <c r="AF432" s="297"/>
      <c r="AG432" s="297"/>
      <c r="AH432" s="297"/>
      <c r="AI432" s="297"/>
      <c r="AJ432" s="297"/>
      <c r="AK432" s="297"/>
    </row>
    <row r="433" spans="1:37" s="299" customFormat="1" ht="15.75" x14ac:dyDescent="0.25">
      <c r="A433" s="70"/>
      <c r="B433" s="70"/>
      <c r="C433" s="290"/>
      <c r="D433" s="291"/>
      <c r="E433" s="70"/>
      <c r="F433" s="303"/>
      <c r="G433" s="292"/>
      <c r="H433" s="292"/>
      <c r="I433" s="70"/>
      <c r="J433" s="293"/>
      <c r="K433" s="294"/>
      <c r="L433" s="294"/>
      <c r="M433" s="295"/>
      <c r="N433" s="70"/>
      <c r="O433" s="70"/>
      <c r="P433" s="70"/>
      <c r="Q433" s="296"/>
      <c r="R433" s="70"/>
      <c r="S433" s="297"/>
      <c r="T433" s="297"/>
      <c r="U433" s="297"/>
      <c r="V433" s="297"/>
      <c r="W433" s="297"/>
      <c r="X433" s="297"/>
      <c r="Y433" s="297"/>
      <c r="Z433" s="297"/>
      <c r="AA433" s="297"/>
      <c r="AB433" s="297"/>
      <c r="AC433" s="297"/>
      <c r="AD433" s="297"/>
      <c r="AE433" s="297"/>
      <c r="AF433" s="297"/>
      <c r="AG433" s="297"/>
      <c r="AH433" s="297"/>
      <c r="AI433" s="297"/>
      <c r="AJ433" s="297"/>
      <c r="AK433" s="297"/>
    </row>
    <row r="434" spans="1:37" s="299" customFormat="1" ht="15.75" x14ac:dyDescent="0.25">
      <c r="A434" s="70"/>
      <c r="B434" s="70"/>
      <c r="C434" s="290"/>
      <c r="D434" s="291"/>
      <c r="E434" s="70"/>
      <c r="F434" s="292"/>
      <c r="G434" s="292"/>
      <c r="H434" s="292"/>
      <c r="I434" s="70"/>
      <c r="J434" s="293"/>
      <c r="K434" s="294"/>
      <c r="L434" s="294"/>
      <c r="M434" s="295"/>
      <c r="N434" s="70"/>
      <c r="O434" s="70"/>
      <c r="P434" s="70"/>
      <c r="Q434" s="296"/>
      <c r="R434" s="70"/>
      <c r="S434" s="297"/>
      <c r="T434" s="297"/>
      <c r="U434" s="297"/>
      <c r="V434" s="297"/>
      <c r="W434" s="297"/>
      <c r="X434" s="297"/>
      <c r="Y434" s="297"/>
      <c r="Z434" s="297"/>
      <c r="AA434" s="297"/>
      <c r="AB434" s="297"/>
      <c r="AC434" s="297"/>
      <c r="AD434" s="297"/>
      <c r="AE434" s="297"/>
      <c r="AF434" s="297"/>
      <c r="AG434" s="297"/>
      <c r="AH434" s="297"/>
      <c r="AI434" s="297"/>
      <c r="AJ434" s="297"/>
      <c r="AK434" s="297"/>
    </row>
    <row r="435" spans="1:37" s="299" customFormat="1" ht="15.75" x14ac:dyDescent="0.25">
      <c r="A435" s="70"/>
      <c r="B435" s="70"/>
      <c r="C435" s="304"/>
      <c r="D435" s="305"/>
      <c r="E435" s="70"/>
      <c r="F435" s="300"/>
      <c r="G435" s="292"/>
      <c r="H435" s="292"/>
      <c r="I435" s="70"/>
      <c r="J435" s="293"/>
      <c r="K435" s="294"/>
      <c r="L435" s="294"/>
      <c r="M435" s="295"/>
      <c r="N435" s="70"/>
      <c r="O435" s="70"/>
      <c r="P435" s="70"/>
      <c r="Q435" s="296"/>
      <c r="R435" s="70"/>
      <c r="S435" s="297"/>
      <c r="T435" s="297"/>
      <c r="U435" s="297"/>
      <c r="V435" s="297"/>
      <c r="W435" s="297"/>
      <c r="X435" s="297"/>
      <c r="Y435" s="297"/>
      <c r="Z435" s="297"/>
      <c r="AA435" s="297"/>
      <c r="AB435" s="297"/>
      <c r="AC435" s="297"/>
      <c r="AD435" s="297"/>
      <c r="AE435" s="297"/>
      <c r="AF435" s="297"/>
      <c r="AG435" s="297"/>
      <c r="AH435" s="297"/>
      <c r="AI435" s="297"/>
      <c r="AJ435" s="297"/>
      <c r="AK435" s="297"/>
    </row>
    <row r="436" spans="1:37" s="299" customFormat="1" ht="15.75" x14ac:dyDescent="0.25">
      <c r="A436" s="70"/>
      <c r="B436" s="70"/>
      <c r="C436" s="304"/>
      <c r="D436" s="70"/>
      <c r="E436" s="70"/>
      <c r="F436" s="300"/>
      <c r="G436" s="292"/>
      <c r="H436" s="292"/>
      <c r="I436" s="70"/>
      <c r="J436" s="293"/>
      <c r="K436" s="294"/>
      <c r="L436" s="294"/>
      <c r="M436" s="295"/>
      <c r="N436" s="70"/>
      <c r="O436" s="70"/>
      <c r="P436" s="70"/>
      <c r="Q436" s="296"/>
      <c r="R436" s="70"/>
      <c r="S436" s="297"/>
      <c r="T436" s="297"/>
      <c r="U436" s="297"/>
      <c r="V436" s="297"/>
      <c r="W436" s="297"/>
      <c r="X436" s="297"/>
      <c r="Y436" s="297"/>
      <c r="Z436" s="297"/>
      <c r="AA436" s="297"/>
      <c r="AB436" s="297"/>
      <c r="AC436" s="297"/>
      <c r="AD436" s="297"/>
      <c r="AE436" s="297"/>
      <c r="AF436" s="297"/>
      <c r="AG436" s="297"/>
      <c r="AH436" s="297"/>
      <c r="AI436" s="297"/>
      <c r="AJ436" s="297"/>
      <c r="AK436" s="297"/>
    </row>
    <row r="437" spans="1:37" s="299" customFormat="1" ht="15.75" x14ac:dyDescent="0.25">
      <c r="A437" s="70"/>
      <c r="B437" s="70"/>
      <c r="C437" s="306"/>
      <c r="D437" s="307"/>
      <c r="E437" s="308"/>
      <c r="F437" s="300"/>
      <c r="G437" s="309"/>
      <c r="H437" s="309"/>
      <c r="I437" s="310"/>
      <c r="J437" s="298"/>
      <c r="K437" s="298"/>
      <c r="L437" s="310"/>
      <c r="M437" s="310"/>
      <c r="N437" s="310"/>
      <c r="O437" s="310"/>
      <c r="P437" s="310"/>
      <c r="Q437" s="310"/>
      <c r="R437" s="310"/>
      <c r="S437" s="311"/>
      <c r="T437" s="311"/>
      <c r="U437" s="311"/>
      <c r="V437" s="311"/>
      <c r="W437" s="311"/>
      <c r="X437" s="311"/>
      <c r="Y437" s="311"/>
      <c r="Z437" s="311"/>
      <c r="AA437" s="311"/>
      <c r="AB437" s="311"/>
      <c r="AC437" s="311"/>
      <c r="AD437" s="311"/>
      <c r="AE437" s="311"/>
      <c r="AF437" s="311"/>
      <c r="AG437" s="311"/>
      <c r="AH437" s="312"/>
      <c r="AI437" s="312"/>
      <c r="AJ437" s="313"/>
      <c r="AK437" s="313"/>
    </row>
    <row r="438" spans="1:37" x14ac:dyDescent="0.25">
      <c r="AJ438" s="135"/>
      <c r="AK438" s="135"/>
    </row>
    <row r="439" spans="1:37" x14ac:dyDescent="0.25">
      <c r="AJ439" s="135"/>
      <c r="AK439" s="135"/>
    </row>
    <row r="440" spans="1:37" x14ac:dyDescent="0.25">
      <c r="AB440" s="61"/>
      <c r="AJ440" s="135"/>
      <c r="AK440" s="135"/>
    </row>
  </sheetData>
  <protectedRanges>
    <protectedRange sqref="I1:I2 AI278:AK278 AF276:AF278 T276:U278 W276:X278 Z277:AA278 AC276:AD278 B8:D12 Z8:AA12 W8:X12 T8:U12 AF8:AF12 B18:D18 T17:U18 W17:X18 Z17:AA18 AC17:AD18 AF17:AF18 B22:D22 X22 AA22 AC22:AD22 G356:L364 C352:D364 AF22 AF352:AF371 T46:U49 W46:X49 T161:U161 T139 W139 Y139:Z139 B150:L150 N85:R86 AF101:AF104 Z161:AA163 AC113:AD115 B121:D127 I107:L108 T152:U153 AF121 X107:X108 AC121:AD121 T155:U159 AF68:AF72 W67:AA67 P123 N139 AC68:AD72 B70:D72 F163:L163 Z90:AA90 W90:X90 W161:X163 U107:U108 B106:D108 AF106:AF108 B73:B75 G107:G108 W113:X115 N313:P348 U113:U115 T106:U106 W106:X106 Z106:AA106 T121:U121 W121:X121 Z121:AA121 B130:D133 AC90:AD90 C135:D135 C138 N90 AL46:XFD49 P90 B139:L139 AC141:AD142 AF141:AF142 T141:U142 W155:X159 B169:D172 W152:X153 W166:AA167 R163 N163:P163 Z306:AA350 AF46:AF49 G46:G49 G276:L277 C276:D278 U280 AL276:XFD278 F278:L278 F280:L280 W280:X292 T281:U292 AF280:AF292 G281:L282 AC280:AD292 Z280:AA289 B25:D28 W26:X28 AC31:AD32 Z26:AA28 AC26:AD28 C292:L292 C285:L285 C280:D284 C286:D291 F286:L291 G293:L293 C293:D293 T293:AG293 AC295:AD297 Z155:AA159 AC152:AD153 X68:AA68 F304 Z301:AA303 W294:X303 T294:U303 AF294:AF303 C301:D303 AC299:AD303 F301:L303 AI295:AK296 N144 B17:C17 B7:C7 E305:L308 N305:P309 F309:L312 C183:D183 AI307:AK307 N310:N312 AL92:XFD94 C179:D179 B110:B112 N113:N115 E313:L316 R317 F317:L318 C307:C335 F40:G40 R305:R314 S61:U61 W62:AA62 X61:AA61 G138:L138 AF139 AC139:AD139 AL138:XFD138 F121:L121 S22:U22 N282:P303 R285:R303 G152 AL152:XFD152 F22:L22 F320:L334 I335:L335 AI319:AK319 AC67:AG67 X168:AA168 L168:L172 AL168:XFD172 F168:J172 B31:D32 J31:L32 N22:Q22 T135:U137 AF136:AF137 AI135 B61:D62 G61:L62 E174:U174 F162:Q162 W84:AA86 AF113:AF115 F124:L127 F90:H90 N168:Q172 F135:L135 N17:N18 AF26:AF28 F13:F14 M62:U62 AF90 N121:Q121 B90:D90 N145:O145 N155:R155 I144:L145 Q144:R145 T305:U350 Z46:AA49 G7:L9 F17:L18 Q17:Q18 AI17:AI18 AL17:XFD18 R320:R326 O349:P350 W370:X371 AF149 AC370:AD371 C149:D149 AL25:XFD32 F25:Q28 G352:L352 H355 G184:L184 G353:H354 R352:R371 G106:L106 B67:D68 S67:U68 AH356:AH357 AC51:AD62 F353:F360 AI360:AK360 G149:L149 B84:D84 F84:L84 C173:D174 B180:D182 E310:E312 C186:D186 F183:L183 F155:L155 F144:G145 F283:L284 C294:L300 E388 C366:D371 W149:X149 T149:U149 AC149:AD149 Z149:AA149 F364:F371 G366:L371 N149:P149 B46:D49 S162:U162 F113:L115 Z113:AA115 B136:L137 AF155:AF163 AC155:AD163 AF305:AF350 W101:X104 R330:R348 F173:U173 F194:F197 A1:H3 AC305:AD350 M61:Q61 M35:Q35 T26:U28 G67:Q68 W169:AA174 F51:R52 F185:R189 M183:R184 F179:R179 J1:XFD3 E343 D365:E365 E319:L319 E335:G335 N84:Q84 F181:R181 F180:Q180 F373:F375 B69:L69 AF148:AG148 N148:AD148 B148:L148 N352:P371 Z352:AA371 AC352:AD368 T352:U371 W352:X368 I353:L355 C160:D160 B187:D189 B155:D156 I156:L156 F156:G156 B51:D55 B63:U63 B64:D64 F64:U64 AC46:AD49 N95:R96 AC106:AD108 AC101:AD104 N101:N103 Q103 P113:Q115 B113:D115 AC117:AD119 AA107:AA108 W305:X350 Z101:AA104 T101:U104 N106:N108 T130:U133 AF130:AF133 W144:X147 AL164:XFD165 AF153 J161:L161 F122:G123 I122:L123 T122 W122 Z122 N122:O123 B161:G161 B152:D153 F153:H153 J152:L153 R152 B144:D147 F166:U167 C166:D168 AC8:AD12 W63:AD63 W64:AA64 AC64:AD64 AC194:AD194 AI282 AL281:XFD282 AI284 AL284:XFD284 AI286:AI290 AL286:XFD290 AI293:AI294 AI300:AK300 AI297:AI299 AI301:AI303 AI305:AI306 AI309:AK309 AI308 AI311:AK312 AI310 AI313:AI318 AI322:AK322 AI320:AI321 AI328:AK328 AI323:AI327 AI329:AI333 AI337:AI338 AH343:AK350 AH358:AI359 AJ356:AK359 AH361:AK371 AI372:AK372 O23:O24 Q23:Q24 B101:D104 F101:L104 N104:Q104 O161 F10:L12 M37:Q37 AC40:AD42 E41:G42 B157:L157 J40:L42 B40:D42 W160:AA160 Z40:AA42 AF40:AF42 W40:X42 G70:L72 T40:U42 G160:U160 F377:F386 B198:D201 AC198:AD201 AF198:AF201 W141:AA142 W198:AA201 N141:R142 F198:U201 N97:Q97 AF204:AF205 C336:D350 B141:D142 F141:L142 AH63:AH64 AF51:AF64 S168:U172 AC166:AD174 AF166:AF174 G204:H205 B204:D205 S204:U205 W204:AA205 AC204:AD205 J204:P205 N150:AD150 AF150:AG150 E182:R182 B162:D162 Z152:AA153 W88:AA88 B85:L86 T90:U90 J90:L90 AC144:AD147 T144:U147 Z144:AA147 AF144:AF147 AL38:XFD38 F47:F49 I46:L49 P46:P49 I74:I75 C163:D163 B184:D185 W92:X98 AF92:AF99 AC92:AD99 Z92:AA99 T92:U99 B92:D99 F92:L97 G98:L99 M69:U72 W69:AA72 G130:L133 N98:R99 T124:U127 Z124:AA127 AC124:AD127 W124:X127 F38 I38 M36:R36 F35:L37 B35:D37 AF35:AF37 AC130:AD137 T134 I134 F131:F134 AL134:XFD135 T35:U38 Z35:AA38 AC35:AD38 W35:X38 AI339:AK342 X99 T176:U189 W176:X189 Z176:AA189 AF176:AF189 AC176:AD189 N176:N178 P176:Q178 B176:L178 B15:D15 Z15:AA15 W15:X15 T15:U15 AF15 AC15:AD15 F15:L15 N124:P127 B56:B60 D56:D60 G53:R55 W51:X60 Z51:AA60 T51:U60 F81:F82 B158:D159 P130:P133 N130:N133 F119 I56:R60 F158:L159 F34 F146:L147 N146:R147 F336:L350 AL356:XFD401 F31:H32 N31:Q32 N135:Q137 W130:AA137 F389:F401 B88:R88 AL87:XFD87 T163:U163 G87:L87 C87:D87 N87:P87 AC84:AD88 Z87:AA87 AF84:AF88 W87:X87 T84:U88 AL293:XFD350 D305:D335 AI334:AK336 AI22:XFD22 AI41:XFD42 AJ106:XFD108 AI115:XFD115 AJ122:XFD127 AI136:XFD137 AJ90:XFD90 AI67:XFD72 AI103:XFD104 AJ280:XFD280 AJ40:XFD40 AI283:XFD283 AI121:XFD121 AI176:XFD189 AI84:XFD86 AI88:XFD88 AI130:XFD133 AI141:XFD142 AI153:XFD153 AI166:XFD167 AI173:XFD174 AI155:XFD163 A4:XFD4 AJ101:XFD102 AI117:XFD119 AJ113:XFD114 AI285:XFD285 AI291:XFD292 AH352:XFD355 AJ149:XFD149 AI8:XFD12 AI150:XFD150 AI205:XFD205 AJ204:XFD204 AI198:XFD201 AI95:XFD99 A405:XFD1048576 AI35:XFD37 AI15:XFD15 AI51:XFD64 AI144:XFD148 A403:XFD403 AI139:XFD139" name="maria" securityDescriptor="O:WDG:WDD:(A;;CC;;;S-1-5-21-3048853270-2157241324-869001692-3245)(A;;CC;;;S-1-5-21-3048853270-2157241324-869001692-1007)"/>
    <protectedRange sqref="Q278 S310 Q282:Q303 Q149 Q352:Q371 Q87 Q163 Q305:Q350" name="maria_1" securityDescriptor="O:WDG:WDD:(A;;CC;;;S-1-5-21-3048853270-2157241324-869001692-3245)(A;;CC;;;S-1-5-21-3048853270-2157241324-869001692-1007)"/>
    <protectedRange sqref="E6 E16 E33 E39 E43:E44 E50:E51 E89 E91 E100 E105 E109:E110 E116:E117 E120 E128:E129 E138 E140 E143 E151 E154 E175 E190:E192 E164:E165 E87 E149 A5:P5 E54 G13:P14 B13:E14 E19:E20 E29:E30 E65:E66 E70:E83 AJ5:XFD5 AJ13:XFD14 A6:A402" name="maria_2" securityDescriptor="O:WDG:WDD:(A;;CC;;;S-1-5-21-3048853270-2157241324-869001692-3245)(A;;CC;;;S-1-5-21-3048853270-2157241324-869001692-1007)"/>
    <protectedRange sqref="Q5:R5 Q13:R14" name="maria_1_2" securityDescriptor="O:WDG:WDD:(A;;CC;;;S-1-5-21-3048853270-2157241324-869001692-3245)(A;;CC;;;S-1-5-21-3048853270-2157241324-869001692-1007)"/>
    <protectedRange sqref="S5:AI5 AH360 AH6:AH12 AB6:AB12 AH205 S13:AI14 AB15 AH15:AH62 AH209:AH342 AH65:AH133 AH135:AH201" name="maria_1_1_1" securityDescriptor="O:WDG:WDD:(A;;CC;;;S-1-5-21-3048853270-2157241324-869001692-3245)(A;;CC;;;S-1-5-21-3048853270-2157241324-869001692-1007)"/>
    <protectedRange sqref="AF6:AF7 T6:U7 W6:X7 Z6:AA7 B6:D6 AC6:AD7 M7 F149 AI149 F6:P6 AI356:AI357 N7:P12 N15:P15 AI6:XFD7" name="maria_3" securityDescriptor="O:WDG:WDD:(A;;CC;;;S-1-5-21-3048853270-2157241324-869001692-3245)(A;;CC;;;S-1-5-21-3048853270-2157241324-869001692-1007)"/>
    <protectedRange sqref="Q6:R7 R149 R45 R84 R111:R112 R180 R270 R327:R329 R350 Q8:Q12 R169:R172 Q15" name="maria_1_3" securityDescriptor="O:WDG:WDD:(A;;CC;;;S-1-5-21-3048853270-2157241324-869001692-3245)(A;;CC;;;S-1-5-21-3048853270-2157241324-869001692-1007)"/>
    <protectedRange sqref="AE22 S6:S12 V6:V12 Y6:Y12 AE6:AE12 AG6:AG12 S15 V15 Y15 AE15 AG15" name="maria_1_1_2" securityDescriptor="O:WDG:WDD:(A;;CC;;;S-1-5-21-3048853270-2157241324-869001692-3245)(A;;CC;;;S-1-5-21-3048853270-2157241324-869001692-1007)"/>
    <protectedRange sqref="AL16:XFD16 AF16 T16:U16 W16:X16 Z16:AD16 B16:D16 AB17:AB18 D7 D17 M17:M18 O17:P18 AJ17:AK18 F7 F16:P16 AL19:XFD19 AF19 T19:U19 W19:X19 Z19:AD19 B19:D19 F19:P19" name="maria_4" securityDescriptor="O:WDG:WDD:(A;;CC;;;S-1-5-21-3048853270-2157241324-869001692-3245)(A;;CC;;;S-1-5-21-3048853270-2157241324-869001692-1007)"/>
    <protectedRange sqref="Q16:R16 R17:R18 Q19:R19 R8:R12 R22:R28 R15 R31:R32" name="maria_1_4" securityDescriptor="O:WDG:WDD:(A;;CC;;;S-1-5-21-3048853270-2157241324-869001692-3245)(A;;CC;;;S-1-5-21-3048853270-2157241324-869001692-1007)"/>
    <protectedRange sqref="AI16 S16:S19 V16:V19 Y16:Y19 AE16:AE19 AG16:AG19 AI19" name="maria_1_1_3" securityDescriptor="O:WDG:WDD:(A;;CC;;;S-1-5-21-3048853270-2157241324-869001692-3245)(A;;CC;;;S-1-5-21-3048853270-2157241324-869001692-1007)"/>
    <protectedRange sqref="AF65:AF66 F20 T65:U66 W65:X66 Z65:AA66 AC65:AD66 AI65:AI66 U21 E18 E8:F9 E52:E53 E67:E68 E84 E93 E181 E184:F184 B65:D66 E156 E64 E152:E153 AL65:XFD66 E101:E104 M8:M12 E198:E201 E141:E142 N21:P21 AC21:AD21 Z21:AA21 W21:X21 B20 B21:L21 AF21 E113:E115 E162 E167:E168 E26:E28 E187:E189 E90 E106:E108 E170:E173 E118 E46:E49 E185 E130:E131 E193:E196 E95:E99 E36 M15 E133:E134 E32 E121:E127 E55:E62 E158:E160 E145:E147 F65:L66 N65:P66 AJ21:XFD21" name="maria_5" securityDescriptor="O:WDG:WDD:(A;;CC;;;S-1-5-21-3048853270-2157241324-869001692-3245)(A;;CC;;;S-1-5-21-3048853270-2157241324-869001692-1007)"/>
    <protectedRange sqref="AE31 AE26:AE28 Q21:R21 AE21 Q65:R66 AE65:AE66" name="maria_1_5" securityDescriptor="O:WDG:WDD:(A;;CC;;;S-1-5-21-3048853270-2157241324-869001692-3245)(A;;CC;;;S-1-5-21-3048853270-2157241324-869001692-1007)"/>
    <protectedRange sqref="C20:D20 G20:H20 S65:S66 V65:V66 Y65:Y66 AB65:AB66 AG65:AG66 AB21:AB22 Y21:Y22 V21:V22 S21:T21 AB31:AB32 AG31:AG32 M21:M24 W22 Z22 J20:AG20 AG26:AG28 AB26:AB28 Y26:Y28 S26:S28 V26:V28 AG21:AG22 M38 M132:M134 M65:M66 T31:T32 W31:W32 Z31:Z32 AI20:XFD20" name="maria_1_1_4" securityDescriptor="O:WDG:WDD:(A;;CC;;;S-1-5-21-3048853270-2157241324-869001692-3245)(A;;CC;;;S-1-5-21-3048853270-2157241324-869001692-1007)"/>
    <protectedRange sqref="AL33:XFD34 B33:D34 I31:I32 AJ25:AK28 I161 I40:I42 B30:D30 F30:P30 F33:P33 G34:P34 M31:M32 AJ31:AK34" name="maria_6" securityDescriptor="O:WDG:WDD:(A;;CC;;;S-1-5-21-3048853270-2157241324-869001692-3245)(A;;CC;;;S-1-5-21-3048853270-2157241324-869001692-1007)"/>
    <protectedRange sqref="Q30:R30 R35 R37 Q33:R34" name="maria_1_6" securityDescriptor="O:WDG:WDD:(A;;CC;;;S-1-5-21-3048853270-2157241324-869001692-3245)(A;;CC;;;S-1-5-21-3048853270-2157241324-869001692-1007)"/>
    <protectedRange sqref="AA31:AA32 AF31:AF32 S25:AG25 S30:AG30 AI21 AI30:AI34 AI25:AI28 Y36:Y38 AB36:AB38 AE36:AE38 V36:V38 S36:S38 AG36:AG38 S33:AG34 X31:Y32 U31:V32 S31:S32 AE32" name="maria_1_1_5" securityDescriptor="O:WDG:WDD:(A;;CC;;;S-1-5-21-3048853270-2157241324-869001692-3245)(A;;CC;;;S-1-5-21-3048853270-2157241324-869001692-1007)"/>
    <protectedRange sqref="AL43:XFD43 B43:D43 F43:P43 O44:O49 M44:M49" name="maria_8" securityDescriptor="O:WDG:WDD:(A;;CC;;;S-1-5-21-3048853270-2157241324-869001692-3245)(A;;CC;;;S-1-5-21-3048853270-2157241324-869001692-1007)"/>
    <protectedRange sqref="Q43:R43" name="maria_1_8" securityDescriptor="O:WDG:WDD:(A;;CC;;;S-1-5-21-3048853270-2157241324-869001692-3245)(A;;CC;;;S-1-5-21-3048853270-2157241324-869001692-1007)"/>
    <protectedRange sqref="S43:U43 W43:AA43 AC43:AG43 AI43 AG149 AG352:AG371 AG204:AG205 AG373:AG387 AG209:AG292 AG44:AG64 AG151:AG160 AG390:AG401 AG120:AG147 AG294:AG350 AG68:AG116 AG29 AG162:AG201" name="maria_1_1_7" securityDescriptor="O:WDG:WDD:(A;;CC;;;S-1-5-21-3048853270-2157241324-869001692-3245)(A;;CC;;;S-1-5-21-3048853270-2157241324-869001692-1007)"/>
    <protectedRange sqref="AF44:AF45 T44:U45 W44:X45 Z44:AA45 AC44:AD45 P44:P45 B44:D45 F44:L45 AI44 AL44:XFD45 H46:H49 N44:N49 AI45:AK49" name="maria_9" securityDescriptor="O:WDG:WDD:(A;;CC;;;S-1-5-21-3048853270-2157241324-869001692-3245)(A;;CC;;;S-1-5-21-3048853270-2157241324-869001692-1007)"/>
    <protectedRange sqref="Q44:R44 Q45:Q49" name="maria_1_9" securityDescriptor="O:WDG:WDD:(A;;CC;;;S-1-5-21-3048853270-2157241324-869001692-3245)(A;;CC;;;S-1-5-21-3048853270-2157241324-869001692-1007)"/>
    <protectedRange sqref="AE63:AE64 S44:S49 Y44:Y49 AE44:AE49" name="maria_1_1_8" securityDescriptor="O:WDG:WDD:(A;;CC;;;S-1-5-21-3048853270-2157241324-869001692-3245)(A;;CC;;;S-1-5-21-3048853270-2157241324-869001692-1007)"/>
    <protectedRange sqref="AI50 AF50 T50:U50 W50:X50 Z50:AA50 B50:D50 AC50:AD50 F50:P50 AL50:XFD50" name="maria_10" securityDescriptor="O:WDG:WDD:(A;;CC;;;S-1-5-21-3048853270-2157241324-869001692-3245)(A;;CC;;;S-1-5-21-3048853270-2157241324-869001692-1007)"/>
    <protectedRange sqref="Q50:R50 R46:R49" name="maria_1_10" securityDescriptor="O:WDG:WDD:(A;;CC;;;S-1-5-21-3048853270-2157241324-869001692-3245)(A;;CC;;;S-1-5-21-3048853270-2157241324-869001692-1007)"/>
    <protectedRange sqref="AE50:AE62 S50:S60 Y50:Y60 AE68:AE72" name="maria_1_1_9" securityDescriptor="O:WDG:WDD:(A;;CC;;;S-1-5-21-3048853270-2157241324-869001692-3245)(A;;CC;;;S-1-5-21-3048853270-2157241324-869001692-1007)"/>
    <protectedRange sqref="AI73:AI75 AF73:AF75 T73:U75 W73:X75 Z73:AA75 C73:D75 AC73:AD75 AL73:XFD75 F73:P73 G74:H75 J74:P75" name="maria_11" securityDescriptor="O:WDG:WDD:(A;;CC;;;S-1-5-21-3048853270-2157241324-869001692-3245)(A;;CC;;;S-1-5-21-3048853270-2157241324-869001692-1007)"/>
    <protectedRange sqref="R61 R67:R68 R106:R108 Q73:R75" name="maria_1_11" securityDescriptor="O:WDG:WDD:(A;;CC;;;S-1-5-21-3048853270-2157241324-869001692-3245)(A;;CC;;;S-1-5-21-3048853270-2157241324-869001692-1007)"/>
    <protectedRange sqref="S73:S82 Y73:Y76 AE73:AE82" name="maria_1_1_10" securityDescriptor="O:WDG:WDD:(A;;CC;;;S-1-5-21-3048853270-2157241324-869001692-3245)(A;;CC;;;S-1-5-21-3048853270-2157241324-869001692-1007)"/>
    <protectedRange sqref="B76:D76 W76:X76 AI76 AC76:AD76 T76:U76 Z76:AA76 AF76 AL76:XFD76 F76:R76 M77:M82" name="maria_12" securityDescriptor="O:WDG:WDD:(A;;CC;;;S-1-5-21-3048853270-2157241324-869001692-3245)(A;;CC;;;S-1-5-21-3048853270-2157241324-869001692-1007)"/>
    <protectedRange sqref="AF77 T77:U77 W77:X77 Z77:AA77 B77:D77 AC77:AD77 N77:P77 F77:L77 AI77:XFD77" name="maria_13" securityDescriptor="O:WDG:WDD:(A;;CC;;;S-1-5-21-3048853270-2157241324-869001692-3245)(A;;CC;;;S-1-5-21-3048853270-2157241324-869001692-1007)"/>
    <protectedRange sqref="Q77:R77" name="maria_1_12" securityDescriptor="O:WDG:WDD:(A;;CC;;;S-1-5-21-3048853270-2157241324-869001692-3245)(A;;CC;;;S-1-5-21-3048853270-2157241324-869001692-1007)"/>
    <protectedRange sqref="Y77" name="maria_1_1_11" securityDescriptor="O:WDG:WDD:(A;;CC;;;S-1-5-21-3048853270-2157241324-869001692-3245)(A;;CC;;;S-1-5-21-3048853270-2157241324-869001692-1007)"/>
    <protectedRange sqref="T78:U82 W78:X82 Z78:AA82 AC78:AD82 F74:F75 AI78 AL78:XFD78 B78:D82 F98:F99 F78:L80 G81:L82 N78:P82 AF78:AF82 F70:F72 AJ82:XFD82 AI79:XFD81" name="maria_14" securityDescriptor="O:WDG:WDD:(A;;CC;;;S-1-5-21-3048853270-2157241324-869001692-3245)(A;;CC;;;S-1-5-21-3048853270-2157241324-869001692-1007)"/>
    <protectedRange sqref="Q78:R82" name="maria_1_13" securityDescriptor="O:WDG:WDD:(A;;CC;;;S-1-5-21-3048853270-2157241324-869001692-3245)(A;;CC;;;S-1-5-21-3048853270-2157241324-869001692-1007)"/>
    <protectedRange sqref="Y78:Y82" name="maria_1_1_12" securityDescriptor="O:WDG:WDD:(A;;CC;;;S-1-5-21-3048853270-2157241324-869001692-3245)(A;;CC;;;S-1-5-21-3048853270-2157241324-869001692-1007)"/>
    <protectedRange sqref="AF83 T83:U83 W83:X83 Z83:AA83 B83:D83 AC83:AD83 F83:P83 AL83:XFD83 M84:M86 AI82:AI83" name="maria_15" securityDescriptor="O:WDG:WDD:(A;;CC;;;S-1-5-21-3048853270-2157241324-869001692-3245)(A;;CC;;;S-1-5-21-3048853270-2157241324-869001692-1007)"/>
    <protectedRange sqref="Q83:R83" name="maria_1_14" securityDescriptor="O:WDG:WDD:(A;;CC;;;S-1-5-21-3048853270-2157241324-869001692-3245)(A;;CC;;;S-1-5-21-3048853270-2157241324-869001692-1007)"/>
    <protectedRange sqref="Y83 AE83:AE86 S83:S86 S88 AE88" name="maria_1_1_13" securityDescriptor="O:WDG:WDD:(A;;CC;;;S-1-5-21-3048853270-2157241324-869001692-3245)(A;;CC;;;S-1-5-21-3048853270-2157241324-869001692-1007)"/>
    <protectedRange sqref="AF89 B89:D89 W89:AA89 AC89:AD89 O90 F89:U89 M90 L143 L190 AL89:XFD89 AI89:AI90 Q90:S90 Y90 I90" name="maria_16" securityDescriptor="O:WDG:WDD:(A;;CC;;;S-1-5-21-3048853270-2157241324-869001692-3245)(A;;CC;;;S-1-5-21-3048853270-2157241324-869001692-1007)"/>
    <protectedRange sqref="AE89:AE90" name="maria_1_15" securityDescriptor="O:WDG:WDD:(A;;CC;;;S-1-5-21-3048853270-2157241324-869001692-3245)(A;;CC;;;S-1-5-21-3048853270-2157241324-869001692-1007)"/>
    <protectedRange sqref="B100:D100 W100:AA100 AC100:AF100 Y101:Y104 O101:S102 AE352:AE371 AI101:AI102 AE390:AE402 O103:P103 F100:U100 L213 AE373:AE387 AE204:AE205 M101:M104 R103:S104 AE101:AE160 AE87 AE294:AE350 AE29 AE209:AE292 AE162:AE201 AI100:XFD100" name="maria_17" securityDescriptor="O:WDG:WDD:(A;;CC;;;S-1-5-21-3048853270-2157241324-869001692-3245)(A;;CC;;;S-1-5-21-3048853270-2157241324-869001692-1007)"/>
    <protectedRange sqref="AL91:XFD91 B91:D91 AJ92:AK94 N94:P94 F91:L91 M91:P93 M94:M99" name="maria_18" securityDescriptor="O:WDG:WDD:(A;;CC;;;S-1-5-21-3048853270-2157241324-869001692-3245)(A;;CC;;;S-1-5-21-3048853270-2157241324-869001692-1007)"/>
    <protectedRange sqref="Q91:R94" name="maria_1_16" securityDescriptor="O:WDG:WDD:(A;;CC;;;S-1-5-21-3048853270-2157241324-869001692-3245)(A;;CC;;;S-1-5-21-3048853270-2157241324-869001692-1007)"/>
    <protectedRange sqref="S91:U91 W91:AA91 AC91:AF91 AI91:AI94 S92:S99 Y92:Y99 AE92:AE99" name="maria_1_1_14" securityDescriptor="O:WDG:WDD:(A;;CC;;;S-1-5-21-3048853270-2157241324-869001692-3245)(A;;CC;;;S-1-5-21-3048853270-2157241324-869001692-1007)"/>
    <protectedRange sqref="AI109 AF109 T109:U109 W109:X109 Z109:AA109 C109:D109 AC109:AD109 O110:P112 F109:P109 AL109:XFD109 O113:O115" name="maria_19" securityDescriptor="O:WDG:WDD:(A;;CC;;;S-1-5-21-3048853270-2157241324-869001692-3245)(A;;CC;;;S-1-5-21-3048853270-2157241324-869001692-1007)"/>
    <protectedRange sqref="Q109:R109" name="maria_1_17" securityDescriptor="O:WDG:WDD:(A;;CC;;;S-1-5-21-3048853270-2157241324-869001692-3245)(A;;CC;;;S-1-5-21-3048853270-2157241324-869001692-1007)"/>
    <protectedRange sqref="S109:S115 T113:T115 Y109:Y115" name="maria_1_1_15" securityDescriptor="O:WDG:WDD:(A;;CC;;;S-1-5-21-3048853270-2157241324-869001692-3245)(A;;CC;;;S-1-5-21-3048853270-2157241324-869001692-1007)"/>
    <protectedRange sqref="AF105 T105:U105 W105:X105 Z105:AA105 B105:D105 AC105:AD105 B109 F105:P105 M106:M108 H107:H108 AI106:AI108 O106:P108 AI105:XFD105" name="maria_20" securityDescriptor="O:WDG:WDD:(A;;CC;;;S-1-5-21-3048853270-2157241324-869001692-3245)(A;;CC;;;S-1-5-21-3048853270-2157241324-869001692-1007)"/>
    <protectedRange sqref="Q105:R105 Q106:Q108" name="maria_1_18" securityDescriptor="O:WDG:WDD:(A;;CC;;;S-1-5-21-3048853270-2157241324-869001692-3245)(A;;CC;;;S-1-5-21-3048853270-2157241324-869001692-1007)"/>
    <protectedRange sqref="Y105:Y108 Z107:Z108 T107:T108 S105:S108" name="maria_1_1_16" securityDescriptor="O:WDG:WDD:(A;;CC;;;S-1-5-21-3048853270-2157241324-869001692-3245)(A;;CC;;;S-1-5-21-3048853270-2157241324-869001692-1007)"/>
    <protectedRange sqref="AL120:XFD120 B120:D120 M121:M123 B135 B138 B140 B128:B129 F120:P120 H122:H123 P122" name="maria_21" securityDescriptor="O:WDG:WDD:(A;;CC;;;S-1-5-21-3048853270-2157241324-869001692-3245)(A;;CC;;;S-1-5-21-3048853270-2157241324-869001692-1007)"/>
    <protectedRange sqref="Q120:R120 Q122:Q127 Q119" name="maria_1_19" securityDescriptor="O:WDG:WDD:(A;;CC;;;S-1-5-21-3048853270-2157241324-869001692-3245)(A;;CC;;;S-1-5-21-3048853270-2157241324-869001692-1007)"/>
    <protectedRange sqref="S120:U120 W120:AA120 AF120 AI120 AC120:AD120 Y121:Y122 X122 S121:S122 U122 AA122 S123:U123 W123:AA123 AC122:AD123 AI122:AI127 S124:S127 Y124:Y127 AF122:AF127" name="maria_1_1_17" securityDescriptor="O:WDG:WDD:(A;;CC;;;S-1-5-21-3048853270-2157241324-869001692-3245)(A;;CC;;;S-1-5-21-3048853270-2157241324-869001692-1007)"/>
    <protectedRange sqref="B116:D116 P116 F116:N116 M124:M127 M117:M119 AJ116:XFD116" name="maria_22" securityDescriptor="O:WDG:WDD:(A;;CC;;;S-1-5-21-3048853270-2157241324-869001692-3245)(A;;CC;;;S-1-5-21-3048853270-2157241324-869001692-1007)"/>
    <protectedRange sqref="Q116:R116" name="maria_1_20" securityDescriptor="O:WDG:WDD:(A;;CC;;;S-1-5-21-3048853270-2157241324-869001692-3245)(A;;CC;;;S-1-5-21-3048853270-2157241324-869001692-1007)"/>
    <protectedRange sqref="S116:U116 W116:AA116 AC116:AD116 AI116 AF116:AF119 S117:S119 Y117:Y119" name="maria_1_1_18" securityDescriptor="O:WDG:WDD:(A;;CC;;;S-1-5-21-3048853270-2157241324-869001692-3245)(A;;CC;;;S-1-5-21-3048853270-2157241324-869001692-1007)"/>
    <protectedRange sqref="AF128:AF129 U128:U129 W128:X129 Z128:AA129 AC128:AD129 F130 C128:D129 F128:P129 AI128:AI129 AL128:XFD129 M130:M131 O130:O133" name="maria_23" securityDescriptor="O:WDG:WDD:(A;;CC;;;S-1-5-21-3048853270-2157241324-869001692-3245)(A;;CC;;;S-1-5-21-3048853270-2157241324-869001692-1007)"/>
    <protectedRange sqref="R38 R134 Q128:R133" name="maria_1_21" securityDescriptor="O:WDG:WDD:(A;;CC;;;S-1-5-21-3048853270-2157241324-869001692-3245)(A;;CC;;;S-1-5-21-3048853270-2157241324-869001692-1007)"/>
    <protectedRange sqref="S128:T129 Y128:Y129 S139 S130:S137" name="maria_1_1_19" securityDescriptor="O:WDG:WDD:(A;;CC;;;S-1-5-21-3048853270-2157241324-869001692-3245)(A;;CC;;;S-1-5-21-3048853270-2157241324-869001692-1007)"/>
    <protectedRange sqref="AF140 T140:U140 W140:X140 Z140:AA140 C140:D140 AC140:AD140 D138 AI138 AF138 T138:U138 W138:X138 Z138:AA138 M138:P138 AC138:AD138 AJ135:AK135 AF135 AA139 M141:M142 F138 F140:P140 O139:P139 U139 X139 M139 M146:M147 M135:M137 AI140:XFD140" name="maria_24" securityDescriptor="O:WDG:WDD:(A;;CC;;;S-1-5-21-3048853270-2157241324-869001692-3245)(A;;CC;;;S-1-5-21-3048853270-2157241324-869001692-1007)"/>
    <protectedRange sqref="Q138:R140 R135:R137" name="maria_1_22" securityDescriptor="O:WDG:WDD:(A;;CC;;;S-1-5-21-3048853270-2157241324-869001692-3245)(A;;CC;;;S-1-5-21-3048853270-2157241324-869001692-1007)"/>
    <protectedRange sqref="Y140 Y138 S138 S140:S142 S146:S147" name="maria_1_1_20" securityDescriptor="O:WDG:WDD:(A;;CC;;;S-1-5-21-3048853270-2157241324-869001692-3245)(A;;CC;;;S-1-5-21-3048853270-2157241324-869001692-1007)"/>
    <protectedRange sqref="AI151 T151:U151 W151:X151 Z151:AA151 B151:D151 AC151:AD151 B154 B160 B173:B175 B179 B186 B183 H152 F152 AF151:AF152 AI152:AK152 F151:P151 F160 M152:P153 B166:B168 AL151:XFD151 I152:I153" name="maria_25" securityDescriptor="O:WDG:WDD:(A;;CC;;;S-1-5-21-3048853270-2157241324-869001692-3245)(A;;CC;;;S-1-5-21-3048853270-2157241324-869001692-1007)"/>
    <protectedRange sqref="Q151:R151 Q152:Q153 R153" name="maria_1_23" securityDescriptor="O:WDG:WDD:(A;;CC;;;S-1-5-21-3048853270-2157241324-869001692-3245)(A;;CC;;;S-1-5-21-3048853270-2157241324-869001692-1007)"/>
    <protectedRange sqref="S151:S153 Y151:Y153" name="maria_1_1_21" securityDescriptor="O:WDG:WDD:(A;;CC;;;S-1-5-21-3048853270-2157241324-869001692-3245)(A;;CC;;;S-1-5-21-3048853270-2157241324-869001692-1007)"/>
    <protectedRange sqref="AF39 T39:U39 W39:X39 Z39:AD39 B39:D39 AB209:AB217 AI39:AI40 AB35 M40:P42 F39:P39 H161 M161:N161 AB64 AL39:XFD39 R39:R42 H40:H42 P161 AB204:AB205 R161:R162 AB88:AB130 AB40:AB62 AB67:AB86 AB151:AB162 AB135:AB147 AB166:AB201" name="maria_26" securityDescriptor="O:WDG:WDD:(A;;CC;;;S-1-5-21-3048853270-2157241324-869001692-3245)(A;;CC;;;S-1-5-21-3048853270-2157241324-869001692-1007)"/>
    <protectedRange sqref="Q161 Q39:Q42" name="maria_1_24" securityDescriptor="O:WDG:WDD:(A;;CC;;;S-1-5-21-3048853270-2157241324-869001692-3245)(A;;CC;;;S-1-5-21-3048853270-2157241324-869001692-1007)"/>
    <protectedRange sqref="W107:W108 W61 S35 V35 AE35 AG35 Y35 W168 W68 V204:V205 S161 AE161 AG161 AG39:AG42 Y161:Y162 AE39:AE42 Y39:Y42 S39:S42 V39:V64 V67:V86 V151:V162 V88:V147 V166:V201" name="maria_1_1_22" securityDescriptor="O:WDG:WDD:(A;;CC;;;S-1-5-21-3048853270-2157241324-869001692-3245)(A;;CC;;;S-1-5-21-3048853270-2157241324-869001692-1007)"/>
    <protectedRange sqref="B190:D190 W190:AA190 AF190 AI190 AC190:AD190 M190:U190 AL190:XFD190 F87 F190:K190 Y191:Y197 M191:M197 S191:S197" name="maria_28" securityDescriptor="O:WDG:WDD:(A;;CC;;;S-1-5-21-3048853270-2157241324-869001692-3245)(A;;CC;;;S-1-5-21-3048853270-2157241324-869001692-1007)"/>
    <protectedRange sqref="AF191:AF197 T191:U197 W191:X197 Z191:AA197 B191:D197 AC191:AD193 F46 F67:F68 AC195:AD197 F191:L193 G194:L197 AI191:AI192 AL191:XFD192 F106:F108 F118 N191:P197 F53:F62 AI193:XFD197" name="maria_29" securityDescriptor="O:WDG:WDD:(A;;CC;;;S-1-5-21-3048853270-2157241324-869001692-3245)(A;;CC;;;S-1-5-21-3048853270-2157241324-869001692-1007)"/>
    <protectedRange sqref="R113:R115 R119 R121:R127 Q191:R197" name="maria_1_25" securityDescriptor="O:WDG:WDD:(A;;CC;;;S-1-5-21-3048853270-2157241324-869001692-3245)(A;;CC;;;S-1-5-21-3048853270-2157241324-869001692-1007)"/>
    <protectedRange sqref="AI175 AF175 T175:U175 W175:X175 Z175:AA175 C175:D175 AI168:AK172 F175:P175 AL175:XFD175 K168:K172 M168:M172 O176:O178 M176:M178" name="maria_30" securityDescriptor="O:WDG:WDD:(A;;CC;;;S-1-5-21-3048853270-2157241324-869001692-3245)(A;;CC;;;S-1-5-21-3048853270-2157241324-869001692-1007)"/>
    <protectedRange sqref="Q175:R175 R168 R176:R178" name="maria_1_26" securityDescriptor="O:WDG:WDD:(A;;CC;;;S-1-5-21-3048853270-2157241324-869001692-3245)(A;;CC;;;S-1-5-21-3048853270-2157241324-869001692-1007)"/>
    <protectedRange sqref="S175:S189 Y175:Y189" name="maria_1_1_24" securityDescriptor="O:WDG:WDD:(A;;CC;;;S-1-5-21-3048853270-2157241324-869001692-3245)(A;;CC;;;S-1-5-21-3048853270-2157241324-869001692-1007)"/>
    <protectedRange sqref="AI154 AF154 T154:U154 W154:X154 Z154:AA154 C154:D154 AC154:AD154 M144:M145 M150 F154:P154 M148 H156 AL154:XFD154 M155:M158 N156:P158 M159:P159" name="maria_31" securityDescriptor="O:WDG:WDD:(A;;CC;;;S-1-5-21-3048853270-2157241324-869001692-3245)(A;;CC;;;S-1-5-21-3048853270-2157241324-869001692-1007)"/>
    <protectedRange sqref="Q154:R154 R97 Q156:R159" name="maria_1_27" securityDescriptor="O:WDG:WDD:(A;;CC;;;S-1-5-21-3048853270-2157241324-869001692-3245)(A;;CC;;;S-1-5-21-3048853270-2157241324-869001692-1007)"/>
    <protectedRange sqref="Y144 S144 S154:S159 Y154:Y159" name="maria_1_1_25" securityDescriptor="O:WDG:WDD:(A;;CC;;;S-1-5-21-3048853270-2157241324-869001692-3245)(A;;CC;;;S-1-5-21-3048853270-2157241324-869001692-1007)"/>
    <protectedRange sqref="B143 F143" name="maria_32" securityDescriptor="O:WDG:WDD:(A;;CC;;;S-1-5-21-3048853270-2157241324-869001692-3245)(A;;CC;;;S-1-5-21-3048853270-2157241324-869001692-1007)"/>
    <protectedRange sqref="C143:D143 G143:H143 W143:AA143 AF143 AI143 AC143:AD143 S145 O144:P144 H144:H145 P145 J143:K143 M143:U143 AL143:XFD143 Y145:Y147" name="maria_1_28" securityDescriptor="O:WDG:WDD:(A;;CC;;;S-1-5-21-3048853270-2157241324-869001692-3245)(A;;CC;;;S-1-5-21-3048853270-2157241324-869001692-1007)"/>
    <protectedRange sqref="C253:H253 C210:H245 C254:I257 J245:L245 T211:U257 W227:X257 Z227:AA257 I210:L212 AF209:AF257 AC209:AD257 W210:AA226 N211:R257 N210:U210 C305:C306 C246:L252 Y149 AB149 M149 B149 S149 V149 J253:L257 B366:B372 B209:AA209 V352:V371 S352:S371 B352:B364 M352:M371 AB352:AB371 Y352:Y371 AL209:XFD209 I214:L244 I213:K213 AI209 Y373:Y387 V373:V387 S373:S387 M373:M387 S389 Y389 U134 S390:AD401 M87 S87 B87 AB87 Y87 V87 S311:S350 B307:B350 AB294:AB350 Y295:Y350 V294:V350 B29 V29 Y29 AB29 S29 M29 B163:B165 V163:V165 Y163:Y165 AB163:AB165 S163:S165 M163:M165 M210:M350 S211:S309 AB218:AB292 Y227:Y292 V210:V292 B210:B303 AB373:AB387 S402 V402 Y402 AB402 AI210:XFD257" name="maria_33" securityDescriptor="O:WDG:WDD:(A;;CC;;;S-1-5-21-3048853270-2157241324-869001692-3245)(A;;CC;;;S-1-5-21-3048853270-2157241324-869001692-1007)"/>
    <protectedRange sqref="AI258 AF258 T258:U258 W258:X258 Z258:AA258 C258:L258 AC258:AD258 N258:P258 E324:E327 AL258:XFD258" name="maria_34" securityDescriptor="O:WDG:WDD:(A;;CC;;;S-1-5-21-3048853270-2157241324-869001692-3245)(A;;CC;;;S-1-5-21-3048853270-2157241324-869001692-1007)"/>
    <protectedRange sqref="Q258:R258" name="maria_1_29" securityDescriptor="O:WDG:WDD:(A;;CC;;;S-1-5-21-3048853270-2157241324-869001692-3245)(A;;CC;;;S-1-5-21-3048853270-2157241324-869001692-1007)"/>
    <protectedRange sqref="F29:L29 N164 R164:R165 AF164:AF165 T164:U165 AI29 W164:X165 Z165:AA165 AC164:AD165 R87 R315:R316 R318:R319 N165:O165 C164:D165 F164:L165 AI164:AI165 AI87 R29 AF29 T29:U29 W29:X29 Z29:AA29 AC29:AD29 N29:P29 C29:D29 AA164" name="maria_35" securityDescriptor="O:WDG:WDD:(A;;CC;;;S-1-5-21-3048853270-2157241324-869001692-3245)(A;;CC;;;S-1-5-21-3048853270-2157241324-869001692-1007)"/>
    <protectedRange sqref="Q164:Q165 Q29" name="maria_1_30" securityDescriptor="O:WDG:WDD:(A;;CC;;;S-1-5-21-3048853270-2157241324-869001692-3245)(A;;CC;;;S-1-5-21-3048853270-2157241324-869001692-1007)"/>
    <protectedRange sqref="Z164" name="maria_1_1_27" securityDescriptor="O:WDG:WDD:(A;;CC;;;S-1-5-21-3048853270-2157241324-869001692-3245)(A;;CC;;;S-1-5-21-3048853270-2157241324-869001692-1007)"/>
    <protectedRange sqref="AF259:AF266 T259:U266 W259:X266 Z259:AA266 AC259:AD266 C259:L266 N259:P266 E270 E275:E277 E281:E282 E284 E286:E290 E293 E301:E303 E309 E317:E318 E320:E323 E349:E350 E353:E360 E328:E334 E186 E183 E179:E180 E169 E155 E144 E135 E111:E112 E94 E45 E40 E31 E17 E7 E92 E364 E344:E347 E366:E371 E166 AI259:AI266 AL259:XFD266 E22:E25 E383:E384 E387:F387 E10:E12 E15 E37:E38 E132 E197 E119 E34:E35 E395:E401 E163 E336:E342" name="maria_36" securityDescriptor="O:WDG:WDD:(A;;CC;;;S-1-5-21-3048853270-2157241324-869001692-3245)(A;;CC;;;S-1-5-21-3048853270-2157241324-869001692-1007)"/>
    <protectedRange sqref="Q259:R266" name="maria_1_31" securityDescriptor="O:WDG:WDD:(A;;CC;;;S-1-5-21-3048853270-2157241324-869001692-3245)(A;;CC;;;S-1-5-21-3048853270-2157241324-869001692-1007)"/>
    <protectedRange sqref="AF267:AF268 T267:U268 W267:X268 Z268 AA267:AA268 C267:L268 AC267:AD268 N267:P268 AF279 T279:U279 W279:X279 AA279 C279:L279 AC279:AD279 E278 E280 N279:P280 AI280 E291 E283 AI268 AL268:XFD268 E385 AI267:XFD267 AI279:XFD279" name="maria_37" securityDescriptor="O:WDG:WDD:(A;;CC;;;S-1-5-21-3048853270-2157241324-869001692-3245)(A;;CC;;;S-1-5-21-3048853270-2157241324-869001692-1007)"/>
    <protectedRange sqref="Q267:R268 Q279:R280" name="maria_1_32" securityDescriptor="O:WDG:WDD:(A;;CC;;;S-1-5-21-3048853270-2157241324-869001692-3245)(A;;CC;;;S-1-5-21-3048853270-2157241324-869001692-1007)"/>
    <protectedRange sqref="Z267 Z279" name="maria_1_1_29" securityDescriptor="O:WDG:WDD:(A;;CC;;;S-1-5-21-3048853270-2157241324-869001692-3245)(A;;CC;;;S-1-5-21-3048853270-2157241324-869001692-1007)"/>
    <protectedRange sqref="AF269:AF270 T269:U270 W269:X270 Z270:AA270 AC269:AD270 C269:L269 N269:P270 C270:D270 F270:L270 AI269:AI270 AL269:XFD270" name="maria_38" securityDescriptor="O:WDG:WDD:(A;;CC;;;S-1-5-21-3048853270-2157241324-869001692-3245)(A;;CC;;;S-1-5-21-3048853270-2157241324-869001692-1007)"/>
    <protectedRange sqref="Q269:R269 Q270" name="maria_1_33" securityDescriptor="O:WDG:WDD:(A;;CC;;;S-1-5-21-3048853270-2157241324-869001692-3245)(A;;CC;;;S-1-5-21-3048853270-2157241324-869001692-1007)"/>
    <protectedRange sqref="H273:I273 G271:I272 AF271:AF273 C271:F273 T271:U273 W271:X273 Z271:AA273 J271:L273 AC271:AD273 N278:P278 N271:P273 AI271:AI272 AL271:XFD272 AI273:XFD273" name="maria_39" securityDescriptor="O:WDG:WDD:(A;;CC;;;S-1-5-21-3048853270-2157241324-869001692-3245)(A;;CC;;;S-1-5-21-3048853270-2157241324-869001692-1007)"/>
    <protectedRange sqref="Q271:R273 R278" name="maria_1_34" securityDescriptor="O:WDG:WDD:(A;;CC;;;S-1-5-21-3048853270-2157241324-869001692-3245)(A;;CC;;;S-1-5-21-3048853270-2157241324-869001692-1007)"/>
    <protectedRange sqref="AF274:AF275 T274:U275 W274:X275 C274:L274 AC274:AD275 Z274:AA276 AI276:AK276 N274:P277 AI281 N281:P281 C275:D275 F275:L275 F276:F277 F281:F282 F293 AI275 AL275:XFD275 AI277 AI274:XFD274" name="maria_40" securityDescriptor="O:WDG:WDD:(A;;CC;;;S-1-5-21-3048853270-2157241324-869001692-3245)(A;;CC;;;S-1-5-21-3048853270-2157241324-869001692-1007)"/>
    <protectedRange sqref="Q274:R277 Q281:R281 R282:R284" name="maria_1_35" securityDescriptor="O:WDG:WDD:(A;;CC;;;S-1-5-21-3048853270-2157241324-869001692-3245)(A;;CC;;;S-1-5-21-3048853270-2157241324-869001692-1007)"/>
    <protectedRange sqref="AF110:AF112 T110:U112 W110:X112 Z110:AA112 AC110:AD112 C110:D112 F110:N112 AI113:AI114 M113:M115 AI110:XFD112" name="maria_42" securityDescriptor="O:WDG:WDD:(A;;CC;;;S-1-5-21-3048853270-2157241324-869001692-3245)(A;;CC;;;S-1-5-21-3048853270-2157241324-869001692-1007)"/>
    <protectedRange sqref="Q110:R110 Q111:Q112" name="maria_1_37" securityDescriptor="O:WDG:WDD:(A;;CC;;;S-1-5-21-3048853270-2157241324-869001692-3245)(A;;CC;;;S-1-5-21-3048853270-2157241324-869001692-1007)"/>
    <protectedRange sqref="T351:U351 W351:X351 AF351 Z351:AA351 AC351:AD351 C351:D351 N351:P351 AH351:AI351 F351:L351 F352 F361:F363 AL351:XFD351" name="maria_7" securityDescriptor="O:WDG:WDD:(A;;CC;;;S-1-5-21-3048853270-2157241324-869001692-3245)(A;;CC;;;S-1-5-21-3048853270-2157241324-869001692-1007)"/>
    <protectedRange sqref="Q351" name="maria_1_7" securityDescriptor="O:WDG:WDD:(A;;CC;;;S-1-5-21-3048853270-2157241324-869001692-3245)(A;;CC;;;S-1-5-21-3048853270-2157241324-869001692-1007)"/>
    <protectedRange sqref="AG351" name="maria_1_1_7_1" securityDescriptor="O:WDG:WDD:(A;;CC;;;S-1-5-21-3048853270-2157241324-869001692-3245)(A;;CC;;;S-1-5-21-3048853270-2157241324-869001692-1007)"/>
    <protectedRange sqref="AE351" name="maria_17_1" securityDescriptor="O:WDG:WDD:(A;;CC;;;S-1-5-21-3048853270-2157241324-869001692-3245)(A;;CC;;;S-1-5-21-3048853270-2157241324-869001692-1007)"/>
    <protectedRange sqref="V351 Y351 AB351 B351 S351 M351" name="maria_33_1" securityDescriptor="O:WDG:WDD:(A;;CC;;;S-1-5-21-3048853270-2157241324-869001692-3245)(A;;CC;;;S-1-5-21-3048853270-2157241324-869001692-1007)"/>
    <protectedRange sqref="E351:E352 E361:E363" name="maria_36_1" securityDescriptor="O:WDG:WDD:(A;;CC;;;S-1-5-21-3048853270-2157241324-869001692-3245)(A;;CC;;;S-1-5-21-3048853270-2157241324-869001692-1007)"/>
    <protectedRange sqref="T388:U388 W388:X388 AF388 Z388:AA388 AC388:AD388 C388:D388 F388:G388 AH388:AK388" name="maria_27" securityDescriptor="O:WDG:WDD:(A;;CC;;;S-1-5-21-3048853270-2157241324-869001692-3245)(A;;CC;;;S-1-5-21-3048853270-2157241324-869001692-1007)"/>
    <protectedRange sqref="AG388:AG389" name="maria_1_1_7_2" securityDescriptor="O:WDG:WDD:(A;;CC;;;S-1-5-21-3048853270-2157241324-869001692-3245)(A;;CC;;;S-1-5-21-3048853270-2157241324-869001692-1007)"/>
    <protectedRange sqref="AE388:AE389" name="maria_17_2" securityDescriptor="O:WDG:WDD:(A;;CC;;;S-1-5-21-3048853270-2157241324-869001692-3245)(A;;CC;;;S-1-5-21-3048853270-2157241324-869001692-1007)"/>
    <protectedRange sqref="Y388 B388 S388 AB388:AB389 V388:V389 M388:M402" name="maria_33_2" securityDescriptor="O:WDG:WDD:(A;;CC;;;S-1-5-21-3048853270-2157241324-869001692-3245)(A;;CC;;;S-1-5-21-3048853270-2157241324-869001692-1007)"/>
    <protectedRange sqref="O388:P388" name="maria_10_1" securityDescriptor="O:WDG:WDD:(A;;CC;;;S-1-5-21-3048853270-2157241324-869001692-3245)(A;;CC;;;S-1-5-21-3048853270-2157241324-869001692-1007)"/>
    <protectedRange sqref="B117:D119 G117:H119" name="maria_41" securityDescriptor="O:WDG:WDD:(A;;CC;;;S-1-5-21-3048853270-2157241324-869001692-3245)(A;;CC;;;S-1-5-21-3048853270-2157241324-869001692-1007)"/>
    <protectedRange sqref="F117" name="maria_22_1" securityDescriptor="O:WDG:WDD:(A;;CC;;;S-1-5-21-3048853270-2157241324-869001692-3245)(A;;CC;;;S-1-5-21-3048853270-2157241324-869001692-1007)"/>
    <protectedRange sqref="J117:J119" name="maria_43" securityDescriptor="O:WDG:WDD:(A;;CC;;;S-1-5-21-3048853270-2157241324-869001692-3245)(A;;CC;;;S-1-5-21-3048853270-2157241324-869001692-1007)"/>
    <protectedRange sqref="I117:I119" name="maria_22_2" securityDescriptor="O:WDG:WDD:(A;;CC;;;S-1-5-21-3048853270-2157241324-869001692-3245)(A;;CC;;;S-1-5-21-3048853270-2157241324-869001692-1007)"/>
    <protectedRange sqref="K117:L119" name="maria_44" securityDescriptor="O:WDG:WDD:(A;;CC;;;S-1-5-21-3048853270-2157241324-869001692-3245)(A;;CC;;;S-1-5-21-3048853270-2157241324-869001692-1007)"/>
    <protectedRange sqref="P117 N117:N119" name="maria_22_3" securityDescriptor="O:WDG:WDD:(A;;CC;;;S-1-5-21-3048853270-2157241324-869001692-3245)(A;;CC;;;S-1-5-21-3048853270-2157241324-869001692-1007)"/>
    <protectedRange sqref="Q117:R118" name="maria_1_20_1" securityDescriptor="O:WDG:WDD:(A;;CC;;;S-1-5-21-3048853270-2157241324-869001692-3245)(A;;CC;;;S-1-5-21-3048853270-2157241324-869001692-1007)"/>
    <protectedRange sqref="T117:U119" name="maria_45" securityDescriptor="O:WDG:WDD:(A;;CC;;;S-1-5-21-3048853270-2157241324-869001692-3245)(A;;CC;;;S-1-5-21-3048853270-2157241324-869001692-1007)"/>
    <protectedRange sqref="W117:X119" name="maria_46" securityDescriptor="O:WDG:WDD:(A;;CC;;;S-1-5-21-3048853270-2157241324-869001692-3245)(A;;CC;;;S-1-5-21-3048853270-2157241324-869001692-1007)"/>
    <protectedRange sqref="Z117:AA119" name="maria_47" securityDescriptor="O:WDG:WDD:(A;;CC;;;S-1-5-21-3048853270-2157241324-869001692-3245)(A;;CC;;;S-1-5-21-3048853270-2157241324-869001692-1007)"/>
    <protectedRange sqref="AG117:AG119" name="maria_1_1_7_3" securityDescriptor="O:WDG:WDD:(A;;CC;;;S-1-5-21-3048853270-2157241324-869001692-3245)(A;;CC;;;S-1-5-21-3048853270-2157241324-869001692-1007)"/>
    <protectedRange sqref="W372:X372 AF372 AC372:AD372 C372:D372 T372:U372 Z372:AA372 F372:L372 AH372 O376:P376 N372:P375 R372:R375 R377:R380 N377:P387 O38:P38 O134:P134 O389:P402" name="maria_48" securityDescriptor="O:WDG:WDD:(A;;CC;;;S-1-5-21-3048853270-2157241324-869001692-3245)(A;;CC;;;S-1-5-21-3048853270-2157241324-869001692-1007)"/>
    <protectedRange sqref="Q372:Q387" name="maria_1_36" securityDescriptor="O:WDG:WDD:(A;;CC;;;S-1-5-21-3048853270-2157241324-869001692-3245)(A;;CC;;;S-1-5-21-3048853270-2157241324-869001692-1007)"/>
    <protectedRange sqref="AG372" name="maria_1_1_7_4" securityDescriptor="O:WDG:WDD:(A;;CC;;;S-1-5-21-3048853270-2157241324-869001692-3245)(A;;CC;;;S-1-5-21-3048853270-2157241324-869001692-1007)"/>
    <protectedRange sqref="AE372" name="maria_17_3" securityDescriptor="O:WDG:WDD:(A;;CC;;;S-1-5-21-3048853270-2157241324-869001692-3245)(A;;CC;;;S-1-5-21-3048853270-2157241324-869001692-1007)"/>
    <protectedRange sqref="Y372 AB372 S372 V372 M372" name="maria_33_3" securityDescriptor="O:WDG:WDD:(A;;CC;;;S-1-5-21-3048853270-2157241324-869001692-3245)(A;;CC;;;S-1-5-21-3048853270-2157241324-869001692-1007)"/>
    <protectedRange sqref="E372" name="maria_36_2" securityDescriptor="O:WDG:WDD:(A;;CC;;;S-1-5-21-3048853270-2157241324-869001692-3245)(A;;CC;;;S-1-5-21-3048853270-2157241324-869001692-1007)"/>
    <protectedRange sqref="E348" name="maria_1_4_1" securityDescriptor="O:WDG:WDD:(A;;CC;;;S-1-5-21-3048853270-2157241324-869001692-3245)(A;;CC;;;S-1-5-21-3048853270-2157241324-869001692-1007)"/>
    <protectedRange sqref="E376" name="maria_1_1" securityDescriptor="O:WDG:WDD:(A;;CC;;;S-1-5-21-3048853270-2157241324-869001692-3245)(A;;CC;;;S-1-5-21-3048853270-2157241324-869001692-1007)"/>
    <protectedRange sqref="F376" name="maria_49" securityDescriptor="O:WDG:WDD:(A;;CC;;;S-1-5-21-3048853270-2157241324-869001692-3245)(A;;CC;;;S-1-5-21-3048853270-2157241324-869001692-1007)"/>
    <protectedRange sqref="N376" name="maria_2_1" securityDescriptor="O:WDG:WDD:(A;;CC;;;S-1-5-21-3048853270-2157241324-869001692-3245)(A;;CC;;;S-1-5-21-3048853270-2157241324-869001692-1007)"/>
    <protectedRange sqref="R376 R381:R387" name="maria_3_1" securityDescriptor="O:WDG:WDD:(A;;CC;;;S-1-5-21-3048853270-2157241324-869001692-3245)(A;;CC;;;S-1-5-21-3048853270-2157241324-869001692-1007)"/>
    <protectedRange sqref="AJ258:AK258" name="maria_34_2" securityDescriptor="O:WDG:WDD:(A;;CC;;;S-1-5-21-3048853270-2157241324-869001692-3245)(A;;CC;;;S-1-5-21-3048853270-2157241324-869001692-1007)"/>
    <protectedRange sqref="AJ259:AK259" name="maria_36_4" securityDescriptor="O:WDG:WDD:(A;;CC;;;S-1-5-21-3048853270-2157241324-869001692-3245)(A;;CC;;;S-1-5-21-3048853270-2157241324-869001692-1007)"/>
    <protectedRange sqref="AJ260:AK260" name="maria_36_6" securityDescriptor="O:WDG:WDD:(A;;CC;;;S-1-5-21-3048853270-2157241324-869001692-3245)(A;;CC;;;S-1-5-21-3048853270-2157241324-869001692-1007)"/>
    <protectedRange sqref="AJ261:AK261" name="maria_36_7" securityDescriptor="O:WDG:WDD:(A;;CC;;;S-1-5-21-3048853270-2157241324-869001692-3245)(A;;CC;;;S-1-5-21-3048853270-2157241324-869001692-1007)"/>
    <protectedRange sqref="AJ262:AK262" name="maria_36_8" securityDescriptor="O:WDG:WDD:(A;;CC;;;S-1-5-21-3048853270-2157241324-869001692-3245)(A;;CC;;;S-1-5-21-3048853270-2157241324-869001692-1007)"/>
    <protectedRange sqref="AJ263:AK263" name="maria_36_9" securityDescriptor="O:WDG:WDD:(A;;CC;;;S-1-5-21-3048853270-2157241324-869001692-3245)(A;;CC;;;S-1-5-21-3048853270-2157241324-869001692-1007)"/>
    <protectedRange sqref="AJ264:AK264" name="maria_36_10" securityDescriptor="O:WDG:WDD:(A;;CC;;;S-1-5-21-3048853270-2157241324-869001692-3245)(A;;CC;;;S-1-5-21-3048853270-2157241324-869001692-1007)"/>
    <protectedRange sqref="AJ265:AK265" name="maria_36_12" securityDescriptor="O:WDG:WDD:(A;;CC;;;S-1-5-21-3048853270-2157241324-869001692-3245)(A;;CC;;;S-1-5-21-3048853270-2157241324-869001692-1007)"/>
    <protectedRange sqref="AJ266:AK266" name="maria_36_14" securityDescriptor="O:WDG:WDD:(A;;CC;;;S-1-5-21-3048853270-2157241324-869001692-3245)(A;;CC;;;S-1-5-21-3048853270-2157241324-869001692-1007)"/>
    <protectedRange sqref="AJ268:AK268" name="maria_37_1" securityDescriptor="O:WDG:WDD:(A;;CC;;;S-1-5-21-3048853270-2157241324-869001692-3245)(A;;CC;;;S-1-5-21-3048853270-2157241324-869001692-1007)"/>
    <protectedRange sqref="AJ269:AK269" name="maria_38_1" securityDescriptor="O:WDG:WDD:(A;;CC;;;S-1-5-21-3048853270-2157241324-869001692-3245)(A;;CC;;;S-1-5-21-3048853270-2157241324-869001692-1007)"/>
    <protectedRange sqref="AJ270:AK270" name="maria_38_3" securityDescriptor="O:WDG:WDD:(A;;CC;;;S-1-5-21-3048853270-2157241324-869001692-3245)(A;;CC;;;S-1-5-21-3048853270-2157241324-869001692-1007)"/>
    <protectedRange sqref="AJ271:AK271" name="maria_39_2" securityDescriptor="O:WDG:WDD:(A;;CC;;;S-1-5-21-3048853270-2157241324-869001692-3245)(A;;CC;;;S-1-5-21-3048853270-2157241324-869001692-1007)"/>
    <protectedRange sqref="AJ272:AK272" name="maria_39_3" securityDescriptor="O:WDG:WDD:(A;;CC;;;S-1-5-21-3048853270-2157241324-869001692-3245)(A;;CC;;;S-1-5-21-3048853270-2157241324-869001692-1007)"/>
    <protectedRange sqref="AJ275:AK275" name="maria_40_1" securityDescriptor="O:WDG:WDD:(A;;CC;;;S-1-5-21-3048853270-2157241324-869001692-3245)(A;;CC;;;S-1-5-21-3048853270-2157241324-869001692-1007)"/>
    <protectedRange sqref="AJ277:AK277" name="maria_40_2" securityDescriptor="O:WDG:WDD:(A;;CC;;;S-1-5-21-3048853270-2157241324-869001692-3245)(A;;CC;;;S-1-5-21-3048853270-2157241324-869001692-1007)"/>
    <protectedRange sqref="AJ281:AK281" name="maria_40_4" securityDescriptor="O:WDG:WDD:(A;;CC;;;S-1-5-21-3048853270-2157241324-869001692-3245)(A;;CC;;;S-1-5-21-3048853270-2157241324-869001692-1007)"/>
    <protectedRange sqref="AJ282:AK282" name="maria_50" securityDescriptor="O:WDG:WDD:(A;;CC;;;S-1-5-21-3048853270-2157241324-869001692-3245)(A;;CC;;;S-1-5-21-3048853270-2157241324-869001692-1007)"/>
    <protectedRange sqref="AJ284:AK284" name="maria_51" securityDescriptor="O:WDG:WDD:(A;;CC;;;S-1-5-21-3048853270-2157241324-869001692-3245)(A;;CC;;;S-1-5-21-3048853270-2157241324-869001692-1007)"/>
    <protectedRange sqref="AJ286:AK286" name="maria_52" securityDescriptor="O:WDG:WDD:(A;;CC;;;S-1-5-21-3048853270-2157241324-869001692-3245)(A;;CC;;;S-1-5-21-3048853270-2157241324-869001692-1007)"/>
    <protectedRange sqref="AJ287:AK287" name="maria_53" securityDescriptor="O:WDG:WDD:(A;;CC;;;S-1-5-21-3048853270-2157241324-869001692-3245)(A;;CC;;;S-1-5-21-3048853270-2157241324-869001692-1007)"/>
    <protectedRange sqref="AJ288:AK288" name="maria_54" securityDescriptor="O:WDG:WDD:(A;;CC;;;S-1-5-21-3048853270-2157241324-869001692-3245)(A;;CC;;;S-1-5-21-3048853270-2157241324-869001692-1007)"/>
    <protectedRange sqref="AJ289:AK289" name="maria_55" securityDescriptor="O:WDG:WDD:(A;;CC;;;S-1-5-21-3048853270-2157241324-869001692-3245)(A;;CC;;;S-1-5-21-3048853270-2157241324-869001692-1007)"/>
    <protectedRange sqref="AJ290:AK290" name="maria_57" securityDescriptor="O:WDG:WDD:(A;;CC;;;S-1-5-21-3048853270-2157241324-869001692-3245)(A;;CC;;;S-1-5-21-3048853270-2157241324-869001692-1007)"/>
    <protectedRange sqref="AJ293:AK293" name="maria_58" securityDescriptor="O:WDG:WDD:(A;;CC;;;S-1-5-21-3048853270-2157241324-869001692-3245)(A;;CC;;;S-1-5-21-3048853270-2157241324-869001692-1007)"/>
    <protectedRange sqref="AJ294:AK294" name="maria_60" securityDescriptor="O:WDG:WDD:(A;;CC;;;S-1-5-21-3048853270-2157241324-869001692-3245)(A;;CC;;;S-1-5-21-3048853270-2157241324-869001692-1007)"/>
    <protectedRange sqref="AJ297:AK297" name="maria_62" securityDescriptor="O:WDG:WDD:(A;;CC;;;S-1-5-21-3048853270-2157241324-869001692-3245)(A;;CC;;;S-1-5-21-3048853270-2157241324-869001692-1007)"/>
    <protectedRange sqref="AJ298:AK298" name="maria_64" securityDescriptor="O:WDG:WDD:(A;;CC;;;S-1-5-21-3048853270-2157241324-869001692-3245)(A;;CC;;;S-1-5-21-3048853270-2157241324-869001692-1007)"/>
    <protectedRange sqref="AJ299:AK299" name="maria_65" securityDescriptor="O:WDG:WDD:(A;;CC;;;S-1-5-21-3048853270-2157241324-869001692-3245)(A;;CC;;;S-1-5-21-3048853270-2157241324-869001692-1007)"/>
    <protectedRange sqref="AJ301:AK301" name="maria_66" securityDescriptor="O:WDG:WDD:(A;;CC;;;S-1-5-21-3048853270-2157241324-869001692-3245)(A;;CC;;;S-1-5-21-3048853270-2157241324-869001692-1007)"/>
    <protectedRange sqref="AJ302:AK302" name="maria_68" securityDescriptor="O:WDG:WDD:(A;;CC;;;S-1-5-21-3048853270-2157241324-869001692-3245)(A;;CC;;;S-1-5-21-3048853270-2157241324-869001692-1007)"/>
    <protectedRange sqref="AJ303:AK303" name="maria_69" securityDescriptor="O:WDG:WDD:(A;;CC;;;S-1-5-21-3048853270-2157241324-869001692-3245)(A;;CC;;;S-1-5-21-3048853270-2157241324-869001692-1007)"/>
    <protectedRange sqref="AJ305:AK305" name="maria_70" securityDescriptor="O:WDG:WDD:(A;;CC;;;S-1-5-21-3048853270-2157241324-869001692-3245)(A;;CC;;;S-1-5-21-3048853270-2157241324-869001692-1007)"/>
    <protectedRange sqref="AJ306:AK306" name="maria_71" securityDescriptor="O:WDG:WDD:(A;;CC;;;S-1-5-21-3048853270-2157241324-869001692-3245)(A;;CC;;;S-1-5-21-3048853270-2157241324-869001692-1007)"/>
    <protectedRange sqref="AJ308:AK308" name="maria_72" securityDescriptor="O:WDG:WDD:(A;;CC;;;S-1-5-21-3048853270-2157241324-869001692-3245)(A;;CC;;;S-1-5-21-3048853270-2157241324-869001692-1007)"/>
    <protectedRange sqref="AJ310:AK310" name="maria_74" securityDescriptor="O:WDG:WDD:(A;;CC;;;S-1-5-21-3048853270-2157241324-869001692-3245)(A;;CC;;;S-1-5-21-3048853270-2157241324-869001692-1007)"/>
    <protectedRange sqref="AJ313:AK313" name="maria_76" securityDescriptor="O:WDG:WDD:(A;;CC;;;S-1-5-21-3048853270-2157241324-869001692-3245)(A;;CC;;;S-1-5-21-3048853270-2157241324-869001692-1007)"/>
    <protectedRange sqref="AJ314:AK314" name="maria_77" securityDescriptor="O:WDG:WDD:(A;;CC;;;S-1-5-21-3048853270-2157241324-869001692-3245)(A;;CC;;;S-1-5-21-3048853270-2157241324-869001692-1007)"/>
    <protectedRange sqref="AJ315:AK315" name="maria_78" securityDescriptor="O:WDG:WDD:(A;;CC;;;S-1-5-21-3048853270-2157241324-869001692-3245)(A;;CC;;;S-1-5-21-3048853270-2157241324-869001692-1007)"/>
    <protectedRange sqref="AJ316:AK316" name="maria_79" securityDescriptor="O:WDG:WDD:(A;;CC;;;S-1-5-21-3048853270-2157241324-869001692-3245)(A;;CC;;;S-1-5-21-3048853270-2157241324-869001692-1007)"/>
    <protectedRange sqref="AJ317:AK317" name="maria_80" securityDescriptor="O:WDG:WDD:(A;;CC;;;S-1-5-21-3048853270-2157241324-869001692-3245)(A;;CC;;;S-1-5-21-3048853270-2157241324-869001692-1007)"/>
    <protectedRange sqref="AJ318:AK318" name="maria_81" securityDescriptor="O:WDG:WDD:(A;;CC;;;S-1-5-21-3048853270-2157241324-869001692-3245)(A;;CC;;;S-1-5-21-3048853270-2157241324-869001692-1007)"/>
    <protectedRange sqref="AJ320:AK320" name="maria_82" securityDescriptor="O:WDG:WDD:(A;;CC;;;S-1-5-21-3048853270-2157241324-869001692-3245)(A;;CC;;;S-1-5-21-3048853270-2157241324-869001692-1007)"/>
    <protectedRange sqref="AJ321:AK321" name="maria_83" securityDescriptor="O:WDG:WDD:(A;;CC;;;S-1-5-21-3048853270-2157241324-869001692-3245)(A;;CC;;;S-1-5-21-3048853270-2157241324-869001692-1007)"/>
    <protectedRange sqref="AJ323:AK323" name="maria_84" securityDescriptor="O:WDG:WDD:(A;;CC;;;S-1-5-21-3048853270-2157241324-869001692-3245)(A;;CC;;;S-1-5-21-3048853270-2157241324-869001692-1007)"/>
    <protectedRange sqref="AJ324:AK324" name="maria_85" securityDescriptor="O:WDG:WDD:(A;;CC;;;S-1-5-21-3048853270-2157241324-869001692-3245)(A;;CC;;;S-1-5-21-3048853270-2157241324-869001692-1007)"/>
    <protectedRange sqref="AJ325:AK325" name="maria_87" securityDescriptor="O:WDG:WDD:(A;;CC;;;S-1-5-21-3048853270-2157241324-869001692-3245)(A;;CC;;;S-1-5-21-3048853270-2157241324-869001692-1007)"/>
    <protectedRange sqref="AJ326:AK326" name="maria_88" securityDescriptor="O:WDG:WDD:(A;;CC;;;S-1-5-21-3048853270-2157241324-869001692-3245)(A;;CC;;;S-1-5-21-3048853270-2157241324-869001692-1007)"/>
    <protectedRange sqref="AJ327:AK327" name="maria_89" securityDescriptor="O:WDG:WDD:(A;;CC;;;S-1-5-21-3048853270-2157241324-869001692-3245)(A;;CC;;;S-1-5-21-3048853270-2157241324-869001692-1007)"/>
    <protectedRange sqref="AJ329:AK329" name="maria_91" securityDescriptor="O:WDG:WDD:(A;;CC;;;S-1-5-21-3048853270-2157241324-869001692-3245)(A;;CC;;;S-1-5-21-3048853270-2157241324-869001692-1007)"/>
    <protectedRange sqref="AJ330:AK330" name="maria_92" securityDescriptor="O:WDG:WDD:(A;;CC;;;S-1-5-21-3048853270-2157241324-869001692-3245)(A;;CC;;;S-1-5-21-3048853270-2157241324-869001692-1007)"/>
    <protectedRange sqref="AJ331:AK331" name="maria_93" securityDescriptor="O:WDG:WDD:(A;;CC;;;S-1-5-21-3048853270-2157241324-869001692-3245)(A;;CC;;;S-1-5-21-3048853270-2157241324-869001692-1007)"/>
    <protectedRange sqref="AJ332:AK332" name="maria_95" securityDescriptor="O:WDG:WDD:(A;;CC;;;S-1-5-21-3048853270-2157241324-869001692-3245)(A;;CC;;;S-1-5-21-3048853270-2157241324-869001692-1007)"/>
    <protectedRange sqref="AJ333:AK333" name="maria_96" securityDescriptor="O:WDG:WDD:(A;;CC;;;S-1-5-21-3048853270-2157241324-869001692-3245)(A;;CC;;;S-1-5-21-3048853270-2157241324-869001692-1007)"/>
    <protectedRange sqref="AJ337:AK337" name="maria_98" securityDescriptor="O:WDG:WDD:(A;;CC;;;S-1-5-21-3048853270-2157241324-869001692-3245)(A;;CC;;;S-1-5-21-3048853270-2157241324-869001692-1007)"/>
    <protectedRange sqref="AJ338:AK338" name="maria_99" securityDescriptor="O:WDG:WDD:(A;;CC;;;S-1-5-21-3048853270-2157241324-869001692-3245)(A;;CC;;;S-1-5-21-3048853270-2157241324-869001692-1007)"/>
    <protectedRange sqref="AJ351:AK351" name="maria_7_1" securityDescriptor="O:WDG:WDD:(A;;CC;;;S-1-5-21-3048853270-2157241324-869001692-3245)(A;;CC;;;S-1-5-21-3048853270-2157241324-869001692-1007)"/>
    <protectedRange sqref="AJ50:AK50" name="maria_10_3" securityDescriptor="O:WDG:WDD:(A;;CC;;;S-1-5-21-3048853270-2157241324-869001692-3245)(A;;CC;;;S-1-5-21-3048853270-2157241324-869001692-1007)"/>
    <protectedRange sqref="AJ16:AK16 AJ19:AK19" name="maria_4_2" securityDescriptor="O:WDG:WDD:(A;;CC;;;S-1-5-21-3048853270-2157241324-869001692-3245)(A;;CC;;;S-1-5-21-3048853270-2157241324-869001692-1007)"/>
    <protectedRange sqref="AJ65:AK66" name="maria_5_2" securityDescriptor="O:WDG:WDD:(A;;CC;;;S-1-5-21-3048853270-2157241324-869001692-3245)(A;;CC;;;S-1-5-21-3048853270-2157241324-869001692-1007)"/>
    <protectedRange sqref="AJ30:AK30" name="maria_6_1" securityDescriptor="O:WDG:WDD:(A;;CC;;;S-1-5-21-3048853270-2157241324-869001692-3245)(A;;CC;;;S-1-5-21-3048853270-2157241324-869001692-1007)"/>
    <protectedRange sqref="AJ39:AK39" name="maria_26_1" securityDescriptor="O:WDG:WDD:(A;;CC;;;S-1-5-21-3048853270-2157241324-869001692-3245)(A;;CC;;;S-1-5-21-3048853270-2157241324-869001692-1007)"/>
    <protectedRange sqref="AJ43:AK43" name="maria_8_1" securityDescriptor="O:WDG:WDD:(A;;CC;;;S-1-5-21-3048853270-2157241324-869001692-3245)(A;;CC;;;S-1-5-21-3048853270-2157241324-869001692-1007)"/>
    <protectedRange sqref="AJ44:AK44" name="maria_9_2" securityDescriptor="O:WDG:WDD:(A;;CC;;;S-1-5-21-3048853270-2157241324-869001692-3245)(A;;CC;;;S-1-5-21-3048853270-2157241324-869001692-1007)"/>
    <protectedRange sqref="AJ73:AK75" name="maria_11_1" securityDescriptor="O:WDG:WDD:(A;;CC;;;S-1-5-21-3048853270-2157241324-869001692-3245)(A;;CC;;;S-1-5-21-3048853270-2157241324-869001692-1007)"/>
    <protectedRange sqref="AJ76:AK76" name="maria_12_2" securityDescriptor="O:WDG:WDD:(A;;CC;;;S-1-5-21-3048853270-2157241324-869001692-3245)(A;;CC;;;S-1-5-21-3048853270-2157241324-869001692-1007)"/>
    <protectedRange sqref="AJ78:AK78" name="maria_14_1" securityDescriptor="O:WDG:WDD:(A;;CC;;;S-1-5-21-3048853270-2157241324-869001692-3245)(A;;CC;;;S-1-5-21-3048853270-2157241324-869001692-1007)"/>
    <protectedRange sqref="AJ83:AK83" name="maria_15_1" securityDescriptor="O:WDG:WDD:(A;;CC;;;S-1-5-21-3048853270-2157241324-869001692-3245)(A;;CC;;;S-1-5-21-3048853270-2157241324-869001692-1007)"/>
    <protectedRange sqref="AJ89:AK89" name="maria_16_2" securityDescriptor="O:WDG:WDD:(A;;CC;;;S-1-5-21-3048853270-2157241324-869001692-3245)(A;;CC;;;S-1-5-21-3048853270-2157241324-869001692-1007)"/>
    <protectedRange sqref="AJ91:AK91" name="maria_18_1" securityDescriptor="O:WDG:WDD:(A;;CC;;;S-1-5-21-3048853270-2157241324-869001692-3245)(A;;CC;;;S-1-5-21-3048853270-2157241324-869001692-1007)"/>
    <protectedRange sqref="AJ109:AK109" name="maria_19_2" securityDescriptor="O:WDG:WDD:(A;;CC;;;S-1-5-21-3048853270-2157241324-869001692-3245)(A;;CC;;;S-1-5-21-3048853270-2157241324-869001692-1007)"/>
    <protectedRange sqref="AJ120:AK120" name="maria_21_1" securityDescriptor="O:WDG:WDD:(A;;CC;;;S-1-5-21-3048853270-2157241324-869001692-3245)(A;;CC;;;S-1-5-21-3048853270-2157241324-869001692-1007)"/>
    <protectedRange sqref="AJ128:AK128" name="maria_23_1" securityDescriptor="O:WDG:WDD:(A;;CC;;;S-1-5-21-3048853270-2157241324-869001692-3245)(A;;CC;;;S-1-5-21-3048853270-2157241324-869001692-1007)"/>
    <protectedRange sqref="AJ129:AK129" name="maria_23_3" securityDescriptor="O:WDG:WDD:(A;;CC;;;S-1-5-21-3048853270-2157241324-869001692-3245)(A;;CC;;;S-1-5-21-3048853270-2157241324-869001692-1007)"/>
    <protectedRange sqref="AJ138:AK138" name="maria_24_1" securityDescriptor="O:WDG:WDD:(A;;CC;;;S-1-5-21-3048853270-2157241324-869001692-3245)(A;;CC;;;S-1-5-21-3048853270-2157241324-869001692-1007)"/>
    <protectedRange sqref="AJ143:AK143" name="maria_1_28_1" securityDescriptor="O:WDG:WDD:(A;;CC;;;S-1-5-21-3048853270-2157241324-869001692-3245)(A;;CC;;;S-1-5-21-3048853270-2157241324-869001692-1007)"/>
    <protectedRange sqref="AJ151:AK151" name="maria_25_1" securityDescriptor="O:WDG:WDD:(A;;CC;;;S-1-5-21-3048853270-2157241324-869001692-3245)(A;;CC;;;S-1-5-21-3048853270-2157241324-869001692-1007)"/>
    <protectedRange sqref="AK154" name="maria_31_2" securityDescriptor="O:WDG:WDD:(A;;CC;;;S-1-5-21-3048853270-2157241324-869001692-3245)(A;;CC;;;S-1-5-21-3048853270-2157241324-869001692-1007)"/>
    <protectedRange sqref="AJ175:AK175" name="maria_30_1" securityDescriptor="O:WDG:WDD:(A;;CC;;;S-1-5-21-3048853270-2157241324-869001692-3245)(A;;CC;;;S-1-5-21-3048853270-2157241324-869001692-1007)"/>
    <protectedRange sqref="AJ190:AK190" name="maria_28_1" securityDescriptor="O:WDG:WDD:(A;;CC;;;S-1-5-21-3048853270-2157241324-869001692-3245)(A;;CC;;;S-1-5-21-3048853270-2157241324-869001692-1007)"/>
    <protectedRange sqref="AJ191:AK191" name="maria_29_1" securityDescriptor="O:WDG:WDD:(A;;CC;;;S-1-5-21-3048853270-2157241324-869001692-3245)(A;;CC;;;S-1-5-21-3048853270-2157241324-869001692-1007)"/>
    <protectedRange sqref="AJ192:AK192" name="maria_29_2" securityDescriptor="O:WDG:WDD:(A;;CC;;;S-1-5-21-3048853270-2157241324-869001692-3245)(A;;CC;;;S-1-5-21-3048853270-2157241324-869001692-1007)"/>
    <protectedRange sqref="AJ29:AK29" name="maria_35_1" securityDescriptor="O:WDG:WDD:(A;;CC;;;S-1-5-21-3048853270-2157241324-869001692-3245)(A;;CC;;;S-1-5-21-3048853270-2157241324-869001692-1007)"/>
    <protectedRange sqref="AJ164:AK164" name="maria_35_3" securityDescriptor="O:WDG:WDD:(A;;CC;;;S-1-5-21-3048853270-2157241324-869001692-3245)(A;;CC;;;S-1-5-21-3048853270-2157241324-869001692-1007)"/>
    <protectedRange sqref="AJ165:AK165" name="maria_35_4" securityDescriptor="O:WDG:WDD:(A;;CC;;;S-1-5-21-3048853270-2157241324-869001692-3245)(A;;CC;;;S-1-5-21-3048853270-2157241324-869001692-1007)"/>
    <protectedRange sqref="AJ87:AK87" name="maria_35_5" securityDescriptor="O:WDG:WDD:(A;;CC;;;S-1-5-21-3048853270-2157241324-869001692-3245)(A;;CC;;;S-1-5-21-3048853270-2157241324-869001692-1007)"/>
    <protectedRange sqref="AJ154" name="maria_31_3" securityDescriptor="O:WDG:WDD:(A;;CC;;;S-1-5-21-3048853270-2157241324-869001692-3245)(A;;CC;;;S-1-5-21-3048853270-2157241324-869001692-1007)"/>
    <protectedRange sqref="AJ209:AK209" name="maria_33_4" securityDescriptor="O:WDG:WDD:(A;;CC;;;S-1-5-21-3048853270-2157241324-869001692-3245)(A;;CC;;;S-1-5-21-3048853270-2157241324-869001692-1007)"/>
    <protectedRange sqref="AL202:XFD203 F202:F205 Q202:R205" name="maria_56" securityDescriptor="O:WDG:WDD:(A;;CC;;;S-1-5-21-3048853270-2157241324-869001692-3245)(A;;CC;;;S-1-5-21-3048853270-2157241324-869001692-1007)"/>
    <protectedRange sqref="E202:E205" name="maria_5_1" securityDescriptor="O:WDG:WDD:(A;;CC;;;S-1-5-21-3048853270-2157241324-869001692-3245)(A;;CC;;;S-1-5-21-3048853270-2157241324-869001692-1007)"/>
    <protectedRange sqref="AG202:AG203" name="maria_1_1_7_5" securityDescriptor="O:WDG:WDD:(A;;CC;;;S-1-5-21-3048853270-2157241324-869001692-3245)(A;;CC;;;S-1-5-21-3048853270-2157241324-869001692-1007)"/>
    <protectedRange sqref="AE202:AE203" name="maria_17_4" securityDescriptor="O:WDG:WDD:(A;;CC;;;S-1-5-21-3048853270-2157241324-869001692-3245)(A;;CC;;;S-1-5-21-3048853270-2157241324-869001692-1007)"/>
    <protectedRange sqref="S202:AD203" name="maria_33_5" securityDescriptor="O:WDG:WDD:(A;;CC;;;S-1-5-21-3048853270-2157241324-869001692-3245)(A;;CC;;;S-1-5-21-3048853270-2157241324-869001692-1007)"/>
    <protectedRange sqref="M202:M203" name="maria_33_2_1" securityDescriptor="O:WDG:WDD:(A;;CC;;;S-1-5-21-3048853270-2157241324-869001692-3245)(A;;CC;;;S-1-5-21-3048853270-2157241324-869001692-1007)"/>
    <protectedRange sqref="N202:P203" name="maria_48_1" securityDescriptor="O:WDG:WDD:(A;;CC;;;S-1-5-21-3048853270-2157241324-869001692-3245)(A;;CC;;;S-1-5-21-3048853270-2157241324-869001692-1007)"/>
    <protectedRange sqref="AF206:AF208 G206:H208 B206:D208 S206:U208 W206:AA208 AC206:AD208 J206:P208 AI206:XFD208" name="maria_59" securityDescriptor="O:WDG:WDD:(A;;CC;;;S-1-5-21-3048853270-2157241324-869001692-3245)(A;;CC;;;S-1-5-21-3048853270-2157241324-869001692-1007)"/>
    <protectedRange sqref="AH206:AH208" name="maria_1_1_1_1" securityDescriptor="O:WDG:WDD:(A;;CC;;;S-1-5-21-3048853270-2157241324-869001692-3245)(A;;CC;;;S-1-5-21-3048853270-2157241324-869001692-1007)"/>
    <protectedRange sqref="AG206:AG208" name="maria_1_1_7_6" securityDescriptor="O:WDG:WDD:(A;;CC;;;S-1-5-21-3048853270-2157241324-869001692-3245)(A;;CC;;;S-1-5-21-3048853270-2157241324-869001692-1007)"/>
    <protectedRange sqref="AE206:AE208" name="maria_17_5" securityDescriptor="O:WDG:WDD:(A;;CC;;;S-1-5-21-3048853270-2157241324-869001692-3245)(A;;CC;;;S-1-5-21-3048853270-2157241324-869001692-1007)"/>
    <protectedRange sqref="AB206:AB208" name="maria_26_2" securityDescriptor="O:WDG:WDD:(A;;CC;;;S-1-5-21-3048853270-2157241324-869001692-3245)(A;;CC;;;S-1-5-21-3048853270-2157241324-869001692-1007)"/>
    <protectedRange sqref="V206:V208" name="maria_1_1_22_1" securityDescriptor="O:WDG:WDD:(A;;CC;;;S-1-5-21-3048853270-2157241324-869001692-3245)(A;;CC;;;S-1-5-21-3048853270-2157241324-869001692-1007)"/>
    <protectedRange sqref="F206:F208 Q206:R208" name="maria_56_1" securityDescriptor="O:WDG:WDD:(A;;CC;;;S-1-5-21-3048853270-2157241324-869001692-3245)(A;;CC;;;S-1-5-21-3048853270-2157241324-869001692-1007)"/>
    <protectedRange sqref="E206:E208" name="maria_5_1_1" securityDescriptor="O:WDG:WDD:(A;;CC;;;S-1-5-21-3048853270-2157241324-869001692-3245)(A;;CC;;;S-1-5-21-3048853270-2157241324-869001692-1007)"/>
    <protectedRange sqref="W9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56" name="Aurelian" securityDescriptor="O:WDG:WDD:(A;;CC;;;S-1-5-21-3048853270-2157241324-869001692-3245)"/>
    <protectedRange algorithmName="SHA-512" hashValue="lGxgJO7OrK4RnR9Q5GyLdphtXSoKHWuU/DeqTwJZs4H1lZxtBvfwyidbkva9W10WZdVConxSMgW/uAS6mxdKPg==" saltValue="rUT2GzIQhp6pti72S74yRQ==" spinCount="100000" sqref="C57:C58" name="Aurelian_1" securityDescriptor="O:WDG:WDD:(A;;CC;;;S-1-5-21-3048853270-2157241324-869001692-3245)"/>
    <protectedRange algorithmName="SHA-512" hashValue="lGxgJO7OrK4RnR9Q5GyLdphtXSoKHWuU/DeqTwJZs4H1lZxtBvfwyidbkva9W10WZdVConxSMgW/uAS6mxdKPg==" saltValue="rUT2GzIQhp6pti72S74yRQ==" spinCount="100000" sqref="C59:C60" name="Aurelian_2" securityDescriptor="O:WDG:WDD:(A;;CC;;;S-1-5-21-3048853270-2157241324-869001692-3245)"/>
    <protectedRange algorithmName="SHA-512" hashValue="lGxgJO7OrK4RnR9Q5GyLdphtXSoKHWuU/DeqTwJZs4H1lZxtBvfwyidbkva9W10WZdVConxSMgW/uAS6mxdKPg==" saltValue="rUT2GzIQhp6pti72S74yRQ==" spinCount="100000" sqref="G56" name="Aurelian_3" securityDescriptor="O:WDG:WDD:(A;;CC;;;S-1-5-21-3048853270-2157241324-869001692-3245)"/>
    <protectedRange algorithmName="SHA-512" hashValue="lGxgJO7OrK4RnR9Q5GyLdphtXSoKHWuU/DeqTwJZs4H1lZxtBvfwyidbkva9W10WZdVConxSMgW/uAS6mxdKPg==" saltValue="rUT2GzIQhp6pti72S74yRQ==" spinCount="100000" sqref="G57:G58" name="Aurelian_4" securityDescriptor="O:WDG:WDD:(A;;CC;;;S-1-5-21-3048853270-2157241324-869001692-3245)"/>
    <protectedRange algorithmName="SHA-512" hashValue="lGxgJO7OrK4RnR9Q5GyLdphtXSoKHWuU/DeqTwJZs4H1lZxtBvfwyidbkva9W10WZdVConxSMgW/uAS6mxdKPg==" saltValue="rUT2GzIQhp6pti72S74yRQ==" spinCount="100000" sqref="G59:G60" name="Aurelian_5" securityDescriptor="O:WDG:WDD:(A;;CC;;;S-1-5-21-3048853270-2157241324-869001692-3245)"/>
    <protectedRange algorithmName="SHA-512" hashValue="lGxgJO7OrK4RnR9Q5GyLdphtXSoKHWuU/DeqTwJZs4H1lZxtBvfwyidbkva9W10WZdVConxSMgW/uAS6mxdKPg==" saltValue="rUT2GzIQhp6pti72S74yRQ==" spinCount="100000" sqref="H56" name="Aurelian_6" securityDescriptor="O:WDG:WDD:(A;;CC;;;S-1-5-21-3048853270-2157241324-869001692-3245)"/>
    <protectedRange algorithmName="SHA-512" hashValue="lGxgJO7OrK4RnR9Q5GyLdphtXSoKHWuU/DeqTwJZs4H1lZxtBvfwyidbkva9W10WZdVConxSMgW/uAS6mxdKPg==" saltValue="rUT2GzIQhp6pti72S74yRQ==" spinCount="100000" sqref="H57:H58" name="Aurelian_7" securityDescriptor="O:WDG:WDD:(A;;CC;;;S-1-5-21-3048853270-2157241324-869001692-3245)"/>
    <protectedRange algorithmName="SHA-512" hashValue="lGxgJO7OrK4RnR9Q5GyLdphtXSoKHWuU/DeqTwJZs4H1lZxtBvfwyidbkva9W10WZdVConxSMgW/uAS6mxdKPg==" saltValue="rUT2GzIQhp6pti72S74yRQ==" spinCount="100000" sqref="H59:H60" name="Aurelian_8" securityDescriptor="O:WDG:WDD:(A;;CC;;;S-1-5-21-3048853270-2157241324-869001692-3245)"/>
  </protectedRanges>
  <autoFilter ref="A1:AK403" xr:uid="{3F6A66B2-03B1-4FF9-9148-4FE9A9B3795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sortState ref="A4:AK104">
    <sortCondition descending="1" ref="E5:E44"/>
    <sortCondition ref="C5:C44"/>
  </sortState>
  <customSheetViews>
    <customSheetView guid="{0781B6C2-B440-4971-9809-BD16245A70FD}" scale="85" showPageBreaks="1" fitToPage="1" printArea="1" filter="1" showAutoFilter="1" topLeftCell="X1">
      <selection activeCell="AH311" sqref="AH311"/>
      <pageMargins left="0.70866141732283472" right="0.70866141732283472" top="0.74803149606299213" bottom="0.74803149606299213" header="0.31496062992125984" footer="0.31496062992125984"/>
      <pageSetup paperSize="8" scale="22" fitToHeight="0" orientation="landscape" horizontalDpi="4294967294" verticalDpi="4294967294" r:id="rId1"/>
      <headerFooter>
        <oddHeader>&amp;CLISTA PROIECTELOR CONTRACTATE - PROGRAMUL OPERATIONAl CAPACITATE ADMINISTRATIVĂ</oddHeader>
        <oddFooter>Page &amp;P of &amp;N</oddFooter>
      </headerFooter>
      <autoFilter ref="A1:AL453" xr:uid="{00000000-0000-0000-0000-000000000000}">
        <filterColumn colId="2">
          <filters>
            <filter val="352"/>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xSplit="9" ySplit="6" topLeftCell="K450" activePane="bottomRight" state="frozen"/>
      <selection pane="bottomRight" activeCell="M453" sqref="M453"/>
      <pageMargins left="0.70866141732283472" right="0.70866141732283472" top="0.74803149606299213" bottom="0.74803149606299213" header="0.31496062992125984" footer="0.31496062992125984"/>
      <pageSetup paperSize="8" scale="22" fitToHeight="0" orientation="landscape" horizontalDpi="4294967294" verticalDpi="4294967294" r:id="rId2"/>
      <headerFooter>
        <oddHeader>&amp;CLISTA PROIECTELOR CONTRACTATE - PROGRAMUL OPERATIONAl CAPACITATE ADMINISTRATIVĂ</oddHeader>
        <oddFooter>Page &amp;P of &amp;N</oddFooter>
      </headerFooter>
      <autoFilter ref="A1:DG45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pane ySplit="1" topLeftCell="A449" activePane="bottomLeft" state="frozen"/>
      <selection pane="bottomLeft" activeCell="D451" sqref="D451"/>
      <pageMargins left="0.70866141732283472" right="0.70866141732283472" top="0.74803149606299213" bottom="0.74803149606299213" header="0.31496062992125984" footer="0.31496062992125984"/>
      <pageSetup paperSize="8" scale="22" fitToHeight="0" orientation="landscape" horizontalDpi="4294967294" verticalDpi="4294967294" r:id="rId3"/>
      <headerFooter>
        <oddHeader>&amp;CLISTA PROIECTELOR CONTRACTATE - PROGRAMUL OPERATIONAl CAPACITATE ADMINISTRATIVĂ</oddHeader>
        <oddFooter>Page &amp;P of &amp;N</oddFooter>
      </headerFooter>
      <autoFilter ref="A1:AL45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106" showPageBreaks="1" fitToPage="1" printArea="1" filter="1" showAutoFilter="1" topLeftCell="R1">
      <selection activeCell="AA361" sqref="AA361"/>
      <pageMargins left="0.70866141732283472" right="0.70866141732283472" top="0.74803149606299213" bottom="0.74803149606299213" header="0.31496062992125984" footer="0.31496062992125984"/>
      <pageSetup paperSize="8" scale="22" fitToHeight="0" orientation="landscape" horizontalDpi="4294967294" verticalDpi="4294967294" r:id="rId4"/>
      <headerFooter>
        <oddHeader>&amp;CLISTA PROIECTELOR CONTRACTATE - PROGRAMUL OPERATIONAl CAPACITATE ADMINISTRATIVĂ</oddHeader>
        <oddFooter>Page &amp;P of &amp;N</oddFooter>
      </headerFooter>
      <autoFilter ref="A1:AL453" xr:uid="{00000000-0000-0000-0000-000000000000}">
        <filterColumn colId="2">
          <filters>
            <filter val="432"/>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AAA4DFE-88B1-4674-95ED-5FCD7A50BC22}" scale="70" showPageBreaks="1" fitToPage="1" printArea="1" showAutoFilter="1" topLeftCell="A457">
      <selection activeCell="G475" sqref="G475"/>
      <pageMargins left="0.70866141732283472" right="0.70866141732283472" top="0.74803149606299213" bottom="0.74803149606299213" header="0.31496062992125984" footer="0.31496062992125984"/>
      <pageSetup paperSize="8" scale="22" fitToHeight="0" orientation="landscape" horizontalDpi="4294967294" verticalDpi="4294967294" r:id="rId5"/>
      <headerFooter>
        <oddHeader>&amp;CLISTA PROIECTELOR CONTRACTATE - PROGRAMUL OPERATIONAl CAPACITATE ADMINISTRATIVĂ</oddHeader>
        <oddFooter>Page &amp;P of &amp;N</oddFooter>
      </headerFooter>
      <autoFilter ref="A1:AL45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1F9774-8BE7-424D-87C2-1026F3FA2E93}" scale="70" showPageBreaks="1" fitToPage="1" printArea="1" topLeftCell="S432">
      <selection activeCell="AE432" sqref="AE432"/>
      <pageMargins left="0.70866141732283472" right="0.70866141732283472" top="0.74803149606299213" bottom="0.74803149606299213" header="0.31496062992125984" footer="0.31496062992125984"/>
      <pageSetup paperSize="8" scale="22" fitToHeight="0" orientation="landscape" horizontalDpi="4294967294" verticalDpi="4294967294" r:id="rId6"/>
      <headerFooter>
        <oddHeader>&amp;CLISTA PROIECTELOR CONTRACTATE - PROGRAMUL OPERATIONAl CAPACITATE ADMINISTRATIVĂ</oddHeader>
        <oddFooter>Page &amp;P of &amp;N</oddFooter>
      </headerFooter>
    </customSheetView>
    <customSheetView guid="{A5B1481C-EF26-486A-984F-85CDDC2FD94F}" scale="70" showPageBreaks="1" fitToPage="1" printArea="1" showAutoFilter="1" topLeftCell="V1">
      <pane ySplit="5" topLeftCell="A269" activePane="bottomLeft" state="frozen"/>
      <selection pane="bottomLeft" activeCell="AO269" sqref="AO269"/>
      <pageMargins left="0.70866141732283472" right="0.70866141732283472" top="0.74803149606299213" bottom="0.74803149606299213" header="0.31496062992125984" footer="0.31496062992125984"/>
      <pageSetup paperSize="8" scale="22" fitToHeight="0" orientation="landscape" horizontalDpi="4294967294" verticalDpi="4294967294" r:id="rId7"/>
      <headerFooter>
        <oddHeader>&amp;CLISTA PROIECTELOR CONTRACTATE - PROGRAMUL OPERATIONAl CAPACITATE ADMINISTRATIVĂ</oddHeader>
        <oddFooter>Page &amp;P of &amp;N</oddFooter>
      </headerFooter>
      <autoFilter ref="A6:DG452" xr:uid="{00000000-0000-0000-0000-000000000000}"/>
    </customSheetView>
    <customSheetView guid="{84FB199A-D56E-4FDD-AC4A-70CE86CD87BC}" scale="80" showPageBreaks="1" fitToPage="1" printArea="1">
      <pane xSplit="1.8918918918918919" ySplit="0.5368421052631579" topLeftCell="J416" activePane="bottomRight"/>
      <selection pane="bottomRight" activeCell="AB416" sqref="AB416"/>
      <pageMargins left="0.70866141732283472" right="0.70866141732283472" top="0.74803149606299213" bottom="0.74803149606299213" header="0.31496062992125984" footer="0.31496062992125984"/>
      <pageSetup paperSize="8" scale="22" fitToHeight="0" orientation="landscape" r:id="rId8"/>
      <headerFooter>
        <oddHeader>&amp;CLISTA PROIECTELOR CONTRACTATE - PROGRAMUL OPERATIONAl CAPACITATE ADMINISTRATIVĂ</oddHeader>
        <oddFooter>Page &amp;P of &amp;N</oddFooter>
      </headerFooter>
    </customSheetView>
    <customSheetView guid="{9980B309-0131-4577-BF29-212714399FDF}" scale="70" showPageBreaks="1" fitToPage="1" printArea="1" showAutoFilter="1" topLeftCell="R1">
      <pane ySplit="3" topLeftCell="A444" activePane="bottomLeft"/>
      <selection pane="bottomLeft" activeCell="AG446" sqref="AG446"/>
      <pageMargins left="0.70866141732283472" right="0.70866141732283472" top="0.74803149606299213" bottom="0.74803149606299213" header="0.31496062992125984" footer="0.31496062992125984"/>
      <pageSetup paperSize="8" scale="22" fitToHeight="0" orientation="landscape" horizontalDpi="4294967294" verticalDpi="4294967294" r:id="rId9"/>
      <headerFooter>
        <oddHeader>&amp;CLISTA PROIECTELOR CONTRACTATE - PROGRAMUL OPERATIONAl CAPACITATE ADMINISTRATIVĂ</oddHeader>
        <oddFooter>Page &amp;P of &amp;N</oddFooter>
      </headerFooter>
      <autoFilter ref="A1:AL8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0"/>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1"/>
      <headerFooter>
        <oddHeader>&amp;CLISTA PROIECTELOR CONTRACTATE - PROGRAMUL OPERATIONAl CAPACITATE ADMINISTRATIVĂ</oddHeader>
        <oddFooter>Page &amp;P of &amp;N</oddFooter>
      </headerFooter>
      <autoFilter ref="A6:DF305"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2"/>
      <headerFooter>
        <oddHeader>&amp;CLISTA PROIECTELOR CONTRACTATE - PROGRAMUL OPERATIONAl CAPACITATE ADMINISTRATIVĂ</oddHeader>
        <oddFooter>Page &amp;P of &amp;N</oddFooter>
      </headerFooter>
      <autoFilter ref="A4:AH68" xr:uid="{00000000-0000-0000-0000-000000000000}"/>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6:AL349" xr:uid="{00000000-0000-0000-0000-00000000000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5"/>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pane xSplit="5" ySplit="2" topLeftCell="F3" activePane="bottomRight" state="frozen"/>
      <selection pane="bottomRight" activeCell="AK467" sqref="AK467:AK468"/>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autoFilter ref="A6:AL467" xr:uid="{00000000-0000-0000-0000-000000000000}"/>
    </customSheetView>
    <customSheetView guid="{EF10298D-3F59-43F1-9A86-8C1CCA3B5D93}" scale="60" showPageBreaks="1" fitToPage="1" printArea="1" showAutoFilter="1" topLeftCell="A4">
      <pane ySplit="3" topLeftCell="A96" activePane="bottomLeft" state="frozen"/>
      <selection pane="bottomLeft" activeCell="N96" sqref="N96"/>
      <pageMargins left="0.70866141732283472" right="0.70866141732283472" top="0.74803149606299213" bottom="0.74803149606299213" header="0.31496062992125984" footer="0.31496062992125984"/>
      <pageSetup paperSize="8" scale="22" fitToHeight="0" orientation="landscape" r:id="rId18"/>
      <headerFooter>
        <oddHeader>&amp;CLISTA PROIECTELOR CONTRACTATE - PROGRAMUL OPERATIONAl CAPACITATE ADMINISTRATIVĂ</oddHeader>
        <oddFooter>Page &amp;P of &amp;N</oddFooter>
      </headerFooter>
      <autoFilter ref="A6:AL474" xr:uid="{00000000-0000-0000-0000-000000000000}"/>
    </customSheetView>
    <customSheetView guid="{53ED3D47-B2C0-43A1-9A1E-F030D529F74C}" scale="70" showPageBreaks="1" fitToPage="1" printArea="1" showAutoFilter="1" topLeftCell="A34">
      <selection activeCell="N37" sqref="N37"/>
      <pageMargins left="0.70866141732283472" right="0.70866141732283472" top="0.74803149606299213" bottom="0.74803149606299213" header="0.31496062992125984" footer="0.31496062992125984"/>
      <pageSetup paperSize="8" scale="22" fitToHeight="0" orientation="landscape" horizontalDpi="4294967294" verticalDpi="4294967294" r:id="rId19"/>
      <headerFooter>
        <oddHeader>&amp;CLISTA PROIECTELOR CONTRACTATE - PROGRAMUL OPERATIONAl CAPACITATE ADMINISTRATIVĂ</oddHeader>
        <oddFooter>Page &amp;P of &amp;N</oddFooter>
      </headerFooter>
      <autoFilter ref="A6:AL478" xr:uid="{00000000-0000-0000-0000-000000000000}"/>
    </customSheetView>
    <customSheetView guid="{EEA37434-2D22-478B-B49F-C3E8CD4AC2E1}" scale="50" showPageBreaks="1" fitToPage="1" printArea="1" showAutoFilter="1">
      <pane xSplit="9" ySplit="8" topLeftCell="W324" activePane="bottomRight" state="frozen"/>
      <selection pane="bottomRight" activeCell="B324" sqref="B324"/>
      <pageMargins left="0.70866141732283472" right="0.70866141732283472" top="0.74803149606299213" bottom="0.74803149606299213" header="0.31496062992125984" footer="0.31496062992125984"/>
      <pageSetup paperSize="8" scale="22" fitToHeight="0" orientation="landscape" r:id="rId20"/>
      <headerFooter>
        <oddHeader>&amp;CLISTA PROIECTELOR CONTRACTATE - PROGRAMUL OPERATIONAl CAPACITATE ADMINISTRATIVĂ</oddHeader>
        <oddFooter>Page &amp;P of &amp;N</oddFooter>
      </headerFooter>
      <autoFilter ref="A6:DG451" xr:uid="{00000000-0000-0000-0000-000000000000}"/>
    </customSheetView>
    <customSheetView guid="{FE50EAC0-52A5-4C33-B973-65E93D03D3EA}" scale="73" showPageBreaks="1" fitToPage="1" printArea="1" filter="1" showAutoFilter="1" topLeftCell="I354">
      <selection activeCell="L440" sqref="L440"/>
      <pageMargins left="0.70866141732283472" right="0.70866141732283472" top="0.74803149606299213" bottom="0.74803149606299213" header="0.31496062992125984" footer="0.31496062992125984"/>
      <pageSetup paperSize="8" scale="22" fitToHeight="0" orientation="landscape" horizontalDpi="4294967294" verticalDpi="4294967294" r:id="rId21"/>
      <headerFooter>
        <oddHeader>&amp;CLISTA PROIECTELOR CONTRACTATE - PROGRAMUL OPERATIONAl CAPACITATE ADMINISTRATIVĂ</oddHeader>
        <oddFooter>Page &amp;P of &amp;N</oddFooter>
      </headerFooter>
      <autoFilter ref="A1:AL452" xr:uid="{00000000-0000-0000-0000-000000000000}">
        <filterColumn colId="3">
          <filters>
            <filter val="OD"/>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6624B2D-80F9-4F79-AC4A-B3547C36F23F}" scale="70" showPageBreaks="1" fitToPage="1" printArea="1" showAutoFilter="1" topLeftCell="A211">
      <selection activeCell="F213" sqref="F213"/>
      <pageMargins left="0.70866141732283472" right="0.70866141732283472" top="0.74803149606299213" bottom="0.74803149606299213" header="0.31496062992125984" footer="0.31496062992125984"/>
      <pageSetup paperSize="8" scale="22" fitToHeight="0" orientation="landscape" horizontalDpi="4294967294" verticalDpi="4294967294" r:id="rId22"/>
      <headerFooter>
        <oddHeader>&amp;CLISTA PROIECTELOR CONTRACTATE - PROGRAMUL OPERATIONAl CAPACITATE ADMINISTRATIVĂ</oddHeader>
        <oddFooter>Page &amp;P of &amp;N</oddFooter>
      </headerFooter>
      <autoFilter ref="A1:AL45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B0F2E6A-FA33-479E-9A47-8E3494FBB4DE}" scale="70" showPageBreaks="1" fitToPage="1" printArea="1" filter="1" showAutoFilter="1" topLeftCell="O1">
      <selection activeCell="D327" sqref="D327"/>
      <pageMargins left="0.70866141732283472" right="0.70866141732283472" top="0.74803149606299213" bottom="0.74803149606299213" header="0.31496062992125984" footer="0.31496062992125984"/>
      <pageSetup paperSize="8" scale="22" fitToHeight="0" orientation="landscape" horizontalDpi="4294967294" verticalDpi="4294967294" r:id="rId23"/>
      <headerFooter>
        <oddHeader>&amp;CLISTA PROIECTELOR CONTRACTATE - PROGRAMUL OPERATIONAl CAPACITATE ADMINISTRATIVĂ</oddHeader>
        <oddFooter>Page &amp;P of &amp;N</oddFooter>
      </headerFooter>
      <autoFilter ref="A6:AL487" xr:uid="{00000000-0000-0000-0000-000000000000}">
        <filterColumn colId="2">
          <filters>
            <filter val="351"/>
          </filters>
        </filterColumn>
        <filterColumn colId="4">
          <filters>
            <filter val="AP1/11i /1.1"/>
            <filter val="AP1/11i /1.2"/>
            <filter val="AP1/11i /1.3"/>
            <filter val="AP1/11i /1.4"/>
          </filters>
        </filterColumn>
      </autoFilter>
    </customSheetView>
    <customSheetView guid="{7C1B4D6D-D666-48DD-AB17-E00791B6F0B6}" scale="55" showPageBreaks="1" fitToPage="1" printArea="1" filter="1" showAutoFilter="1" topLeftCell="P1">
      <pane ySplit="6" topLeftCell="A466" activePane="bottomLeft" state="frozen"/>
      <selection pane="bottomLeft" activeCell="AH496" sqref="AH496"/>
      <pageMargins left="0.70866141732283472" right="0.70866141732283472" top="0.74803149606299213" bottom="0.74803149606299213" header="0.31496062992125984" footer="0.31496062992125984"/>
      <pageSetup paperSize="8" scale="22" fitToHeight="0" orientation="landscape" r:id="rId24"/>
      <headerFooter>
        <oddHeader>&amp;CLISTA PROIECTELOR CONTRACTATE - PROGRAMUL OPERATIONAl CAPACITATE ADMINISTRATIVĂ</oddHeader>
        <oddFooter>Page &amp;P of &amp;N</oddFooter>
      </headerFooter>
      <autoFilter ref="A6:DG453" xr:uid="{00000000-0000-0000-0000-000000000000}">
        <filterColumn colId="5">
          <filters>
            <filter val="CP 12 less/2018"/>
          </filters>
        </filterColumn>
      </autoFilter>
    </customSheetView>
    <customSheetView guid="{905D93EA-5662-45AB-8995-A9908B3E5D52}" scale="70" showPageBreaks="1" fitToPage="1" printArea="1" filter="1" showAutoFilter="1" topLeftCell="Y1">
      <selection activeCell="AI506" sqref="AI506"/>
      <pageMargins left="0.70866141732283472" right="0.70866141732283472" top="0.74803149606299213" bottom="0.74803149606299213" header="0.31496062992125984" footer="0.31496062992125984"/>
      <pageSetup paperSize="8" scale="22" fitToHeight="0" orientation="landscape" r:id="rId25"/>
      <headerFooter>
        <oddHeader>&amp;CLISTA PROIECTELOR CONTRACTATE - PROGRAMUL OPERATIONAl CAPACITATE ADMINISTRATIVĂ</oddHeader>
        <oddFooter>Page &amp;P of &amp;N</oddFooter>
      </headerFooter>
      <autoFilter ref="C1:C498" xr:uid="{00000000-0000-0000-0000-000000000000}">
        <filterColumn colId="0">
          <filters>
            <filter val="444"/>
          </filters>
        </filterColumn>
      </autoFilter>
    </customSheetView>
    <customSheetView guid="{E6D68675-DE9B-48C6-9283-10B33E8B3FC5}" scale="85" fitToPage="1" printArea="1" showAutoFilter="1" topLeftCell="X1">
      <selection activeCell="AL1" sqref="AL1:AM1048576"/>
      <pageMargins left="0.70866141732283472" right="0.70866141732283472" top="0.74803149606299213" bottom="0.74803149606299213" header="0.31496062992125984" footer="0.31496062992125984"/>
      <pageSetup paperSize="8" scale="22" fitToHeight="0" orientation="landscape" horizontalDpi="4294967294" verticalDpi="4294967294" r:id="rId26"/>
      <headerFooter>
        <oddHeader>&amp;CLISTA PROIECTELOR CONTRACTATE - PROGRAMUL OPERATIONAl CAPACITATE ADMINISTRATIVĂ</oddHeader>
        <oddFooter>Page &amp;P of &amp;N</oddFooter>
      </headerFooter>
      <autoFilter ref="A1:AK40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s>
  <mergeCells count="30">
    <mergeCell ref="AJ1:AK1"/>
    <mergeCell ref="AJ2:AJ3"/>
    <mergeCell ref="AK2:AK3"/>
    <mergeCell ref="AB2:AB3"/>
    <mergeCell ref="AG1:AG3"/>
    <mergeCell ref="AH1:AH3"/>
    <mergeCell ref="AI1:AI3"/>
    <mergeCell ref="AF2:AF3"/>
    <mergeCell ref="AE1:AE3"/>
    <mergeCell ref="Y2:Y3"/>
    <mergeCell ref="P1:P3"/>
    <mergeCell ref="Q1:Q3"/>
    <mergeCell ref="R1:R3"/>
    <mergeCell ref="S1:AB1"/>
    <mergeCell ref="S2:X2"/>
    <mergeCell ref="A1:A3"/>
    <mergeCell ref="G1:G3"/>
    <mergeCell ref="H1:H3"/>
    <mergeCell ref="N1:N3"/>
    <mergeCell ref="O1:O3"/>
    <mergeCell ref="C1:C3"/>
    <mergeCell ref="D1:D3"/>
    <mergeCell ref="F1:F3"/>
    <mergeCell ref="E1:E3"/>
    <mergeCell ref="J1:J3"/>
    <mergeCell ref="K1:K3"/>
    <mergeCell ref="L1:L3"/>
    <mergeCell ref="M1:M3"/>
    <mergeCell ref="I1:I3"/>
    <mergeCell ref="B1:B3"/>
  </mergeCells>
  <phoneticPr fontId="60" type="noConversion"/>
  <pageMargins left="0.70866141732283472" right="0.70866141732283472" top="0.74803149606299213" bottom="0.74803149606299213" header="0.31496062992125984" footer="0.31496062992125984"/>
  <pageSetup paperSize="8" scale="23" fitToHeight="0" orientation="landscape" horizontalDpi="4294967294" verticalDpi="4294967294" r:id="rId27"/>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viorel.zlotariu</cp:lastModifiedBy>
  <dcterms:created xsi:type="dcterms:W3CDTF">2019-05-03T10:06:35Z</dcterms:created>
  <dcterms:modified xsi:type="dcterms:W3CDTF">2019-07-26T11:19:46Z</dcterms:modified>
</cp:coreProperties>
</file>